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75" windowWidth="13995" windowHeight="12240" tabRatio="875" firstSheet="15"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5" i="66" l="1"/>
  <c r="B15" i="66"/>
  <c r="D15" i="66" l="1"/>
  <c r="G15" i="66" l="1"/>
  <c r="D92" i="35" l="1"/>
  <c r="E92" i="35" s="1"/>
  <c r="F92" i="35" s="1"/>
  <c r="C37" i="9" l="1"/>
  <c r="N14" i="1"/>
  <c r="L14" i="1"/>
  <c r="AJ8" i="74" l="1"/>
  <c r="D119" i="39"/>
  <c r="E119" i="39" s="1"/>
  <c r="F119" i="39" s="1"/>
  <c r="G119" i="39" s="1"/>
  <c r="K15" i="21"/>
  <c r="K5" i="66"/>
  <c r="AH7" i="1" l="1"/>
  <c r="K23" i="21"/>
  <c r="K20" i="35" s="1"/>
  <c r="K19" i="21"/>
  <c r="K16" i="35" s="1"/>
  <c r="K17" i="21"/>
  <c r="K14" i="35" s="1"/>
  <c r="F122" i="21"/>
  <c r="E122" i="21"/>
  <c r="D122" i="21"/>
  <c r="C122" i="21"/>
  <c r="G116" i="21"/>
  <c r="F116" i="21"/>
  <c r="E116" i="21"/>
  <c r="D116" i="21"/>
  <c r="C116" i="21"/>
  <c r="I40" i="39"/>
  <c r="G40" i="39"/>
  <c r="I48" i="39"/>
  <c r="G48" i="39"/>
  <c r="E48" i="39"/>
  <c r="E40" i="39"/>
  <c r="G126" i="39"/>
  <c r="F126" i="39"/>
  <c r="E126" i="39"/>
  <c r="D126" i="39"/>
  <c r="C126" i="39"/>
  <c r="G124" i="39"/>
  <c r="F124" i="39"/>
  <c r="E124" i="39"/>
  <c r="D124" i="39"/>
  <c r="C124" i="39"/>
  <c r="I9" i="39"/>
  <c r="G9" i="39"/>
  <c r="E9" i="39"/>
  <c r="I7" i="39"/>
  <c r="G7" i="39"/>
  <c r="E7" i="39"/>
  <c r="B59" i="1"/>
  <c r="A3" i="3" l="1"/>
  <c r="F40" i="73"/>
  <c r="C25" i="73"/>
  <c r="D27" i="73"/>
  <c r="D13" i="73"/>
  <c r="E13" i="73" s="1"/>
  <c r="C13" i="3" l="1"/>
  <c r="A14" i="66" s="1"/>
  <c r="D3" i="4"/>
  <c r="D31" i="73" l="1"/>
  <c r="R39" i="72"/>
  <c r="Q39" i="72"/>
  <c r="O39" i="72"/>
  <c r="L39" i="72"/>
  <c r="J39" i="72"/>
  <c r="I39" i="72"/>
  <c r="H39" i="72"/>
  <c r="G39" i="72"/>
  <c r="F39" i="72"/>
  <c r="E39" i="72"/>
  <c r="P38" i="72"/>
  <c r="P39" i="72" s="1"/>
  <c r="M38" i="72"/>
  <c r="M39" i="72" s="1"/>
  <c r="M41" i="72" s="1"/>
  <c r="D38" i="72"/>
  <c r="K37" i="72"/>
  <c r="D37" i="72"/>
  <c r="N36" i="72"/>
  <c r="N39" i="72" s="1"/>
  <c r="K36" i="72"/>
  <c r="D36" i="72"/>
  <c r="K35" i="72"/>
  <c r="D35" i="72"/>
  <c r="K34" i="72"/>
  <c r="D34" i="72"/>
  <c r="K33" i="72"/>
  <c r="C33" i="72" s="1"/>
  <c r="D33" i="72"/>
  <c r="K32" i="72"/>
  <c r="D32" i="72"/>
  <c r="C32" i="72" s="1"/>
  <c r="K31" i="72"/>
  <c r="C31" i="72" s="1"/>
  <c r="D31" i="72"/>
  <c r="K30" i="72"/>
  <c r="D30" i="72"/>
  <c r="C30" i="72" s="1"/>
  <c r="K29" i="72"/>
  <c r="D29" i="72"/>
  <c r="C29" i="72" s="1"/>
  <c r="K28" i="72"/>
  <c r="D28" i="72"/>
  <c r="C28" i="72" s="1"/>
  <c r="K27" i="72"/>
  <c r="D27" i="72"/>
  <c r="K26" i="72"/>
  <c r="C26" i="72" s="1"/>
  <c r="D26" i="72"/>
  <c r="K25" i="72"/>
  <c r="D25" i="72"/>
  <c r="C25" i="72" s="1"/>
  <c r="K24" i="72"/>
  <c r="D24" i="72"/>
  <c r="R19" i="72"/>
  <c r="R17" i="72"/>
  <c r="Q17" i="72"/>
  <c r="AN13" i="3" s="1"/>
  <c r="O17" i="72"/>
  <c r="N17" i="72"/>
  <c r="L17" i="72"/>
  <c r="J17" i="72"/>
  <c r="I17" i="72"/>
  <c r="AL13" i="3" s="1"/>
  <c r="H17" i="72"/>
  <c r="AD13" i="3" s="1"/>
  <c r="G17" i="72"/>
  <c r="F17" i="72"/>
  <c r="K13" i="3" s="1"/>
  <c r="E17" i="72"/>
  <c r="I13" i="3" s="1"/>
  <c r="P16" i="72"/>
  <c r="P17" i="72" s="1"/>
  <c r="AF13" i="3" s="1"/>
  <c r="M16" i="72"/>
  <c r="M17" i="72" s="1"/>
  <c r="D16" i="72"/>
  <c r="K15" i="72"/>
  <c r="D15" i="72"/>
  <c r="C15" i="72" s="1"/>
  <c r="K14" i="72"/>
  <c r="D14" i="72"/>
  <c r="C14" i="72"/>
  <c r="K13" i="72"/>
  <c r="C13" i="72" s="1"/>
  <c r="D13" i="72"/>
  <c r="K12" i="72"/>
  <c r="D12" i="72"/>
  <c r="C12" i="72" s="1"/>
  <c r="K11" i="72"/>
  <c r="D11" i="72"/>
  <c r="C11" i="72" s="1"/>
  <c r="K10" i="72"/>
  <c r="D10" i="72"/>
  <c r="K9" i="72"/>
  <c r="D9" i="72"/>
  <c r="C9" i="72" s="1"/>
  <c r="K8" i="72"/>
  <c r="D8" i="72"/>
  <c r="C8" i="72" s="1"/>
  <c r="K7" i="72"/>
  <c r="D7" i="72"/>
  <c r="C7" i="72" s="1"/>
  <c r="K6" i="72"/>
  <c r="D6" i="72"/>
  <c r="C6" i="72" s="1"/>
  <c r="K5" i="72"/>
  <c r="D5" i="72"/>
  <c r="C5" i="72"/>
  <c r="K4" i="72"/>
  <c r="C4" i="72" s="1"/>
  <c r="D4" i="72"/>
  <c r="C38" i="72" l="1"/>
  <c r="I44" i="72"/>
  <c r="K38" i="72"/>
  <c r="C37" i="72"/>
  <c r="K39" i="72"/>
  <c r="K17" i="72"/>
  <c r="D17" i="72"/>
  <c r="C10" i="72"/>
  <c r="C24" i="72"/>
  <c r="C34" i="72"/>
  <c r="C39" i="72" s="1"/>
  <c r="C36" i="72"/>
  <c r="K16" i="72"/>
  <c r="C16" i="72" s="1"/>
  <c r="C17" i="72" s="1"/>
  <c r="AT13" i="3"/>
  <c r="D39" i="72"/>
  <c r="C27" i="72"/>
  <c r="C35" i="72"/>
  <c r="M13" i="3"/>
  <c r="M19" i="72"/>
  <c r="Q19" i="72"/>
  <c r="G14" i="65"/>
  <c r="F14" i="65"/>
  <c r="E14" i="65"/>
  <c r="G13" i="65"/>
  <c r="F13" i="65"/>
  <c r="E13" i="65"/>
  <c r="G15" i="65"/>
  <c r="F15" i="65"/>
  <c r="E15" i="65"/>
  <c r="C41" i="72" l="1"/>
  <c r="AB28" i="70"/>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I40" i="70"/>
  <c r="N39" i="70"/>
  <c r="M39" i="70"/>
  <c r="P39" i="70" s="1"/>
  <c r="L39" i="70"/>
  <c r="S39" i="70" s="1"/>
  <c r="I39" i="70"/>
  <c r="AD39" i="70" s="1"/>
  <c r="N38" i="70"/>
  <c r="U38" i="70" s="1"/>
  <c r="M38" i="70"/>
  <c r="P38" i="70" s="1"/>
  <c r="L38" i="70"/>
  <c r="I38" i="70"/>
  <c r="N37" i="70"/>
  <c r="M37" i="70"/>
  <c r="P37" i="70" s="1"/>
  <c r="L37" i="70"/>
  <c r="S37" i="70" s="1"/>
  <c r="I37" i="70"/>
  <c r="AD37" i="70" s="1"/>
  <c r="N36" i="70"/>
  <c r="M36" i="70"/>
  <c r="P36" i="70" s="1"/>
  <c r="L36" i="70"/>
  <c r="I36" i="70"/>
  <c r="N35" i="70"/>
  <c r="M35" i="70"/>
  <c r="L35" i="70"/>
  <c r="I35" i="70"/>
  <c r="AD30" i="70" s="1"/>
  <c r="N29" i="70"/>
  <c r="U28" i="70" s="1"/>
  <c r="M29" i="70"/>
  <c r="L29" i="70"/>
  <c r="I29" i="70"/>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U37" i="70" l="1"/>
  <c r="U39" i="70"/>
  <c r="AD29" i="70"/>
  <c r="AD36" i="70"/>
  <c r="AD38" i="70"/>
  <c r="AD40" i="70"/>
  <c r="S28" i="70"/>
  <c r="S36" i="70"/>
  <c r="S38" i="70"/>
  <c r="S40" i="70"/>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C29" i="68"/>
  <c r="R35" i="68"/>
  <c r="U34" i="68" s="1"/>
  <c r="F26" i="43"/>
  <c r="D7" i="68" l="1"/>
  <c r="C26" i="68" s="1"/>
  <c r="C32" i="68" s="1"/>
  <c r="C38" i="68" s="1"/>
  <c r="C39" i="68" s="1"/>
  <c r="D32" i="68"/>
  <c r="R5" i="68"/>
  <c r="U5" i="68" s="1"/>
  <c r="E26" i="68"/>
  <c r="E38" i="68"/>
  <c r="E39" i="68" s="1"/>
  <c r="E29" i="68"/>
  <c r="AH10" i="59"/>
  <c r="AG10" i="59"/>
  <c r="AE10" i="59"/>
  <c r="AF10" i="59" s="1"/>
  <c r="AD10" i="59"/>
  <c r="Q10" i="59"/>
  <c r="P10" i="59"/>
  <c r="O10" i="59"/>
  <c r="N10" i="59"/>
  <c r="C40" i="68" l="1"/>
  <c r="B2" i="68" s="1"/>
  <c r="B3" i="68" s="1"/>
  <c r="E32" i="68"/>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20"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X21" i="59" s="1"/>
  <c r="N23" i="59"/>
  <c r="AH23" i="59"/>
  <c r="AG23" i="59"/>
  <c r="AE23" i="59"/>
  <c r="AF23" i="59" s="1"/>
  <c r="AD23" i="59"/>
  <c r="Q24" i="59"/>
  <c r="P24" i="59"/>
  <c r="O24" i="59"/>
  <c r="Y23" i="59" s="1"/>
  <c r="Z23" i="59" s="1"/>
  <c r="N24" i="59"/>
  <c r="M23" i="46"/>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F84" i="59" s="1"/>
  <c r="F83" i="59" s="1"/>
  <c r="E85" i="59"/>
  <c r="E84" i="59" s="1"/>
  <c r="E83" i="59" s="1"/>
  <c r="C85" i="59"/>
  <c r="C84" i="59" s="1"/>
  <c r="B85" i="59"/>
  <c r="B84" i="59"/>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C73" i="59"/>
  <c r="T73" i="59" s="1"/>
  <c r="B73" i="59"/>
  <c r="S73" i="59" s="1"/>
  <c r="Q72" i="59"/>
  <c r="P72" i="59"/>
  <c r="O72" i="59"/>
  <c r="N72"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D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AB38" i="59" s="1"/>
  <c r="P38" i="59"/>
  <c r="E39" i="59" s="1"/>
  <c r="O38" i="59"/>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P30" i="59"/>
  <c r="O30" i="59"/>
  <c r="N30" i="59"/>
  <c r="D30" i="59"/>
  <c r="E31" i="59"/>
  <c r="S69" i="59"/>
  <c r="C68" i="59"/>
  <c r="D68" i="59" s="1"/>
  <c r="C72" i="59"/>
  <c r="C71" i="59" s="1"/>
  <c r="D71" i="59" s="1"/>
  <c r="C80" i="59"/>
  <c r="D80" i="59" s="1"/>
  <c r="U16" i="4"/>
  <c r="T16" i="4" s="1"/>
  <c r="S16" i="4"/>
  <c r="Q16" i="4"/>
  <c r="O16" i="4"/>
  <c r="M16" i="4"/>
  <c r="K16" i="4"/>
  <c r="O27" i="6"/>
  <c r="N27" i="6"/>
  <c r="P26" i="6"/>
  <c r="L26" i="6"/>
  <c r="P25" i="6"/>
  <c r="L25" i="6"/>
  <c r="P24" i="6"/>
  <c r="L24" i="6"/>
  <c r="P23" i="6"/>
  <c r="L23" i="6"/>
  <c r="P22" i="6"/>
  <c r="L22" i="6"/>
  <c r="P21" i="6"/>
  <c r="L21" i="6"/>
  <c r="P20" i="6"/>
  <c r="P19" i="6"/>
  <c r="Q18" i="36"/>
  <c r="Z18" i="36" s="1"/>
  <c r="C18" i="36"/>
  <c r="D66" i="36"/>
  <c r="E66" i="36" s="1"/>
  <c r="F66" i="36" s="1"/>
  <c r="G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F3" i="35"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L377" i="3" s="1"/>
  <c r="BM377" i="3"/>
  <c r="BK377" i="3"/>
  <c r="BJ377" i="3"/>
  <c r="BI377" i="3"/>
  <c r="BH377" i="3"/>
  <c r="BG377" i="3"/>
  <c r="BF377" i="3"/>
  <c r="BE377" i="3"/>
  <c r="BA377" i="3" s="1"/>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L374" i="3" s="1"/>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A373" i="3" s="1"/>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A372" i="3" s="1"/>
  <c r="BC372" i="3"/>
  <c r="BB372" i="3"/>
  <c r="AX372" i="3"/>
  <c r="AW372" i="3"/>
  <c r="AV372" i="3"/>
  <c r="AC372" i="3"/>
  <c r="H372" i="3"/>
  <c r="BT371" i="3"/>
  <c r="BS371" i="3"/>
  <c r="BR371" i="3"/>
  <c r="BQ371" i="3"/>
  <c r="BP371" i="3"/>
  <c r="BL371" i="3" s="1"/>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L367" i="3" s="1"/>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L365" i="3" s="1"/>
  <c r="BM365" i="3"/>
  <c r="BK365" i="3"/>
  <c r="BJ365" i="3"/>
  <c r="BI365" i="3"/>
  <c r="BH365" i="3"/>
  <c r="BG365" i="3"/>
  <c r="BF365" i="3"/>
  <c r="BE365" i="3"/>
  <c r="BA365" i="3" s="1"/>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BT362" i="3"/>
  <c r="BS362" i="3"/>
  <c r="BR362" i="3"/>
  <c r="BQ362" i="3"/>
  <c r="BP362" i="3"/>
  <c r="BO362" i="3"/>
  <c r="BL362" i="3" s="1"/>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L361" i="3" s="1"/>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A360" i="3" s="1"/>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L358" i="3" s="1"/>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s="1"/>
  <c r="AZ356" i="3" s="1"/>
  <c r="BC356" i="3"/>
  <c r="BB356" i="3"/>
  <c r="AX356" i="3"/>
  <c r="AW356" i="3"/>
  <c r="AV356" i="3"/>
  <c r="AC356" i="3"/>
  <c r="H356" i="3"/>
  <c r="BT355" i="3"/>
  <c r="BS355" i="3"/>
  <c r="BR355" i="3"/>
  <c r="BQ355" i="3"/>
  <c r="BP355" i="3"/>
  <c r="BL355" i="3" s="1"/>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L347" i="3" s="1"/>
  <c r="BO347" i="3"/>
  <c r="BN347" i="3"/>
  <c r="BM347" i="3"/>
  <c r="BK347" i="3"/>
  <c r="BJ347" i="3"/>
  <c r="BI347" i="3"/>
  <c r="BH347" i="3"/>
  <c r="BG347" i="3"/>
  <c r="BF347" i="3"/>
  <c r="BE347" i="3"/>
  <c r="BD347" i="3"/>
  <c r="BC347" i="3"/>
  <c r="BA347" i="3" s="1"/>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L345" i="3" s="1"/>
  <c r="BM345" i="3"/>
  <c r="BK345" i="3"/>
  <c r="BJ345" i="3"/>
  <c r="BI345" i="3"/>
  <c r="BH345" i="3"/>
  <c r="BG345" i="3"/>
  <c r="BF345" i="3"/>
  <c r="BE345" i="3"/>
  <c r="BA345" i="3" s="1"/>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A344" i="3" s="1"/>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A340" i="3" s="1"/>
  <c r="BC340" i="3"/>
  <c r="BB340" i="3"/>
  <c r="AX340" i="3"/>
  <c r="AW340" i="3"/>
  <c r="AV340" i="3"/>
  <c r="AC340" i="3"/>
  <c r="H340" i="3"/>
  <c r="BT339" i="3"/>
  <c r="BS339" i="3"/>
  <c r="BR339" i="3"/>
  <c r="BQ339" i="3"/>
  <c r="BP339" i="3"/>
  <c r="BL339" i="3" s="1"/>
  <c r="BO339" i="3"/>
  <c r="BN339" i="3"/>
  <c r="BM339" i="3"/>
  <c r="BK339" i="3"/>
  <c r="BJ339" i="3"/>
  <c r="BI339" i="3"/>
  <c r="BH339" i="3"/>
  <c r="BG339" i="3"/>
  <c r="BF339" i="3"/>
  <c r="BE339" i="3"/>
  <c r="BD339" i="3"/>
  <c r="BC339" i="3"/>
  <c r="BA339" i="3" s="1"/>
  <c r="BB339" i="3"/>
  <c r="AX339" i="3"/>
  <c r="AW339" i="3"/>
  <c r="AV339" i="3"/>
  <c r="AC339" i="3"/>
  <c r="H339" i="3"/>
  <c r="BT338" i="3"/>
  <c r="BS338" i="3"/>
  <c r="BR338" i="3"/>
  <c r="BQ338" i="3"/>
  <c r="BP338" i="3"/>
  <c r="BO338" i="3"/>
  <c r="BL338" i="3" s="1"/>
  <c r="BN338" i="3"/>
  <c r="BM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A324" i="3" s="1"/>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L315" i="3" s="1"/>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A312" i="3" s="1"/>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A308" i="3" s="1"/>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L305" i="3" s="1"/>
  <c r="BM305" i="3"/>
  <c r="BK305" i="3"/>
  <c r="BJ305" i="3"/>
  <c r="BI305" i="3"/>
  <c r="BH305" i="3"/>
  <c r="BG305" i="3"/>
  <c r="BF305" i="3"/>
  <c r="BE305" i="3"/>
  <c r="BA305" i="3" s="1"/>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s="1"/>
  <c r="R37" i="31"/>
  <c r="S37" i="31" s="1"/>
  <c r="R38" i="31"/>
  <c r="S38" i="31" s="1"/>
  <c r="R39" i="31"/>
  <c r="R40" i="31"/>
  <c r="S40" i="31" s="1"/>
  <c r="R41" i="31"/>
  <c r="R42" i="31"/>
  <c r="S42" i="3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c r="R93" i="31"/>
  <c r="S93" i="31" s="1"/>
  <c r="R94" i="31"/>
  <c r="S94" i="31" s="1"/>
  <c r="R95" i="31"/>
  <c r="R96" i="31"/>
  <c r="S96" i="31" s="1"/>
  <c r="R97" i="31"/>
  <c r="S97" i="31" s="1"/>
  <c r="R98" i="31"/>
  <c r="S98" i="31" s="1"/>
  <c r="R99" i="31"/>
  <c r="R100" i="31"/>
  <c r="S100" i="31" s="1"/>
  <c r="R101" i="31"/>
  <c r="R102" i="31"/>
  <c r="S102" i="31" s="1"/>
  <c r="R103" i="31"/>
  <c r="R104" i="31"/>
  <c r="S104" i="31" s="1"/>
  <c r="R105" i="31"/>
  <c r="R106" i="31"/>
  <c r="S106" i="31"/>
  <c r="R107" i="31"/>
  <c r="S107" i="31" s="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R136" i="31"/>
  <c r="S136" i="31" s="1"/>
  <c r="R137" i="31"/>
  <c r="S137" i="31" s="1"/>
  <c r="R138" i="31"/>
  <c r="S138" i="31" s="1"/>
  <c r="R139" i="3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S213" i="31" s="1"/>
  <c r="R214" i="31"/>
  <c r="S214" i="31"/>
  <c r="R215" i="31"/>
  <c r="R216" i="31"/>
  <c r="S216" i="31" s="1"/>
  <c r="R217" i="31"/>
  <c r="R218" i="31"/>
  <c r="S218" i="31" s="1"/>
  <c r="R219" i="31"/>
  <c r="R220" i="31"/>
  <c r="S220" i="31" s="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S361" i="31" s="1"/>
  <c r="R362" i="31"/>
  <c r="R363" i="31"/>
  <c r="R364" i="31"/>
  <c r="R365" i="31"/>
  <c r="R366" i="31"/>
  <c r="R367" i="31"/>
  <c r="R368" i="31"/>
  <c r="R369" i="31"/>
  <c r="S369" i="31" s="1"/>
  <c r="R370" i="31"/>
  <c r="R371" i="31"/>
  <c r="S371" i="31" s="1"/>
  <c r="R372" i="31"/>
  <c r="R373" i="31"/>
  <c r="R374" i="31"/>
  <c r="R375" i="31"/>
  <c r="S375" i="31" s="1"/>
  <c r="R376" i="31"/>
  <c r="R377" i="31"/>
  <c r="S377" i="31" s="1"/>
  <c r="R378" i="31"/>
  <c r="R379" i="31"/>
  <c r="R380" i="31"/>
  <c r="R381" i="31"/>
  <c r="R382" i="31"/>
  <c r="R383" i="31"/>
  <c r="R384" i="31"/>
  <c r="R385" i="31"/>
  <c r="S385" i="31" s="1"/>
  <c r="R386" i="31"/>
  <c r="R387" i="31"/>
  <c r="R388" i="31"/>
  <c r="R389" i="31"/>
  <c r="R390" i="31"/>
  <c r="R391" i="31"/>
  <c r="R392" i="31"/>
  <c r="R393" i="31"/>
  <c r="S393" i="31" s="1"/>
  <c r="R394" i="31"/>
  <c r="R395" i="31"/>
  <c r="R396" i="31"/>
  <c r="R397" i="31"/>
  <c r="R398" i="31"/>
  <c r="R399" i="31"/>
  <c r="R400" i="31"/>
  <c r="R401" i="31"/>
  <c r="S401" i="31" s="1"/>
  <c r="R402" i="31"/>
  <c r="R403" i="31"/>
  <c r="S403" i="31" s="1"/>
  <c r="R404" i="31"/>
  <c r="R405" i="31"/>
  <c r="R406" i="31"/>
  <c r="R407" i="31"/>
  <c r="S407" i="31" s="1"/>
  <c r="R408" i="31"/>
  <c r="R409" i="31"/>
  <c r="S409" i="31" s="1"/>
  <c r="R410" i="31"/>
  <c r="R411" i="31"/>
  <c r="R412" i="31"/>
  <c r="R413" i="31"/>
  <c r="R414" i="31"/>
  <c r="R415" i="31"/>
  <c r="R416" i="31"/>
  <c r="R417" i="31"/>
  <c r="S417" i="31" s="1"/>
  <c r="R418" i="31"/>
  <c r="R419" i="31"/>
  <c r="R420" i="31"/>
  <c r="R421" i="31"/>
  <c r="R422" i="31"/>
  <c r="R423" i="31"/>
  <c r="R424" i="31"/>
  <c r="R425" i="31"/>
  <c r="R426" i="31"/>
  <c r="S426" i="31" s="1"/>
  <c r="R427" i="31"/>
  <c r="R428" i="31"/>
  <c r="S428" i="31" s="1"/>
  <c r="R429" i="31"/>
  <c r="R430" i="31"/>
  <c r="S430" i="31" s="1"/>
  <c r="R431" i="31"/>
  <c r="S431" i="31" s="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S446" i="31" s="1"/>
  <c r="R447" i="31"/>
  <c r="R448" i="31"/>
  <c r="S448" i="31" s="1"/>
  <c r="R449" i="31"/>
  <c r="S449" i="31" s="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R477" i="31"/>
  <c r="S477" i="31" s="1"/>
  <c r="R478" i="31"/>
  <c r="S478" i="31" s="1"/>
  <c r="R479" i="31"/>
  <c r="R480" i="31"/>
  <c r="R481" i="31"/>
  <c r="R482" i="31"/>
  <c r="S482" i="31" s="1"/>
  <c r="R483" i="31"/>
  <c r="R484" i="31"/>
  <c r="R485" i="31"/>
  <c r="S485" i="31" s="1"/>
  <c r="R486" i="31"/>
  <c r="S486" i="31" s="1"/>
  <c r="R487" i="31"/>
  <c r="R488" i="31"/>
  <c r="R489" i="31"/>
  <c r="R490" i="31"/>
  <c r="S490" i="31" s="1"/>
  <c r="R491" i="31"/>
  <c r="R492" i="31"/>
  <c r="S492" i="31" s="1"/>
  <c r="R493" i="31"/>
  <c r="S493" i="31" s="1"/>
  <c r="R494" i="31"/>
  <c r="S494" i="31" s="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s="1"/>
  <c r="H42" i="46"/>
  <c r="H41" i="46"/>
  <c r="H40" i="46"/>
  <c r="H39" i="46"/>
  <c r="H38" i="46"/>
  <c r="H37" i="46"/>
  <c r="C10" i="46"/>
  <c r="C11" i="46" s="1"/>
  <c r="C9" i="46"/>
  <c r="E21" i="6"/>
  <c r="E22" i="6"/>
  <c r="E23" i="6"/>
  <c r="E24" i="6"/>
  <c r="E25" i="6"/>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A17" i="3" s="1"/>
  <c r="AZ17" i="3" s="1"/>
  <c r="BB17" i="3"/>
  <c r="BC17" i="3"/>
  <c r="BE17" i="3"/>
  <c r="BF17" i="3"/>
  <c r="BG17" i="3"/>
  <c r="BH17" i="3"/>
  <c r="BI17" i="3"/>
  <c r="BJ17" i="3"/>
  <c r="BK17" i="3"/>
  <c r="BB14" i="3"/>
  <c r="BC14" i="3"/>
  <c r="BD14" i="3"/>
  <c r="BE14" i="3"/>
  <c r="BF14" i="3"/>
  <c r="BG14" i="3"/>
  <c r="BH14" i="3"/>
  <c r="BI14" i="3"/>
  <c r="BJ14" i="3"/>
  <c r="BK14" i="3"/>
  <c r="BB15" i="3"/>
  <c r="BA15" i="3" s="1"/>
  <c r="BC15" i="3"/>
  <c r="BD15" i="3"/>
  <c r="BE15" i="3"/>
  <c r="BF15" i="3"/>
  <c r="BG15" i="3"/>
  <c r="BH15" i="3"/>
  <c r="BI15" i="3"/>
  <c r="BJ15" i="3"/>
  <c r="BK15" i="3"/>
  <c r="BB16" i="3"/>
  <c r="BC16" i="3"/>
  <c r="BD16" i="3"/>
  <c r="BA16" i="3" s="1"/>
  <c r="AZ16" i="3" s="1"/>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6" i="31"/>
  <c r="S415" i="31"/>
  <c r="S414" i="31"/>
  <c r="S413" i="31"/>
  <c r="S412" i="31"/>
  <c r="S411" i="31"/>
  <c r="S410" i="31"/>
  <c r="S408" i="31"/>
  <c r="S406" i="31"/>
  <c r="S405" i="31"/>
  <c r="S404" i="31"/>
  <c r="S402" i="31"/>
  <c r="S400" i="31"/>
  <c r="S399" i="31"/>
  <c r="S398" i="31"/>
  <c r="S397" i="31"/>
  <c r="S396" i="31"/>
  <c r="S395" i="31"/>
  <c r="S394" i="31"/>
  <c r="S392" i="31"/>
  <c r="S391" i="31"/>
  <c r="S390" i="31"/>
  <c r="S389" i="31"/>
  <c r="S388" i="31"/>
  <c r="S387" i="31"/>
  <c r="S386" i="31"/>
  <c r="S384" i="31"/>
  <c r="S383" i="31"/>
  <c r="S382" i="31"/>
  <c r="S381" i="31"/>
  <c r="S380" i="31"/>
  <c r="S379" i="31"/>
  <c r="S378" i="31"/>
  <c r="S376" i="31"/>
  <c r="S374" i="31"/>
  <c r="S373" i="31"/>
  <c r="S372" i="31"/>
  <c r="S370" i="31"/>
  <c r="S368" i="31"/>
  <c r="S367" i="31"/>
  <c r="S366" i="31"/>
  <c r="S365" i="31"/>
  <c r="S364" i="31"/>
  <c r="S363" i="31"/>
  <c r="S362"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5" i="31"/>
  <c r="S221" i="31"/>
  <c r="S219" i="31"/>
  <c r="S217" i="31"/>
  <c r="S215"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59" i="31"/>
  <c r="S155" i="31"/>
  <c r="S151" i="31"/>
  <c r="S147" i="31"/>
  <c r="S143" i="31"/>
  <c r="S141" i="31"/>
  <c r="S139" i="31"/>
  <c r="S135" i="31"/>
  <c r="S133" i="31"/>
  <c r="S131" i="31"/>
  <c r="S127" i="31"/>
  <c r="S123" i="31"/>
  <c r="S497" i="31"/>
  <c r="S496" i="31"/>
  <c r="S495" i="31"/>
  <c r="S491" i="31"/>
  <c r="S489" i="31"/>
  <c r="S488" i="31"/>
  <c r="S487" i="31"/>
  <c r="S484" i="31"/>
  <c r="S483" i="31"/>
  <c r="S481" i="31"/>
  <c r="S480" i="31"/>
  <c r="S479" i="31"/>
  <c r="S476" i="31"/>
  <c r="S475" i="31"/>
  <c r="S473" i="31"/>
  <c r="S471" i="31"/>
  <c r="S469" i="31"/>
  <c r="S443" i="31"/>
  <c r="S441" i="31"/>
  <c r="S439" i="31"/>
  <c r="S437" i="31"/>
  <c r="S435" i="31"/>
  <c r="S433" i="31"/>
  <c r="S121" i="31"/>
  <c r="S117" i="31"/>
  <c r="S115" i="31"/>
  <c r="S113" i="31"/>
  <c r="S467" i="31"/>
  <c r="S465" i="31"/>
  <c r="S463" i="31"/>
  <c r="S461" i="31"/>
  <c r="S459" i="31"/>
  <c r="S457" i="31"/>
  <c r="S455" i="31"/>
  <c r="S453" i="31"/>
  <c r="S451" i="31"/>
  <c r="S53" i="31"/>
  <c r="S49" i="31"/>
  <c r="S45" i="31"/>
  <c r="S43" i="31"/>
  <c r="S41" i="31"/>
  <c r="S39" i="31"/>
  <c r="S35" i="31"/>
  <c r="S33" i="31"/>
  <c r="S77" i="31"/>
  <c r="S73" i="31"/>
  <c r="S69" i="31"/>
  <c r="S65" i="31"/>
  <c r="S61" i="31"/>
  <c r="S57" i="31"/>
  <c r="S24" i="31"/>
  <c r="S95" i="31"/>
  <c r="S91" i="31"/>
  <c r="S89" i="31"/>
  <c r="S87" i="31"/>
  <c r="S85" i="31"/>
  <c r="S83" i="31"/>
  <c r="S81" i="31"/>
  <c r="S79" i="31"/>
  <c r="S31" i="31"/>
  <c r="S29" i="31"/>
  <c r="S99" i="31"/>
  <c r="S101" i="31"/>
  <c r="S103" i="31"/>
  <c r="S105" i="31"/>
  <c r="S109" i="31"/>
  <c r="S111" i="31"/>
  <c r="S447" i="31"/>
  <c r="S507" i="31"/>
  <c r="S509" i="31"/>
  <c r="S511"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G18" i="3" s="1"/>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L498" i="3" s="1"/>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L523" i="3" s="1"/>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B113" i="39"/>
  <c r="J38" i="39" s="1"/>
  <c r="J30" i="36"/>
  <c r="W30" i="36" s="1"/>
  <c r="H30" i="36"/>
  <c r="U30" i="36" s="1"/>
  <c r="F30" i="36"/>
  <c r="C26" i="35"/>
  <c r="J31" i="35"/>
  <c r="H31" i="35"/>
  <c r="F31" i="35"/>
  <c r="AA31" i="35" s="1"/>
  <c r="D87" i="35"/>
  <c r="E87" i="35" s="1"/>
  <c r="F87" i="35" s="1"/>
  <c r="G87" i="35" s="1"/>
  <c r="H87" i="35" s="1"/>
  <c r="H29" i="35" s="1"/>
  <c r="H34" i="37"/>
  <c r="AB34" i="37" s="1"/>
  <c r="D101" i="37"/>
  <c r="F34" i="37"/>
  <c r="AA34" i="37" s="1"/>
  <c r="D99" i="37"/>
  <c r="E99" i="37" s="1"/>
  <c r="F99" i="37" s="1"/>
  <c r="G99" i="37" s="1"/>
  <c r="H99" i="37" s="1"/>
  <c r="I99" i="37" s="1"/>
  <c r="J99" i="37" s="1"/>
  <c r="K99" i="37" s="1"/>
  <c r="L99" i="37" s="1"/>
  <c r="M99" i="37" s="1"/>
  <c r="H42" i="34"/>
  <c r="J42" i="34"/>
  <c r="F42" i="34"/>
  <c r="J38" i="34"/>
  <c r="D114" i="34"/>
  <c r="E114" i="34" s="1"/>
  <c r="F38" i="34"/>
  <c r="AA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9" i="31"/>
  <c r="S523" i="31"/>
  <c r="F41" i="21"/>
  <c r="S41" i="21" s="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F41" i="40" s="1"/>
  <c r="B117" i="40"/>
  <c r="J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H35" i="40" s="1"/>
  <c r="AB35" i="40" s="1"/>
  <c r="B104" i="40"/>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c r="F97" i="40" s="1"/>
  <c r="G97" i="40" s="1"/>
  <c r="H97" i="40" s="1"/>
  <c r="I97" i="40" s="1"/>
  <c r="J97" i="40" s="1"/>
  <c r="K97" i="40" s="1"/>
  <c r="L97" i="40" s="1"/>
  <c r="M97" i="40" s="1"/>
  <c r="B96" i="40"/>
  <c r="H29" i="40" s="1"/>
  <c r="D93" i="40"/>
  <c r="E93" i="40" s="1"/>
  <c r="D91" i="40"/>
  <c r="E91" i="40" s="1"/>
  <c r="F91" i="40" s="1"/>
  <c r="G91" i="40" s="1"/>
  <c r="D89" i="40"/>
  <c r="E89" i="40" s="1"/>
  <c r="F89" i="40" s="1"/>
  <c r="G89" i="40" s="1"/>
  <c r="H21" i="40"/>
  <c r="AB21" i="40" s="1"/>
  <c r="D87" i="40"/>
  <c r="E87" i="40" s="1"/>
  <c r="D85" i="40"/>
  <c r="E85" i="40" s="1"/>
  <c r="F85" i="40" s="1"/>
  <c r="G85" i="40" s="1"/>
  <c r="J17" i="40"/>
  <c r="AC17" i="40" s="1"/>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J46" i="39" s="1"/>
  <c r="W46" i="39" s="1"/>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AA15" i="39" s="1"/>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J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AA30" i="37" s="1"/>
  <c r="Q29" i="37"/>
  <c r="Z29" i="37" s="1"/>
  <c r="H29" i="37"/>
  <c r="U29" i="37" s="1"/>
  <c r="Q28" i="37"/>
  <c r="Z28" i="37" s="1"/>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H8" i="37"/>
  <c r="F8" i="37"/>
  <c r="S8" i="37" s="1"/>
  <c r="C7" i="37"/>
  <c r="C52" i="37" s="1"/>
  <c r="D52" i="37" s="1"/>
  <c r="E52" i="37" s="1"/>
  <c r="F52" i="37" s="1"/>
  <c r="G52" i="37" s="1"/>
  <c r="H52" i="37" s="1"/>
  <c r="I52" i="37" s="1"/>
  <c r="J52" i="37" s="1"/>
  <c r="K52" i="37" s="1"/>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B73" i="36"/>
  <c r="B71" i="36"/>
  <c r="D70" i="36"/>
  <c r="H22" i="36"/>
  <c r="U22" i="36" s="1"/>
  <c r="D68" i="36"/>
  <c r="E68" i="36" s="1"/>
  <c r="F68" i="36" s="1"/>
  <c r="G68" i="36" s="1"/>
  <c r="D64" i="36"/>
  <c r="E64" i="36" s="1"/>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B73" i="35"/>
  <c r="J23" i="35" s="1"/>
  <c r="B57" i="35"/>
  <c r="B61" i="35"/>
  <c r="B59" i="35"/>
  <c r="B131" i="34"/>
  <c r="J47" i="34" s="1"/>
  <c r="B129" i="34"/>
  <c r="B127" i="34"/>
  <c r="B99" i="34"/>
  <c r="H32" i="34" s="1"/>
  <c r="B97" i="34"/>
  <c r="F31" i="34" s="1"/>
  <c r="S31" i="34" s="1"/>
  <c r="B95" i="34"/>
  <c r="B93" i="34"/>
  <c r="B75" i="34"/>
  <c r="B73" i="34"/>
  <c r="H13" i="34" s="1"/>
  <c r="U13" i="34" s="1"/>
  <c r="B71" i="34"/>
  <c r="B130" i="33"/>
  <c r="B128" i="33"/>
  <c r="J45" i="33" s="1"/>
  <c r="B126" i="33"/>
  <c r="F44" i="33" s="1"/>
  <c r="S44" i="33" s="1"/>
  <c r="B98" i="33"/>
  <c r="F31" i="33"/>
  <c r="B96" i="33"/>
  <c r="F30" i="33" s="1"/>
  <c r="B94" i="33"/>
  <c r="J29" i="33" s="1"/>
  <c r="B74" i="33"/>
  <c r="B72" i="33"/>
  <c r="B70" i="33"/>
  <c r="D96" i="35"/>
  <c r="E96" i="35" s="1"/>
  <c r="F96" i="35" s="1"/>
  <c r="G96" i="35" s="1"/>
  <c r="D94" i="35"/>
  <c r="D84" i="35"/>
  <c r="D80" i="35"/>
  <c r="D72" i="35"/>
  <c r="D70" i="35"/>
  <c r="E70" i="35" s="1"/>
  <c r="F70" i="35" s="1"/>
  <c r="G70" i="35" s="1"/>
  <c r="D66" i="35"/>
  <c r="E66" i="35" s="1"/>
  <c r="D64" i="35"/>
  <c r="E64" i="35" s="1"/>
  <c r="C53" i="35"/>
  <c r="H9" i="35" s="1"/>
  <c r="AB9" i="35" s="1"/>
  <c r="P39" i="35"/>
  <c r="P38" i="35"/>
  <c r="V37" i="35"/>
  <c r="T37" i="35"/>
  <c r="R37" i="35"/>
  <c r="P37" i="35"/>
  <c r="Q36" i="35"/>
  <c r="Z36" i="35" s="1"/>
  <c r="Q35" i="35"/>
  <c r="Z35" i="35" s="1"/>
  <c r="Q34" i="35"/>
  <c r="Z34" i="35"/>
  <c r="Q33" i="35"/>
  <c r="Z33" i="35" s="1"/>
  <c r="Q32" i="35"/>
  <c r="Z32" i="35" s="1"/>
  <c r="H32" i="35"/>
  <c r="AB32" i="35" s="1"/>
  <c r="F32" i="35"/>
  <c r="S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H39" i="34"/>
  <c r="F39" i="34"/>
  <c r="AA39" i="34" s="1"/>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c r="J40" i="33"/>
  <c r="W40" i="33" s="1"/>
  <c r="H40" i="33"/>
  <c r="Q39" i="33"/>
  <c r="Z39" i="33" s="1"/>
  <c r="J39" i="33"/>
  <c r="W39" i="33" s="1"/>
  <c r="Q38" i="33"/>
  <c r="Z38" i="33" s="1"/>
  <c r="J38" i="33"/>
  <c r="W38" i="33" s="1"/>
  <c r="AC38" i="33"/>
  <c r="H38" i="33"/>
  <c r="F38" i="33"/>
  <c r="AA38" i="33"/>
  <c r="Q37" i="33"/>
  <c r="Z37" i="33" s="1"/>
  <c r="Q36" i="33"/>
  <c r="Z36" i="33" s="1"/>
  <c r="Q35" i="33"/>
  <c r="Z35" i="33" s="1"/>
  <c r="H35" i="33"/>
  <c r="AB35" i="33"/>
  <c r="Q34" i="33"/>
  <c r="Z34" i="33" s="1"/>
  <c r="Q33" i="33"/>
  <c r="Z33" i="33"/>
  <c r="J33" i="33"/>
  <c r="H33" i="33"/>
  <c r="AB33" i="33" s="1"/>
  <c r="F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Q11" i="33"/>
  <c r="Z11" i="33" s="1"/>
  <c r="Q10" i="33"/>
  <c r="Z10" i="33"/>
  <c r="Q9" i="33"/>
  <c r="Z9" i="33" s="1"/>
  <c r="J8" i="33"/>
  <c r="H8" i="33"/>
  <c r="F8" i="33"/>
  <c r="M102" i="21"/>
  <c r="D102" i="21"/>
  <c r="E102" i="21"/>
  <c r="F102" i="21"/>
  <c r="G102" i="21"/>
  <c r="H102" i="21"/>
  <c r="I102" i="21"/>
  <c r="J102" i="21"/>
  <c r="K102" i="21"/>
  <c r="L102" i="21"/>
  <c r="C102" i="21"/>
  <c r="C63" i="21"/>
  <c r="G18" i="20"/>
  <c r="B90" i="46" s="1"/>
  <c r="C25" i="40"/>
  <c r="G16" i="20"/>
  <c r="G15" i="20"/>
  <c r="C24" i="20"/>
  <c r="B75" i="46" s="1"/>
  <c r="C21" i="20"/>
  <c r="B76" i="46" s="1"/>
  <c r="C20" i="20"/>
  <c r="B69" i="46" s="1"/>
  <c r="C18" i="20"/>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D77" i="21"/>
  <c r="E77" i="21" s="1"/>
  <c r="B130" i="21"/>
  <c r="B128" i="21"/>
  <c r="B126" i="21"/>
  <c r="F44" i="21" s="1"/>
  <c r="AA44" i="21" s="1"/>
  <c r="B98" i="21"/>
  <c r="B96" i="21"/>
  <c r="B94" i="21"/>
  <c r="H29" i="21" s="1"/>
  <c r="B92" i="21"/>
  <c r="B90" i="21"/>
  <c r="J27" i="21" s="1"/>
  <c r="W27" i="21" s="1"/>
  <c r="B74" i="21"/>
  <c r="H14" i="21" s="1"/>
  <c r="B72" i="21"/>
  <c r="B70" i="21"/>
  <c r="J12" i="21" s="1"/>
  <c r="F10" i="2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Q39" i="21"/>
  <c r="Z39" i="21" s="1"/>
  <c r="Q40" i="21"/>
  <c r="Z40" i="21" s="1"/>
  <c r="Q41" i="21"/>
  <c r="Z41" i="2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N5" i="3"/>
  <c r="O5" i="3"/>
  <c r="P5" i="3"/>
  <c r="Q5" i="3"/>
  <c r="R5" i="3"/>
  <c r="S5" i="3"/>
  <c r="T5" i="3"/>
  <c r="U5" i="3"/>
  <c r="V5" i="3"/>
  <c r="W5" i="3"/>
  <c r="X5" i="3"/>
  <c r="Y5" i="3"/>
  <c r="Z5" i="3"/>
  <c r="AA5" i="3"/>
  <c r="AB5" i="3"/>
  <c r="H570" i="3"/>
  <c r="H571" i="3"/>
  <c r="H572" i="3"/>
  <c r="G572" i="3" s="1"/>
  <c r="F5" i="3"/>
  <c r="F34" i="21"/>
  <c r="AA34" i="21" s="1"/>
  <c r="H34" i="21"/>
  <c r="H38" i="21"/>
  <c r="AB38" i="21" s="1"/>
  <c r="F38" i="21"/>
  <c r="F39" i="21"/>
  <c r="AA39" i="21" s="1"/>
  <c r="J40" i="21"/>
  <c r="W40" i="21" s="1"/>
  <c r="J8" i="21"/>
  <c r="AC8" i="21" s="1"/>
  <c r="H8" i="21"/>
  <c r="U8" i="21" s="1"/>
  <c r="H9" i="21"/>
  <c r="H10" i="21"/>
  <c r="U10" i="21" s="1"/>
  <c r="H39" i="21"/>
  <c r="AB39" i="21" s="1"/>
  <c r="J34" i="21"/>
  <c r="W34" i="21" s="1"/>
  <c r="H36" i="21"/>
  <c r="U36" i="21" s="1"/>
  <c r="F35" i="21"/>
  <c r="AA35" i="21" s="1"/>
  <c r="J33" i="21"/>
  <c r="W33" i="21" s="1"/>
  <c r="H33" i="21"/>
  <c r="U33" i="21" s="1"/>
  <c r="F33" i="21"/>
  <c r="AA33" i="21" s="1"/>
  <c r="J10" i="21"/>
  <c r="W10" i="21" s="1"/>
  <c r="H26" i="21"/>
  <c r="AB26" i="21" s="1"/>
  <c r="J26" i="21"/>
  <c r="F26" i="21"/>
  <c r="AA41" i="21"/>
  <c r="W41" i="21"/>
  <c r="S10" i="39"/>
  <c r="E103" i="37"/>
  <c r="F103" i="37" s="1"/>
  <c r="G103" i="37" s="1"/>
  <c r="H103" i="37" s="1"/>
  <c r="I103" i="37" s="1"/>
  <c r="J103" i="37" s="1"/>
  <c r="K103" i="37" s="1"/>
  <c r="L103" i="37" s="1"/>
  <c r="M103" i="37" s="1"/>
  <c r="F29" i="36"/>
  <c r="AA29" i="36" s="1"/>
  <c r="F16" i="36"/>
  <c r="AA16" i="36" s="1"/>
  <c r="S31" i="35"/>
  <c r="F36" i="34"/>
  <c r="S36" i="34" s="1"/>
  <c r="H39" i="33"/>
  <c r="U33" i="33"/>
  <c r="W10" i="40"/>
  <c r="U11" i="40"/>
  <c r="U36" i="40"/>
  <c r="U36" i="39"/>
  <c r="H32" i="33"/>
  <c r="J27" i="36"/>
  <c r="W27" i="36" s="1"/>
  <c r="J30" i="35"/>
  <c r="W30" i="35" s="1"/>
  <c r="F22" i="35"/>
  <c r="H10" i="35"/>
  <c r="U10" i="35" s="1"/>
  <c r="J29" i="36"/>
  <c r="AC29" i="36" s="1"/>
  <c r="H33" i="35"/>
  <c r="AB33" i="35" s="1"/>
  <c r="F35" i="37"/>
  <c r="E101" i="37"/>
  <c r="F101" i="37" s="1"/>
  <c r="G101" i="37" s="1"/>
  <c r="H101" i="37" s="1"/>
  <c r="I101" i="37" s="1"/>
  <c r="J101" i="37" s="1"/>
  <c r="K101" i="37" s="1"/>
  <c r="L101" i="37" s="1"/>
  <c r="M101" i="37" s="1"/>
  <c r="J34" i="37"/>
  <c r="H43" i="34"/>
  <c r="H36" i="34"/>
  <c r="F37" i="34"/>
  <c r="F33" i="34"/>
  <c r="S33" i="34" s="1"/>
  <c r="F19" i="34"/>
  <c r="AA19" i="34" s="1"/>
  <c r="J10" i="34"/>
  <c r="AC10" i="34" s="1"/>
  <c r="J28" i="34"/>
  <c r="W28" i="34" s="1"/>
  <c r="S38" i="33"/>
  <c r="F36" i="33"/>
  <c r="S36" i="33" s="1"/>
  <c r="F19" i="33"/>
  <c r="S19" i="33" s="1"/>
  <c r="J19" i="33"/>
  <c r="AC19" i="33" s="1"/>
  <c r="AB30" i="36"/>
  <c r="S34" i="37"/>
  <c r="W36" i="34"/>
  <c r="J19" i="34"/>
  <c r="AC19" i="34" s="1"/>
  <c r="H37" i="33"/>
  <c r="AB37" i="33" s="1"/>
  <c r="S38" i="34"/>
  <c r="J37" i="33"/>
  <c r="J42" i="21"/>
  <c r="AC42" i="21" s="1"/>
  <c r="J44" i="34"/>
  <c r="F44" i="34"/>
  <c r="J10" i="35"/>
  <c r="W10" i="35" s="1"/>
  <c r="AL5" i="3"/>
  <c r="BQ13" i="3"/>
  <c r="J44" i="21"/>
  <c r="AC44" i="21" s="1"/>
  <c r="H28" i="33"/>
  <c r="F28" i="33"/>
  <c r="AA28" i="33" s="1"/>
  <c r="J28" i="33"/>
  <c r="W28" i="33" s="1"/>
  <c r="F33" i="35"/>
  <c r="S33" i="35" s="1"/>
  <c r="J33" i="35"/>
  <c r="F30" i="35"/>
  <c r="H10" i="36"/>
  <c r="AB10" i="36" s="1"/>
  <c r="F28" i="36"/>
  <c r="F27" i="36"/>
  <c r="F27" i="21"/>
  <c r="AA27" i="21" s="1"/>
  <c r="J31" i="33"/>
  <c r="AC31" i="33" s="1"/>
  <c r="H31" i="33"/>
  <c r="U31" i="33" s="1"/>
  <c r="F11" i="35"/>
  <c r="H28" i="36"/>
  <c r="F13" i="36"/>
  <c r="S13" i="36" s="1"/>
  <c r="E89" i="37"/>
  <c r="F89" i="37" s="1"/>
  <c r="G89" i="37" s="1"/>
  <c r="H89" i="37" s="1"/>
  <c r="I89" i="37" s="1"/>
  <c r="J89" i="37" s="1"/>
  <c r="K89" i="37" s="1"/>
  <c r="L89" i="37" s="1"/>
  <c r="M89" i="37" s="1"/>
  <c r="J29" i="37"/>
  <c r="F29" i="37"/>
  <c r="AA29" i="37" s="1"/>
  <c r="AB36" i="37"/>
  <c r="J37" i="37"/>
  <c r="AC37" i="37" s="1"/>
  <c r="H37" i="37"/>
  <c r="H40" i="37"/>
  <c r="U40" i="37" s="1"/>
  <c r="J40" i="37"/>
  <c r="AC40" i="37" s="1"/>
  <c r="F40" i="37"/>
  <c r="AA40" i="37" s="1"/>
  <c r="H14" i="33"/>
  <c r="U14" i="33" s="1"/>
  <c r="F14" i="33"/>
  <c r="AA14" i="33" s="1"/>
  <c r="J14" i="33"/>
  <c r="AC14" i="33" s="1"/>
  <c r="F13" i="34"/>
  <c r="J29" i="34"/>
  <c r="AC29" i="34" s="1"/>
  <c r="F45" i="34"/>
  <c r="H25" i="36"/>
  <c r="F28" i="37"/>
  <c r="AA28" i="37" s="1"/>
  <c r="J28" i="37"/>
  <c r="AC28" i="37" s="1"/>
  <c r="H28" i="37"/>
  <c r="U28" i="37" s="1"/>
  <c r="H38" i="37"/>
  <c r="AB38" i="37" s="1"/>
  <c r="J38" i="37"/>
  <c r="AC38" i="37" s="1"/>
  <c r="F38" i="37"/>
  <c r="S38" i="37" s="1"/>
  <c r="J36" i="37"/>
  <c r="AC36" i="37" s="1"/>
  <c r="U36" i="37"/>
  <c r="G539" i="3"/>
  <c r="BL557" i="3"/>
  <c r="G514"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G506" i="3" s="1"/>
  <c r="BQ506" i="3"/>
  <c r="BQ504" i="3"/>
  <c r="BQ502" i="3"/>
  <c r="BQ500" i="3"/>
  <c r="BL500" i="3" s="1"/>
  <c r="BQ498" i="3"/>
  <c r="BQ496" i="3"/>
  <c r="AC494" i="3"/>
  <c r="BQ494" i="3"/>
  <c r="BQ492" i="3"/>
  <c r="BQ490" i="3"/>
  <c r="BQ488" i="3"/>
  <c r="BQ486" i="3"/>
  <c r="BQ484" i="3"/>
  <c r="BQ482" i="3"/>
  <c r="BQ20" i="3"/>
  <c r="BQ18" i="3"/>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F23" i="37"/>
  <c r="AA23" i="37" s="1"/>
  <c r="F79" i="37"/>
  <c r="G79" i="37" s="1"/>
  <c r="F39" i="33"/>
  <c r="F42" i="33"/>
  <c r="H28" i="34"/>
  <c r="AB28" i="34" s="1"/>
  <c r="F22" i="36"/>
  <c r="S22" i="36" s="1"/>
  <c r="H35" i="34"/>
  <c r="U35" i="34" s="1"/>
  <c r="F41" i="34"/>
  <c r="S41" i="34" s="1"/>
  <c r="H41" i="34"/>
  <c r="U41" i="34" s="1"/>
  <c r="J41" i="34"/>
  <c r="W41" i="34" s="1"/>
  <c r="F10" i="35"/>
  <c r="AA10" i="35" s="1"/>
  <c r="H23" i="37"/>
  <c r="AB23" i="37" s="1"/>
  <c r="J32" i="37"/>
  <c r="AC32" i="37" s="1"/>
  <c r="F36" i="37"/>
  <c r="F37" i="37"/>
  <c r="H42" i="33"/>
  <c r="U42" i="33" s="1"/>
  <c r="J43" i="33"/>
  <c r="AC43" i="33" s="1"/>
  <c r="J23" i="37"/>
  <c r="W23" i="37" s="1"/>
  <c r="F17" i="37"/>
  <c r="AA17" i="37" s="1"/>
  <c r="AC36" i="34"/>
  <c r="F43" i="33"/>
  <c r="AA43" i="33"/>
  <c r="H19" i="34"/>
  <c r="J10" i="37"/>
  <c r="AC10" i="37" s="1"/>
  <c r="F11" i="37"/>
  <c r="S11" i="37" s="1"/>
  <c r="H12" i="37"/>
  <c r="H15" i="37"/>
  <c r="E94" i="37"/>
  <c r="F94" i="37" s="1"/>
  <c r="G94" i="37" s="1"/>
  <c r="H94" i="37" s="1"/>
  <c r="I94" i="37" s="1"/>
  <c r="J94" i="37" s="1"/>
  <c r="K94" i="37" s="1"/>
  <c r="L94" i="37" s="1"/>
  <c r="M94" i="37" s="1"/>
  <c r="F31" i="37"/>
  <c r="H31" i="37"/>
  <c r="J15" i="37"/>
  <c r="W15" i="37" s="1"/>
  <c r="J11" i="37"/>
  <c r="F21" i="40"/>
  <c r="S21" i="40" s="1"/>
  <c r="J21" i="40"/>
  <c r="S27" i="31"/>
  <c r="G501" i="3"/>
  <c r="BL17" i="3"/>
  <c r="J57" i="39"/>
  <c r="H13" i="40"/>
  <c r="U13" i="40" s="1"/>
  <c r="I4" i="4"/>
  <c r="K141" i="21"/>
  <c r="K143" i="21"/>
  <c r="K144" i="21"/>
  <c r="I58" i="40"/>
  <c r="C58" i="40" s="1"/>
  <c r="BL298" i="3"/>
  <c r="G299" i="3"/>
  <c r="G323" i="3"/>
  <c r="BL324" i="3"/>
  <c r="G339" i="3"/>
  <c r="BA343" i="3"/>
  <c r="BL343" i="3"/>
  <c r="G344" i="3"/>
  <c r="BL354" i="3"/>
  <c r="G355" i="3"/>
  <c r="G359" i="3"/>
  <c r="BA361" i="3"/>
  <c r="G371" i="3"/>
  <c r="BL372" i="3"/>
  <c r="BA376"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L147" i="3"/>
  <c r="G148" i="3"/>
  <c r="BA150" i="3"/>
  <c r="BL154" i="3"/>
  <c r="G155" i="3"/>
  <c r="BL158" i="3"/>
  <c r="G159" i="3"/>
  <c r="BA161" i="3"/>
  <c r="G163" i="3"/>
  <c r="BA165" i="3"/>
  <c r="BL166" i="3"/>
  <c r="G167" i="3"/>
  <c r="BA169" i="3"/>
  <c r="BL170" i="3"/>
  <c r="G171" i="3"/>
  <c r="BL174" i="3"/>
  <c r="G175" i="3"/>
  <c r="BL179" i="3"/>
  <c r="G180" i="3"/>
  <c r="BL181" i="3"/>
  <c r="G182" i="3"/>
  <c r="BA184" i="3"/>
  <c r="G186" i="3"/>
  <c r="BA188" i="3"/>
  <c r="BL189" i="3"/>
  <c r="G190" i="3"/>
  <c r="BA192" i="3"/>
  <c r="BL193" i="3"/>
  <c r="G194" i="3"/>
  <c r="BA196" i="3"/>
  <c r="BL197" i="3"/>
  <c r="G198" i="3"/>
  <c r="BA200" i="3"/>
  <c r="BL201" i="3"/>
  <c r="G300" i="3"/>
  <c r="BL307" i="3"/>
  <c r="G308" i="3"/>
  <c r="G324" i="3"/>
  <c r="G327" i="3"/>
  <c r="G332" i="3"/>
  <c r="G335" i="3"/>
  <c r="BA338" i="3"/>
  <c r="G340" i="3"/>
  <c r="G343" i="3"/>
  <c r="G348" i="3"/>
  <c r="G351" i="3"/>
  <c r="BA355" i="3"/>
  <c r="G356" i="3"/>
  <c r="BA359" i="3"/>
  <c r="BL359" i="3"/>
  <c r="G360" i="3"/>
  <c r="BA364" i="3"/>
  <c r="G366" i="3"/>
  <c r="BL373" i="3"/>
  <c r="BL378" i="3"/>
  <c r="G523" i="3"/>
  <c r="BL297" i="3"/>
  <c r="G298" i="3"/>
  <c r="G310" i="3"/>
  <c r="G312" i="3"/>
  <c r="G316" i="3"/>
  <c r="BA320" i="3"/>
  <c r="G334" i="3"/>
  <c r="BL341" i="3"/>
  <c r="G350" i="3"/>
  <c r="G354" i="3"/>
  <c r="BL363" i="3"/>
  <c r="G364" i="3"/>
  <c r="G368" i="3"/>
  <c r="G372" i="3"/>
  <c r="BA374" i="3"/>
  <c r="G376" i="3"/>
  <c r="G380" i="3"/>
  <c r="G384" i="3"/>
  <c r="F37" i="46"/>
  <c r="F77" i="40"/>
  <c r="G77" i="40" s="1"/>
  <c r="H77" i="40" s="1"/>
  <c r="I77" i="40" s="1"/>
  <c r="J77" i="40" s="1"/>
  <c r="K77" i="40" s="1"/>
  <c r="L77" i="40" s="1"/>
  <c r="M77" i="40" s="1"/>
  <c r="R16" i="4"/>
  <c r="G4" i="4"/>
  <c r="H11" i="37"/>
  <c r="W37" i="37"/>
  <c r="J33" i="34"/>
  <c r="J40" i="34"/>
  <c r="J35" i="34"/>
  <c r="F107" i="34"/>
  <c r="G107" i="34" s="1"/>
  <c r="H107" i="34" s="1"/>
  <c r="I107" i="34" s="1"/>
  <c r="J107" i="34" s="1"/>
  <c r="K107" i="34" s="1"/>
  <c r="L107" i="34" s="1"/>
  <c r="M107" i="34" s="1"/>
  <c r="H16" i="36"/>
  <c r="AB16" i="36" s="1"/>
  <c r="H35" i="37"/>
  <c r="AB35" i="37" s="1"/>
  <c r="F40" i="21"/>
  <c r="S40" i="21" s="1"/>
  <c r="H40" i="21"/>
  <c r="F10" i="33"/>
  <c r="AA10" i="33" s="1"/>
  <c r="F11" i="33"/>
  <c r="J15" i="33"/>
  <c r="W15" i="33" s="1"/>
  <c r="H19" i="33"/>
  <c r="AB19" i="33" s="1"/>
  <c r="F32" i="33"/>
  <c r="AA32" i="33"/>
  <c r="J32" i="33"/>
  <c r="F35" i="33"/>
  <c r="F11" i="34"/>
  <c r="H17" i="34"/>
  <c r="AC27" i="34"/>
  <c r="W27" i="34"/>
  <c r="J12" i="34"/>
  <c r="H12" i="34"/>
  <c r="F12" i="34"/>
  <c r="S12" i="34" s="1"/>
  <c r="H30" i="34"/>
  <c r="AB30" i="34" s="1"/>
  <c r="F30" i="34"/>
  <c r="AA30" i="34" s="1"/>
  <c r="J30" i="34"/>
  <c r="W30" i="34" s="1"/>
  <c r="H46" i="34"/>
  <c r="AB46" i="34" s="1"/>
  <c r="F46" i="34"/>
  <c r="AA46" i="34" s="1"/>
  <c r="J46" i="34"/>
  <c r="AC46" i="34" s="1"/>
  <c r="H11" i="35"/>
  <c r="AB11" i="35" s="1"/>
  <c r="J11" i="35"/>
  <c r="AC11" i="35" s="1"/>
  <c r="H32" i="37"/>
  <c r="F19" i="39"/>
  <c r="S19" i="39" s="1"/>
  <c r="H19" i="39"/>
  <c r="AB19" i="39" s="1"/>
  <c r="J19" i="39"/>
  <c r="W19" i="39" s="1"/>
  <c r="F43" i="39"/>
  <c r="AA43" i="39" s="1"/>
  <c r="S28" i="33"/>
  <c r="W19" i="33"/>
  <c r="U43" i="34"/>
  <c r="AB43" i="34"/>
  <c r="F42" i="21"/>
  <c r="AA42" i="21" s="1"/>
  <c r="S35" i="34"/>
  <c r="H27" i="34"/>
  <c r="E80" i="35"/>
  <c r="F80" i="35" s="1"/>
  <c r="G80" i="35" s="1"/>
  <c r="H80" i="35" s="1"/>
  <c r="I80" i="35" s="1"/>
  <c r="J80" i="35" s="1"/>
  <c r="K80" i="35" s="1"/>
  <c r="L80" i="35" s="1"/>
  <c r="M80" i="35" s="1"/>
  <c r="E94" i="35"/>
  <c r="F94" i="35" s="1"/>
  <c r="G94" i="35" s="1"/>
  <c r="H94" i="35" s="1"/>
  <c r="I94" i="35" s="1"/>
  <c r="J94" i="35" s="1"/>
  <c r="K94" i="35" s="1"/>
  <c r="L94" i="35" s="1"/>
  <c r="M94" i="35" s="1"/>
  <c r="J32" i="35"/>
  <c r="AC32" i="35" s="1"/>
  <c r="F26" i="36"/>
  <c r="S26" i="36" s="1"/>
  <c r="H27" i="36"/>
  <c r="AC26" i="37"/>
  <c r="W26" i="37"/>
  <c r="AB29" i="37"/>
  <c r="W31" i="37"/>
  <c r="F17" i="39"/>
  <c r="AA17" i="39" s="1"/>
  <c r="H17" i="39"/>
  <c r="U17" i="39" s="1"/>
  <c r="J17" i="39"/>
  <c r="F21" i="39"/>
  <c r="S21" i="39" s="1"/>
  <c r="H21" i="39"/>
  <c r="AB21" i="39" s="1"/>
  <c r="J21" i="39"/>
  <c r="W21" i="39" s="1"/>
  <c r="F44" i="39"/>
  <c r="S44" i="39" s="1"/>
  <c r="H44" i="39"/>
  <c r="U44" i="39" s="1"/>
  <c r="J44" i="39"/>
  <c r="W44" i="39" s="1"/>
  <c r="E127" i="39"/>
  <c r="F127" i="39" s="1"/>
  <c r="G127" i="39" s="1"/>
  <c r="H127" i="39" s="1"/>
  <c r="I127" i="39" s="1"/>
  <c r="J127" i="39" s="1"/>
  <c r="K127" i="39" s="1"/>
  <c r="L127" i="39" s="1"/>
  <c r="M127" i="39" s="1"/>
  <c r="E102" i="39"/>
  <c r="H29" i="39"/>
  <c r="F34" i="39"/>
  <c r="AA34" i="39" s="1"/>
  <c r="H34" i="39"/>
  <c r="AB34" i="39"/>
  <c r="J34" i="39"/>
  <c r="AC34" i="39" s="1"/>
  <c r="J39" i="39"/>
  <c r="H37" i="39"/>
  <c r="AB37" i="39" s="1"/>
  <c r="J37" i="39"/>
  <c r="W37" i="39" s="1"/>
  <c r="BA533" i="3"/>
  <c r="F114" i="34"/>
  <c r="G114" i="34" s="1"/>
  <c r="H114" i="34" s="1"/>
  <c r="I114" i="34" s="1"/>
  <c r="J114" i="34" s="1"/>
  <c r="K114" i="34" s="1"/>
  <c r="L114" i="34" s="1"/>
  <c r="M114" i="34" s="1"/>
  <c r="H38" i="34"/>
  <c r="H30" i="40"/>
  <c r="AB30" i="40" s="1"/>
  <c r="J30" i="40"/>
  <c r="AC30" i="40" s="1"/>
  <c r="F38" i="40"/>
  <c r="AB33" i="21"/>
  <c r="H34" i="33"/>
  <c r="U34" i="33" s="1"/>
  <c r="F34" i="33"/>
  <c r="F41" i="33"/>
  <c r="S41" i="33" s="1"/>
  <c r="AC34" i="34"/>
  <c r="W34" i="34"/>
  <c r="S39" i="34"/>
  <c r="F15" i="34"/>
  <c r="S15" i="34" s="1"/>
  <c r="J20" i="35"/>
  <c r="AC20" i="35" s="1"/>
  <c r="E72" i="35"/>
  <c r="F72" i="35" s="1"/>
  <c r="G72" i="35" s="1"/>
  <c r="H22" i="35"/>
  <c r="AB22" i="35" s="1"/>
  <c r="H23" i="35"/>
  <c r="AB23" i="35" s="1"/>
  <c r="F23" i="35"/>
  <c r="AA23" i="35" s="1"/>
  <c r="AA8" i="37"/>
  <c r="F16" i="39"/>
  <c r="H16" i="39"/>
  <c r="U16" i="39" s="1"/>
  <c r="J16" i="39"/>
  <c r="AC16" i="39" s="1"/>
  <c r="F15" i="40"/>
  <c r="AA15" i="40" s="1"/>
  <c r="J15" i="40"/>
  <c r="W15" i="40" s="1"/>
  <c r="H15" i="40"/>
  <c r="AB15" i="40" s="1"/>
  <c r="H23" i="40"/>
  <c r="AB23" i="40" s="1"/>
  <c r="U23" i="40"/>
  <c r="H41" i="40"/>
  <c r="AB41" i="40" s="1"/>
  <c r="J41" i="40"/>
  <c r="H36" i="33"/>
  <c r="AB36" i="33" s="1"/>
  <c r="H37" i="34"/>
  <c r="U37" i="34" s="1"/>
  <c r="H15" i="39"/>
  <c r="U15" i="39" s="1"/>
  <c r="J15" i="39"/>
  <c r="AC15" i="39" s="1"/>
  <c r="H25" i="39"/>
  <c r="U25" i="39" s="1"/>
  <c r="J25" i="39"/>
  <c r="AC25" i="39" s="1"/>
  <c r="F25" i="39"/>
  <c r="AA25" i="39" s="1"/>
  <c r="F47" i="39"/>
  <c r="F41" i="39"/>
  <c r="AA41" i="39" s="1"/>
  <c r="H41" i="39"/>
  <c r="AB41" i="39" s="1"/>
  <c r="J41" i="39"/>
  <c r="AC41" i="39" s="1"/>
  <c r="J25" i="40"/>
  <c r="AC25" i="40" s="1"/>
  <c r="J32" i="40"/>
  <c r="AC32" i="40" s="1"/>
  <c r="H32" i="40"/>
  <c r="U32" i="40" s="1"/>
  <c r="J33" i="40"/>
  <c r="AC33" i="40" s="1"/>
  <c r="J35" i="40"/>
  <c r="AC35" i="40" s="1"/>
  <c r="H42" i="40"/>
  <c r="AB42" i="40" s="1"/>
  <c r="H34" i="40"/>
  <c r="AB34" i="40" s="1"/>
  <c r="U34" i="40"/>
  <c r="H16" i="40"/>
  <c r="AB16" i="40" s="1"/>
  <c r="H14" i="40"/>
  <c r="F32" i="40"/>
  <c r="AA32" i="40" s="1"/>
  <c r="F61" i="46"/>
  <c r="H61" i="46" s="1"/>
  <c r="F72" i="46"/>
  <c r="H74" i="46" s="1"/>
  <c r="J13" i="40"/>
  <c r="W13" i="40" s="1"/>
  <c r="J23" i="40"/>
  <c r="AC23" i="40" s="1"/>
  <c r="F23" i="40"/>
  <c r="S23" i="40" s="1"/>
  <c r="H20" i="35"/>
  <c r="U20" i="35" s="1"/>
  <c r="F20" i="35"/>
  <c r="S20" i="35" s="1"/>
  <c r="H15" i="34"/>
  <c r="AB15" i="34" s="1"/>
  <c r="J15" i="34"/>
  <c r="H41" i="33"/>
  <c r="U41" i="33" s="1"/>
  <c r="F30" i="40"/>
  <c r="F33" i="37"/>
  <c r="AA33" i="37" s="1"/>
  <c r="U19" i="39"/>
  <c r="U46" i="34"/>
  <c r="H15" i="33"/>
  <c r="U15" i="33" s="1"/>
  <c r="H25" i="40"/>
  <c r="AB25" i="40" s="1"/>
  <c r="F93" i="40"/>
  <c r="G93" i="40" s="1"/>
  <c r="J37" i="34"/>
  <c r="W37" i="34" s="1"/>
  <c r="J36" i="33"/>
  <c r="J34" i="33"/>
  <c r="AC34" i="33" s="1"/>
  <c r="U30" i="40"/>
  <c r="U34" i="39"/>
  <c r="F27" i="34"/>
  <c r="S27" i="34" s="1"/>
  <c r="F32" i="37"/>
  <c r="U11" i="35"/>
  <c r="F17" i="34"/>
  <c r="AA17" i="34" s="1"/>
  <c r="J17" i="34"/>
  <c r="AC17" i="34" s="1"/>
  <c r="H11" i="34"/>
  <c r="AB11" i="34" s="1"/>
  <c r="J35" i="33"/>
  <c r="W35" i="33" s="1"/>
  <c r="S32" i="33"/>
  <c r="H11" i="33"/>
  <c r="U11" i="33" s="1"/>
  <c r="H10" i="33"/>
  <c r="U10" i="33" s="1"/>
  <c r="J10" i="33"/>
  <c r="W10" i="33" s="1"/>
  <c r="J11" i="34"/>
  <c r="AC11" i="34" s="1"/>
  <c r="F25" i="40"/>
  <c r="AA25" i="40" s="1"/>
  <c r="J11" i="33"/>
  <c r="W11" i="33" s="1"/>
  <c r="H33" i="37"/>
  <c r="AB33" i="37" s="1"/>
  <c r="B11" i="1"/>
  <c r="E11" i="1" s="1"/>
  <c r="K11" i="1"/>
  <c r="M11" i="1" s="1"/>
  <c r="B9" i="1"/>
  <c r="E9" i="1" s="1"/>
  <c r="K9" i="1"/>
  <c r="M9" i="1" s="1"/>
  <c r="B7" i="1"/>
  <c r="E7" i="1" s="1"/>
  <c r="AP6" i="1"/>
  <c r="S8" i="36"/>
  <c r="H20" i="36"/>
  <c r="U20" i="36" s="1"/>
  <c r="J20" i="36"/>
  <c r="AC20" i="36" s="1"/>
  <c r="F20" i="36"/>
  <c r="S20" i="36"/>
  <c r="F62" i="36"/>
  <c r="G62" i="36" s="1"/>
  <c r="J14" i="36"/>
  <c r="AC14" i="36" s="1"/>
  <c r="H14" i="36"/>
  <c r="F14" i="36"/>
  <c r="AA14" i="36" s="1"/>
  <c r="U9" i="36"/>
  <c r="U22" i="35"/>
  <c r="AC18" i="35"/>
  <c r="W18" i="35"/>
  <c r="AA9" i="37"/>
  <c r="W28" i="37"/>
  <c r="J33" i="37"/>
  <c r="W33" i="37" s="1"/>
  <c r="J19" i="37"/>
  <c r="AC19" i="37" s="1"/>
  <c r="G75" i="37"/>
  <c r="F19" i="37"/>
  <c r="AA19" i="37" s="1"/>
  <c r="H19" i="37"/>
  <c r="J17" i="37"/>
  <c r="AC17" i="37" s="1"/>
  <c r="S15" i="37"/>
  <c r="AC21" i="37"/>
  <c r="W21" i="37"/>
  <c r="W32" i="37"/>
  <c r="AB21" i="37"/>
  <c r="U21" i="37"/>
  <c r="S40" i="37"/>
  <c r="AA11" i="37"/>
  <c r="AA40" i="34"/>
  <c r="AB33" i="34"/>
  <c r="AA12" i="34"/>
  <c r="U34" i="34"/>
  <c r="J25" i="34"/>
  <c r="W25" i="34" s="1"/>
  <c r="H25" i="34"/>
  <c r="U25" i="34" s="1"/>
  <c r="F25" i="34"/>
  <c r="AA25" i="34" s="1"/>
  <c r="J23" i="34"/>
  <c r="AC23" i="34" s="1"/>
  <c r="F23" i="34"/>
  <c r="AA23" i="34" s="1"/>
  <c r="H23" i="34"/>
  <c r="U23" i="34" s="1"/>
  <c r="U11" i="34"/>
  <c r="W29" i="34"/>
  <c r="AC21" i="34"/>
  <c r="W21" i="34"/>
  <c r="AB21" i="34"/>
  <c r="U21" i="34"/>
  <c r="AA41" i="34"/>
  <c r="AB41" i="33"/>
  <c r="U36" i="33"/>
  <c r="AC35" i="33"/>
  <c r="W31" i="33"/>
  <c r="W43" i="33"/>
  <c r="U35" i="33"/>
  <c r="H25" i="33"/>
  <c r="J25" i="33"/>
  <c r="F25" i="33"/>
  <c r="AA25" i="33" s="1"/>
  <c r="J23" i="33"/>
  <c r="AC23" i="33" s="1"/>
  <c r="F23" i="33"/>
  <c r="S23" i="33" s="1"/>
  <c r="H23" i="33"/>
  <c r="AB23" i="33" s="1"/>
  <c r="U19" i="33"/>
  <c r="F17" i="33"/>
  <c r="S17" i="33" s="1"/>
  <c r="H17" i="33"/>
  <c r="U17" i="33" s="1"/>
  <c r="J17" i="33"/>
  <c r="AC17" i="33" s="1"/>
  <c r="AC11" i="33"/>
  <c r="S14" i="33"/>
  <c r="AC21" i="33"/>
  <c r="W21" i="33"/>
  <c r="AB21" i="33"/>
  <c r="U21" i="33"/>
  <c r="AA21" i="33"/>
  <c r="S21" i="33"/>
  <c r="AA44" i="33"/>
  <c r="AA36" i="33"/>
  <c r="AC21" i="21"/>
  <c r="W21" i="21"/>
  <c r="W44" i="21"/>
  <c r="AB21" i="21"/>
  <c r="U21" i="21"/>
  <c r="S15" i="40"/>
  <c r="AB13" i="40"/>
  <c r="S16" i="40"/>
  <c r="W11" i="40"/>
  <c r="U35" i="40"/>
  <c r="F37" i="40"/>
  <c r="AA37" i="40" s="1"/>
  <c r="J37" i="40"/>
  <c r="AC37" i="40" s="1"/>
  <c r="H37" i="40"/>
  <c r="U37" i="40" s="1"/>
  <c r="G112" i="40"/>
  <c r="H112" i="40" s="1"/>
  <c r="I112" i="40" s="1"/>
  <c r="J112" i="40" s="1"/>
  <c r="K112" i="40" s="1"/>
  <c r="L112" i="40" s="1"/>
  <c r="M112" i="40" s="1"/>
  <c r="F39" i="40"/>
  <c r="S39" i="40" s="1"/>
  <c r="H39" i="40"/>
  <c r="U39" i="40" s="1"/>
  <c r="J39" i="40"/>
  <c r="AC39" i="40" s="1"/>
  <c r="F29" i="40"/>
  <c r="AA29" i="40" s="1"/>
  <c r="AA23" i="40"/>
  <c r="F87" i="40"/>
  <c r="G87" i="40" s="1"/>
  <c r="F19" i="40"/>
  <c r="AA19" i="40" s="1"/>
  <c r="H19" i="40"/>
  <c r="U19" i="40" s="1"/>
  <c r="J19" i="40"/>
  <c r="W19" i="40" s="1"/>
  <c r="W17" i="40"/>
  <c r="F17" i="40"/>
  <c r="AA17" i="40" s="1"/>
  <c r="H17" i="40"/>
  <c r="U17" i="40" s="1"/>
  <c r="U10" i="40"/>
  <c r="U27" i="40"/>
  <c r="AB27" i="40"/>
  <c r="S11" i="39"/>
  <c r="AA21" i="39"/>
  <c r="AC21" i="39"/>
  <c r="U31" i="39"/>
  <c r="AB31" i="39"/>
  <c r="A18" i="64"/>
  <c r="B74" i="63" s="1"/>
  <c r="C53" i="10"/>
  <c r="A25" i="64" s="1"/>
  <c r="A18" i="51"/>
  <c r="B14" i="63" s="1"/>
  <c r="BL16" i="3"/>
  <c r="G28" i="12"/>
  <c r="D24" i="44"/>
  <c r="D26" i="44"/>
  <c r="F50" i="46"/>
  <c r="H52" i="46" s="1"/>
  <c r="C6" i="46"/>
  <c r="I5" i="48"/>
  <c r="K21" i="46"/>
  <c r="F42" i="46"/>
  <c r="D74" i="46"/>
  <c r="D87" i="46"/>
  <c r="D72" i="46"/>
  <c r="A4" i="64"/>
  <c r="A4" i="51"/>
  <c r="B6" i="63" s="1"/>
  <c r="C51" i="10"/>
  <c r="A9" i="64" s="1"/>
  <c r="H83" i="46"/>
  <c r="H87" i="46"/>
  <c r="U13" i="37"/>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U16" i="36"/>
  <c r="W28" i="36"/>
  <c r="AA22" i="36"/>
  <c r="W9" i="36"/>
  <c r="W8" i="36"/>
  <c r="W35" i="37"/>
  <c r="AC33" i="37"/>
  <c r="W38" i="37"/>
  <c r="AB28" i="37"/>
  <c r="AB35" i="34"/>
  <c r="S19" i="34"/>
  <c r="S43" i="33"/>
  <c r="AB42" i="33"/>
  <c r="S15" i="33"/>
  <c r="AA25" i="21"/>
  <c r="S27" i="21"/>
  <c r="AC27" i="21"/>
  <c r="G95" i="40"/>
  <c r="J27" i="40"/>
  <c r="W27" i="40" s="1"/>
  <c r="W37" i="40"/>
  <c r="W30" i="40"/>
  <c r="U38" i="40"/>
  <c r="S42" i="40"/>
  <c r="G104" i="39"/>
  <c r="J31" i="39"/>
  <c r="W31" i="39" s="1"/>
  <c r="S34" i="39"/>
  <c r="W42" i="39"/>
  <c r="W36" i="39"/>
  <c r="AC37" i="39"/>
  <c r="S15" i="39"/>
  <c r="W10" i="39"/>
  <c r="U42" i="39"/>
  <c r="S32" i="40"/>
  <c r="C19" i="40"/>
  <c r="C17" i="39"/>
  <c r="C21" i="39"/>
  <c r="B54" i="46"/>
  <c r="B62" i="46"/>
  <c r="B65" i="46"/>
  <c r="B56" i="46"/>
  <c r="B67" i="46"/>
  <c r="D24" i="15"/>
  <c r="AA20" i="36"/>
  <c r="U14" i="36"/>
  <c r="AB14" i="36"/>
  <c r="W19" i="37"/>
  <c r="AB19" i="37"/>
  <c r="U19" i="37"/>
  <c r="S25" i="34"/>
  <c r="AB23" i="34"/>
  <c r="S23" i="34"/>
  <c r="U23" i="33"/>
  <c r="W23" i="33"/>
  <c r="AB39" i="40"/>
  <c r="AA39" i="40"/>
  <c r="AB37" i="40"/>
  <c r="AT6" i="3"/>
  <c r="E4" i="4"/>
  <c r="B21" i="55" s="1"/>
  <c r="B72" i="63" s="1"/>
  <c r="C4" i="4"/>
  <c r="B20" i="55" s="1"/>
  <c r="B70" i="63" s="1"/>
  <c r="J18" i="36"/>
  <c r="W18" i="36" s="1"/>
  <c r="AC18" i="36"/>
  <c r="L20" i="6"/>
  <c r="N76" i="9"/>
  <c r="C46" i="9"/>
  <c r="O41" i="9" s="1"/>
  <c r="R8" i="54" s="1"/>
  <c r="B54" i="63" s="1"/>
  <c r="K33" i="9"/>
  <c r="K34" i="9" s="1"/>
  <c r="B8" i="66"/>
  <c r="J21" i="46"/>
  <c r="F38" i="46"/>
  <c r="F41" i="46"/>
  <c r="F40" i="46"/>
  <c r="H117" i="46"/>
  <c r="D24" i="59"/>
  <c r="C23" i="59"/>
  <c r="D23" i="59" s="1"/>
  <c r="AA23" i="59"/>
  <c r="AB23" i="59"/>
  <c r="Y21" i="59"/>
  <c r="Z21" i="59" s="1"/>
  <c r="Y20" i="59"/>
  <c r="Z20" i="59" s="1"/>
  <c r="AB20" i="59"/>
  <c r="AA25" i="59"/>
  <c r="X20" i="59"/>
  <c r="AA21" i="59"/>
  <c r="H1" i="65"/>
  <c r="X7" i="46"/>
  <c r="N21" i="46"/>
  <c r="O21" i="46"/>
  <c r="M21" i="46"/>
  <c r="L21" i="46"/>
  <c r="F39" i="46"/>
  <c r="I21" i="46"/>
  <c r="H72" i="46"/>
  <c r="E13" i="67"/>
  <c r="E12" i="67"/>
  <c r="E14" i="67"/>
  <c r="F13" i="67"/>
  <c r="B12" i="67"/>
  <c r="F9" i="67"/>
  <c r="B8" i="67"/>
  <c r="F11" i="67"/>
  <c r="E11" i="67"/>
  <c r="I3" i="65"/>
  <c r="E8" i="67"/>
  <c r="F14" i="67"/>
  <c r="N6" i="65"/>
  <c r="F12" i="67"/>
  <c r="E9" i="67"/>
  <c r="J6" i="65"/>
  <c r="E10" i="67"/>
  <c r="B14" i="67"/>
  <c r="N3" i="65"/>
  <c r="F10" i="67"/>
  <c r="F8" i="67"/>
  <c r="B11" i="67"/>
  <c r="N4" i="65"/>
  <c r="B9" i="67"/>
  <c r="N5" i="65"/>
  <c r="B10" i="67"/>
  <c r="N7" i="65"/>
  <c r="B13" i="67"/>
  <c r="I5" i="65"/>
  <c r="J43" i="39" l="1"/>
  <c r="W43" i="39" s="1"/>
  <c r="H43" i="39"/>
  <c r="U43" i="39" s="1"/>
  <c r="W38" i="39"/>
  <c r="AC38" i="39"/>
  <c r="AC12" i="21"/>
  <c r="W12" i="21"/>
  <c r="F28" i="21"/>
  <c r="J28" i="21"/>
  <c r="AC28" i="21" s="1"/>
  <c r="E101" i="21"/>
  <c r="F101" i="21" s="1"/>
  <c r="G101" i="21" s="1"/>
  <c r="H101" i="21" s="1"/>
  <c r="I101" i="21" s="1"/>
  <c r="J101" i="21" s="1"/>
  <c r="K101" i="21" s="1"/>
  <c r="L101" i="21" s="1"/>
  <c r="M101" i="21" s="1"/>
  <c r="H32" i="21"/>
  <c r="U32" i="21" s="1"/>
  <c r="AC42" i="33"/>
  <c r="W42" i="33"/>
  <c r="AB42" i="34"/>
  <c r="U42" i="34"/>
  <c r="AZ354" i="3"/>
  <c r="AZ358" i="3"/>
  <c r="U19" i="34"/>
  <c r="AB19" i="34"/>
  <c r="AA37" i="34"/>
  <c r="S37" i="34"/>
  <c r="H33" i="40"/>
  <c r="AB33" i="40" s="1"/>
  <c r="F33" i="40"/>
  <c r="AA33" i="40" s="1"/>
  <c r="AA23" i="33"/>
  <c r="U15" i="40"/>
  <c r="W46" i="34"/>
  <c r="S8" i="33"/>
  <c r="AA8" i="33"/>
  <c r="BA499" i="3"/>
  <c r="W39" i="40"/>
  <c r="W23" i="34"/>
  <c r="W14" i="36"/>
  <c r="H28" i="21"/>
  <c r="H12" i="21"/>
  <c r="AB12" i="21" s="1"/>
  <c r="E20" i="6"/>
  <c r="B37" i="9"/>
  <c r="E37" i="9" s="1"/>
  <c r="E39" i="9" s="1"/>
  <c r="G35" i="9" s="1"/>
  <c r="C43" i="9" s="1"/>
  <c r="K47" i="9" s="1"/>
  <c r="A14" i="55" s="1"/>
  <c r="B65" i="63" s="1"/>
  <c r="E125" i="21"/>
  <c r="F125" i="21" s="1"/>
  <c r="G125" i="21" s="1"/>
  <c r="F43" i="21"/>
  <c r="AA43" i="21" s="1"/>
  <c r="H13" i="33"/>
  <c r="U13" i="33" s="1"/>
  <c r="J13" i="33"/>
  <c r="J25" i="35"/>
  <c r="H25" i="35"/>
  <c r="H13" i="36"/>
  <c r="J13" i="36"/>
  <c r="W13" i="36" s="1"/>
  <c r="H47" i="39"/>
  <c r="J47" i="39"/>
  <c r="W47" i="39" s="1"/>
  <c r="F39" i="39"/>
  <c r="S39" i="39" s="1"/>
  <c r="H39" i="39"/>
  <c r="F14" i="40"/>
  <c r="J14" i="40"/>
  <c r="U41" i="21"/>
  <c r="AB41" i="21"/>
  <c r="AA47" i="39"/>
  <c r="S47" i="39"/>
  <c r="AB27" i="36"/>
  <c r="U27" i="36"/>
  <c r="S36" i="37"/>
  <c r="AA36" i="37"/>
  <c r="AB32" i="33"/>
  <c r="U32" i="33"/>
  <c r="C17" i="40"/>
  <c r="B83" i="46"/>
  <c r="F9" i="21"/>
  <c r="S9" i="21" s="1"/>
  <c r="J9" i="21"/>
  <c r="AC9" i="21" s="1"/>
  <c r="F64" i="35"/>
  <c r="G64" i="35" s="1"/>
  <c r="J14" i="35"/>
  <c r="AC14" i="35" s="1"/>
  <c r="F14" i="35"/>
  <c r="AA14" i="35" s="1"/>
  <c r="AB26" i="36"/>
  <c r="U26" i="36"/>
  <c r="AC12" i="36"/>
  <c r="W12" i="36"/>
  <c r="S41" i="40"/>
  <c r="AA41" i="40"/>
  <c r="AC38" i="34"/>
  <c r="W38" i="34"/>
  <c r="D111" i="9"/>
  <c r="B41" i="1"/>
  <c r="AB21" i="59"/>
  <c r="U11" i="39"/>
  <c r="W14" i="33"/>
  <c r="AA19" i="39"/>
  <c r="AB16" i="39"/>
  <c r="H14" i="35"/>
  <c r="U14" i="35" s="1"/>
  <c r="W40" i="37"/>
  <c r="X23" i="59"/>
  <c r="AB22" i="59"/>
  <c r="Y22" i="59"/>
  <c r="Z22" i="59" s="1"/>
  <c r="C45" i="9"/>
  <c r="B7" i="66" s="1"/>
  <c r="S29" i="40"/>
  <c r="S19" i="37"/>
  <c r="C23" i="40"/>
  <c r="AC46" i="39"/>
  <c r="W25" i="21"/>
  <c r="AA13" i="36"/>
  <c r="AC27" i="36"/>
  <c r="D96" i="9"/>
  <c r="W38" i="40"/>
  <c r="S44" i="21"/>
  <c r="J42" i="40"/>
  <c r="AC42" i="40" s="1"/>
  <c r="J29" i="35"/>
  <c r="S11" i="33"/>
  <c r="AA11" i="33"/>
  <c r="BL512" i="3"/>
  <c r="H44" i="21"/>
  <c r="H43" i="21"/>
  <c r="AB43" i="21" s="1"/>
  <c r="BH5" i="3"/>
  <c r="F12" i="21"/>
  <c r="AC8" i="33"/>
  <c r="W8" i="33"/>
  <c r="AB40" i="33"/>
  <c r="U40" i="33"/>
  <c r="U40" i="34"/>
  <c r="AB40" i="34"/>
  <c r="AC40" i="33"/>
  <c r="G566" i="3"/>
  <c r="G550" i="3"/>
  <c r="G549" i="3"/>
  <c r="BL537" i="3"/>
  <c r="G536" i="3"/>
  <c r="G535" i="3"/>
  <c r="BA522" i="3"/>
  <c r="BA520" i="3"/>
  <c r="G520" i="3"/>
  <c r="BL517" i="3"/>
  <c r="BA513" i="3"/>
  <c r="AZ513" i="3" s="1"/>
  <c r="G498" i="3"/>
  <c r="G484" i="3"/>
  <c r="G542" i="3"/>
  <c r="G571" i="3"/>
  <c r="G554" i="3"/>
  <c r="G553" i="3"/>
  <c r="G546" i="3"/>
  <c r="G414" i="3"/>
  <c r="G301" i="3"/>
  <c r="G325" i="3"/>
  <c r="BA336" i="3"/>
  <c r="G337" i="3"/>
  <c r="G381" i="3"/>
  <c r="G218" i="3"/>
  <c r="G250" i="3"/>
  <c r="G254" i="3"/>
  <c r="BA259" i="3"/>
  <c r="G266" i="3"/>
  <c r="BL289" i="3"/>
  <c r="G69" i="3"/>
  <c r="BA100" i="3"/>
  <c r="AZ100" i="3" s="1"/>
  <c r="D81" i="59"/>
  <c r="Q68" i="59"/>
  <c r="G541" i="3"/>
  <c r="G509" i="3"/>
  <c r="G503" i="3"/>
  <c r="G482" i="3"/>
  <c r="G481" i="3"/>
  <c r="K12" i="1"/>
  <c r="M12" i="1" s="1"/>
  <c r="O12" i="1" s="1"/>
  <c r="P12" i="1" s="1"/>
  <c r="K8" i="1"/>
  <c r="M8" i="1" s="1"/>
  <c r="O8" i="1" s="1"/>
  <c r="P8" i="1" s="1"/>
  <c r="G394" i="3"/>
  <c r="G402" i="3"/>
  <c r="G403" i="3"/>
  <c r="G410" i="3"/>
  <c r="BL302" i="3"/>
  <c r="G303" i="3"/>
  <c r="BL303" i="3"/>
  <c r="AZ303" i="3" s="1"/>
  <c r="G304" i="3"/>
  <c r="BL304" i="3"/>
  <c r="BA310" i="3"/>
  <c r="BL311" i="3"/>
  <c r="BL313" i="3"/>
  <c r="G315" i="3"/>
  <c r="BA316" i="3"/>
  <c r="G319" i="3"/>
  <c r="BL321" i="3"/>
  <c r="G363" i="3"/>
  <c r="G379" i="3"/>
  <c r="G30" i="3"/>
  <c r="G34" i="3"/>
  <c r="BL41" i="3"/>
  <c r="G42" i="3"/>
  <c r="G43" i="3"/>
  <c r="G62" i="3"/>
  <c r="G63" i="3"/>
  <c r="G75" i="3"/>
  <c r="G96" i="3"/>
  <c r="K13" i="1"/>
  <c r="M13" i="1" s="1"/>
  <c r="G389" i="3"/>
  <c r="G422" i="3"/>
  <c r="BA444" i="3"/>
  <c r="G458" i="3"/>
  <c r="G470" i="3"/>
  <c r="BA381" i="3"/>
  <c r="G382" i="3"/>
  <c r="G387" i="3"/>
  <c r="G219" i="3"/>
  <c r="G251" i="3"/>
  <c r="G255" i="3"/>
  <c r="G267" i="3"/>
  <c r="G284" i="3"/>
  <c r="G292" i="3"/>
  <c r="G121" i="3"/>
  <c r="G129" i="3"/>
  <c r="G133" i="3"/>
  <c r="G141" i="3"/>
  <c r="G173" i="3"/>
  <c r="G66" i="3"/>
  <c r="G70" i="3"/>
  <c r="AB35" i="59"/>
  <c r="AB37" i="59"/>
  <c r="S27" i="35"/>
  <c r="W11" i="37"/>
  <c r="AC11" i="37"/>
  <c r="AA35" i="37"/>
  <c r="S35" i="37"/>
  <c r="E108" i="21"/>
  <c r="F108" i="21" s="1"/>
  <c r="G108" i="21" s="1"/>
  <c r="H108" i="21" s="1"/>
  <c r="I108" i="21" s="1"/>
  <c r="J108" i="21" s="1"/>
  <c r="K108" i="21" s="1"/>
  <c r="L108" i="21" s="1"/>
  <c r="M108" i="21" s="1"/>
  <c r="H35" i="21"/>
  <c r="AB35" i="21" s="1"/>
  <c r="U38" i="33"/>
  <c r="AB38" i="33"/>
  <c r="AC39" i="33"/>
  <c r="J36" i="35"/>
  <c r="H36" i="35"/>
  <c r="U36" i="35" s="1"/>
  <c r="F36" i="35"/>
  <c r="S36" i="35" s="1"/>
  <c r="U27" i="35"/>
  <c r="AB27" i="35"/>
  <c r="U8" i="36"/>
  <c r="AB22" i="36"/>
  <c r="AB31" i="36"/>
  <c r="U31" i="36"/>
  <c r="F33" i="39"/>
  <c r="H33" i="39"/>
  <c r="U33" i="39" s="1"/>
  <c r="E100" i="39"/>
  <c r="J27" i="39"/>
  <c r="AC27" i="39" s="1"/>
  <c r="AB27" i="34"/>
  <c r="U27" i="34"/>
  <c r="W33" i="33"/>
  <c r="AC33" i="33"/>
  <c r="J11" i="36"/>
  <c r="W11" i="36" s="1"/>
  <c r="F11" i="36"/>
  <c r="AC12" i="34"/>
  <c r="W12" i="34"/>
  <c r="AA37" i="37"/>
  <c r="S37" i="37"/>
  <c r="U21" i="39"/>
  <c r="W14" i="40"/>
  <c r="AC14" i="40"/>
  <c r="AC44" i="34"/>
  <c r="W44" i="34"/>
  <c r="E84" i="35"/>
  <c r="F84" i="35" s="1"/>
  <c r="G84" i="35" s="1"/>
  <c r="H84" i="35" s="1"/>
  <c r="I84" i="35" s="1"/>
  <c r="J84" i="35" s="1"/>
  <c r="K84" i="35" s="1"/>
  <c r="L84" i="35" s="1"/>
  <c r="M84" i="35" s="1"/>
  <c r="J28" i="35"/>
  <c r="W28" i="35" s="1"/>
  <c r="H28" i="35"/>
  <c r="AB28" i="35" s="1"/>
  <c r="W8" i="37"/>
  <c r="AC8" i="37"/>
  <c r="H14" i="37"/>
  <c r="F14" i="37"/>
  <c r="W25" i="40"/>
  <c r="W34" i="33"/>
  <c r="W19" i="34"/>
  <c r="S29" i="37"/>
  <c r="S32" i="37"/>
  <c r="AA32" i="37"/>
  <c r="AC37" i="34"/>
  <c r="AC15" i="40"/>
  <c r="U14" i="40"/>
  <c r="AB14" i="40"/>
  <c r="H27" i="39"/>
  <c r="AB27" i="39" s="1"/>
  <c r="AA16" i="39"/>
  <c r="S16" i="39"/>
  <c r="AC39" i="39"/>
  <c r="W39" i="39"/>
  <c r="F102" i="39"/>
  <c r="G102" i="39" s="1"/>
  <c r="J29" i="39"/>
  <c r="AC29" i="39" s="1"/>
  <c r="F29" i="39"/>
  <c r="AA29" i="39" s="1"/>
  <c r="F33" i="36"/>
  <c r="H11" i="36"/>
  <c r="AA35" i="33"/>
  <c r="S35" i="33"/>
  <c r="U31" i="37"/>
  <c r="AB31" i="37"/>
  <c r="AC13" i="36"/>
  <c r="F25" i="35"/>
  <c r="AA25" i="35" s="1"/>
  <c r="U28" i="36"/>
  <c r="AB28" i="36"/>
  <c r="F13" i="33"/>
  <c r="S33" i="33"/>
  <c r="AA33" i="33"/>
  <c r="U39" i="34"/>
  <c r="AB39" i="34"/>
  <c r="F9" i="34"/>
  <c r="H9" i="34"/>
  <c r="AC43" i="34"/>
  <c r="W43" i="34"/>
  <c r="AA30" i="36"/>
  <c r="S30" i="36"/>
  <c r="S37" i="39"/>
  <c r="AA37" i="39"/>
  <c r="BA567" i="3"/>
  <c r="AZ567" i="3" s="1"/>
  <c r="BL547" i="3"/>
  <c r="BA538" i="3"/>
  <c r="BL536" i="3"/>
  <c r="BA536" i="3"/>
  <c r="AZ536" i="3" s="1"/>
  <c r="BA535" i="3"/>
  <c r="BA534" i="3"/>
  <c r="BL533" i="3"/>
  <c r="AZ533" i="3" s="1"/>
  <c r="BA532" i="3"/>
  <c r="AZ532" i="3" s="1"/>
  <c r="BL531" i="3"/>
  <c r="BA530" i="3"/>
  <c r="BL529" i="3"/>
  <c r="BA529" i="3"/>
  <c r="AZ529" i="3" s="1"/>
  <c r="BL528" i="3"/>
  <c r="BL527" i="3"/>
  <c r="BA527" i="3"/>
  <c r="AZ527" i="3" s="1"/>
  <c r="BL525" i="3"/>
  <c r="BA525" i="3"/>
  <c r="BA524" i="3"/>
  <c r="BA523" i="3"/>
  <c r="BL521" i="3"/>
  <c r="BL519" i="3"/>
  <c r="BA519" i="3"/>
  <c r="BA518" i="3"/>
  <c r="BA517" i="3"/>
  <c r="AZ517" i="3" s="1"/>
  <c r="BA515" i="3"/>
  <c r="AZ515" i="3" s="1"/>
  <c r="BA514" i="3"/>
  <c r="BL507" i="3"/>
  <c r="BA507" i="3"/>
  <c r="AZ507" i="3" s="1"/>
  <c r="BA493" i="3"/>
  <c r="BA491" i="3"/>
  <c r="BL489" i="3"/>
  <c r="BA484" i="3"/>
  <c r="AZ484" i="3" s="1"/>
  <c r="AB17" i="34"/>
  <c r="U17" i="34"/>
  <c r="AA42" i="33"/>
  <c r="S42" i="33"/>
  <c r="W42" i="40"/>
  <c r="W33" i="40"/>
  <c r="S28" i="36"/>
  <c r="AA28" i="36"/>
  <c r="F66" i="35"/>
  <c r="G66" i="35" s="1"/>
  <c r="H16" i="35"/>
  <c r="AB16" i="35" s="1"/>
  <c r="J16" i="35"/>
  <c r="W16" i="35" s="1"/>
  <c r="F16" i="35"/>
  <c r="AA16" i="35" s="1"/>
  <c r="F46" i="33"/>
  <c r="H46" i="33"/>
  <c r="H45" i="34"/>
  <c r="J45" i="34"/>
  <c r="J13" i="35"/>
  <c r="H13" i="35"/>
  <c r="U13" i="35" s="1"/>
  <c r="J25" i="36"/>
  <c r="F25" i="36"/>
  <c r="I87" i="35"/>
  <c r="J87" i="35" s="1"/>
  <c r="K87" i="35" s="1"/>
  <c r="L87" i="35" s="1"/>
  <c r="M87" i="35" s="1"/>
  <c r="F29" i="35"/>
  <c r="S29" i="35" s="1"/>
  <c r="AC19" i="40"/>
  <c r="AB25" i="21"/>
  <c r="AA19" i="33"/>
  <c r="U38" i="37"/>
  <c r="W11" i="35"/>
  <c r="W17" i="33"/>
  <c r="W34" i="39"/>
  <c r="S8" i="34"/>
  <c r="W22" i="35"/>
  <c r="AC19" i="39"/>
  <c r="W28" i="21"/>
  <c r="AB34" i="33"/>
  <c r="AA33" i="34"/>
  <c r="W11" i="34"/>
  <c r="S46" i="34"/>
  <c r="J14" i="39"/>
  <c r="AC14" i="39" s="1"/>
  <c r="AB10" i="21"/>
  <c r="AA36" i="34"/>
  <c r="H33" i="36"/>
  <c r="U33" i="36" s="1"/>
  <c r="S30" i="34"/>
  <c r="AB40" i="21"/>
  <c r="U40" i="21"/>
  <c r="AZ352" i="3"/>
  <c r="AZ300" i="3"/>
  <c r="AZ347" i="3"/>
  <c r="S31" i="37"/>
  <c r="AA31" i="37"/>
  <c r="U23" i="37"/>
  <c r="F13" i="35"/>
  <c r="S13" i="35" s="1"/>
  <c r="J46" i="33"/>
  <c r="AC46" i="33" s="1"/>
  <c r="AA28" i="34"/>
  <c r="AB39" i="33"/>
  <c r="U39" i="33"/>
  <c r="W26" i="21"/>
  <c r="AC26" i="21"/>
  <c r="AC10" i="21"/>
  <c r="H13" i="21"/>
  <c r="U13" i="21" s="1"/>
  <c r="F13" i="21"/>
  <c r="AA13" i="21" s="1"/>
  <c r="AB8" i="33"/>
  <c r="U8" i="33"/>
  <c r="J9" i="34"/>
  <c r="AA34" i="34"/>
  <c r="S34" i="34"/>
  <c r="F28" i="35"/>
  <c r="AA28" i="35" s="1"/>
  <c r="W40" i="40"/>
  <c r="AC40" i="40"/>
  <c r="BL516" i="3"/>
  <c r="BL550" i="3"/>
  <c r="H25" i="37"/>
  <c r="J25" i="37"/>
  <c r="W25" i="37" s="1"/>
  <c r="U31" i="35"/>
  <c r="AB31" i="35"/>
  <c r="BL568" i="3"/>
  <c r="G568" i="3"/>
  <c r="BL567" i="3"/>
  <c r="BA564" i="3"/>
  <c r="BA563" i="3"/>
  <c r="AZ563" i="3" s="1"/>
  <c r="BL561" i="3"/>
  <c r="G560" i="3"/>
  <c r="BL559" i="3"/>
  <c r="G559" i="3"/>
  <c r="BA555" i="3"/>
  <c r="AZ555" i="3" s="1"/>
  <c r="G552" i="3"/>
  <c r="BA550" i="3"/>
  <c r="BL549" i="3"/>
  <c r="BA549" i="3"/>
  <c r="BL548" i="3"/>
  <c r="BA547" i="3"/>
  <c r="BA546" i="3"/>
  <c r="AZ546" i="3" s="1"/>
  <c r="BL545" i="3"/>
  <c r="BA545" i="3"/>
  <c r="G544" i="3"/>
  <c r="BL543" i="3"/>
  <c r="BA543" i="3"/>
  <c r="G543" i="3"/>
  <c r="BL542" i="3"/>
  <c r="BL539" i="3"/>
  <c r="BA537" i="3"/>
  <c r="BL530" i="3"/>
  <c r="BL511" i="3"/>
  <c r="BA511" i="3"/>
  <c r="AZ511" i="3" s="1"/>
  <c r="BL509" i="3"/>
  <c r="BL508" i="3"/>
  <c r="BL506" i="3"/>
  <c r="BA506" i="3"/>
  <c r="AZ506" i="3" s="1"/>
  <c r="BL505" i="3"/>
  <c r="AZ505" i="3" s="1"/>
  <c r="BA505" i="3"/>
  <c r="BA504" i="3"/>
  <c r="BL503" i="3"/>
  <c r="BA503" i="3"/>
  <c r="BL501" i="3"/>
  <c r="BA500" i="3"/>
  <c r="BL499" i="3"/>
  <c r="AZ499" i="3" s="1"/>
  <c r="G499" i="3"/>
  <c r="BA497" i="3"/>
  <c r="BL496" i="3"/>
  <c r="BA496" i="3"/>
  <c r="AZ496" i="3" s="1"/>
  <c r="BL494" i="3"/>
  <c r="BA494" i="3"/>
  <c r="G493" i="3"/>
  <c r="BL491" i="3"/>
  <c r="BA490" i="3"/>
  <c r="BA486" i="3"/>
  <c r="BL485" i="3"/>
  <c r="G485" i="3"/>
  <c r="BC5" i="3"/>
  <c r="BL481" i="3"/>
  <c r="BA481" i="3"/>
  <c r="BA20" i="3"/>
  <c r="G20" i="3"/>
  <c r="BL18" i="3"/>
  <c r="BA18" i="3"/>
  <c r="U23" i="35"/>
  <c r="AZ345" i="3"/>
  <c r="BL570" i="3"/>
  <c r="J43" i="21"/>
  <c r="AC43" i="21" s="1"/>
  <c r="BL566" i="3"/>
  <c r="BA565" i="3"/>
  <c r="BA558" i="3"/>
  <c r="BL555" i="3"/>
  <c r="BA553" i="3"/>
  <c r="AZ553" i="3" s="1"/>
  <c r="G545" i="3"/>
  <c r="BL541" i="3"/>
  <c r="G515" i="3"/>
  <c r="BA14" i="3"/>
  <c r="BA304" i="3"/>
  <c r="BA306" i="3"/>
  <c r="BA307" i="3"/>
  <c r="AZ307" i="3" s="1"/>
  <c r="BL309" i="3"/>
  <c r="BL317" i="3"/>
  <c r="BL322" i="3"/>
  <c r="BA323" i="3"/>
  <c r="BL323" i="3"/>
  <c r="BA369" i="3"/>
  <c r="G206" i="3"/>
  <c r="G230" i="3"/>
  <c r="BL273" i="3"/>
  <c r="G275" i="3"/>
  <c r="BA146" i="3"/>
  <c r="BL151" i="3"/>
  <c r="G153" i="3"/>
  <c r="BA153" i="3"/>
  <c r="BA157" i="3"/>
  <c r="G161" i="3"/>
  <c r="BL162" i="3"/>
  <c r="G164" i="3"/>
  <c r="BA170" i="3"/>
  <c r="AZ170" i="3" s="1"/>
  <c r="BL172" i="3"/>
  <c r="BA173" i="3"/>
  <c r="BA178" i="3"/>
  <c r="BL185" i="3"/>
  <c r="BA22" i="3"/>
  <c r="G58" i="3"/>
  <c r="BA71" i="3"/>
  <c r="G93" i="3"/>
  <c r="F11" i="1"/>
  <c r="AP11" i="1" s="1"/>
  <c r="F7" i="1"/>
  <c r="G7" i="1" s="1"/>
  <c r="G406" i="3"/>
  <c r="BA428" i="3"/>
  <c r="BL430" i="3"/>
  <c r="G431" i="3"/>
  <c r="BL431" i="3"/>
  <c r="G462" i="3"/>
  <c r="G474" i="3"/>
  <c r="G478" i="3"/>
  <c r="BL351" i="3"/>
  <c r="G29" i="3"/>
  <c r="G33" i="3"/>
  <c r="G37" i="3"/>
  <c r="G61" i="3"/>
  <c r="BA67" i="3"/>
  <c r="BL68" i="3"/>
  <c r="G71" i="3"/>
  <c r="BL98" i="3"/>
  <c r="B57" i="46"/>
  <c r="C60" i="59"/>
  <c r="D60" i="59" s="1"/>
  <c r="B72" i="59"/>
  <c r="B71" i="59" s="1"/>
  <c r="U73" i="59"/>
  <c r="B80" i="59"/>
  <c r="B79" i="59" s="1"/>
  <c r="D85" i="59"/>
  <c r="BA569" i="3"/>
  <c r="G565" i="3"/>
  <c r="BA560" i="3"/>
  <c r="G558" i="3"/>
  <c r="G512" i="3"/>
  <c r="G511" i="3"/>
  <c r="G492" i="3"/>
  <c r="BL394" i="3"/>
  <c r="G396" i="3"/>
  <c r="G400" i="3"/>
  <c r="G404" i="3"/>
  <c r="G408" i="3"/>
  <c r="G418" i="3"/>
  <c r="G421" i="3"/>
  <c r="G425" i="3"/>
  <c r="G313" i="3"/>
  <c r="BA337" i="3"/>
  <c r="BL337" i="3"/>
  <c r="AZ337" i="3" s="1"/>
  <c r="BL340" i="3"/>
  <c r="BA342" i="3"/>
  <c r="BL344" i="3"/>
  <c r="G346" i="3"/>
  <c r="BA346" i="3"/>
  <c r="BA348" i="3"/>
  <c r="BA367" i="3"/>
  <c r="AZ367" i="3" s="1"/>
  <c r="G224" i="3"/>
  <c r="G232" i="3"/>
  <c r="G236" i="3"/>
  <c r="G241" i="3"/>
  <c r="G257" i="3"/>
  <c r="G274" i="3"/>
  <c r="G277" i="3"/>
  <c r="G289" i="3"/>
  <c r="G158" i="3"/>
  <c r="G166" i="3"/>
  <c r="G179" i="3"/>
  <c r="G183" i="3"/>
  <c r="G184" i="3"/>
  <c r="G187" i="3"/>
  <c r="G191" i="3"/>
  <c r="G192" i="3"/>
  <c r="G195" i="3"/>
  <c r="G199" i="3"/>
  <c r="G200" i="3"/>
  <c r="BA43" i="3"/>
  <c r="BA49" i="3"/>
  <c r="BL50" i="3"/>
  <c r="BL51" i="3"/>
  <c r="G86" i="3"/>
  <c r="G90" i="3"/>
  <c r="G98" i="3"/>
  <c r="S22" i="31"/>
  <c r="B20" i="31" s="1"/>
  <c r="G390" i="3"/>
  <c r="G432" i="3"/>
  <c r="G441" i="3"/>
  <c r="BL450" i="3"/>
  <c r="G454" i="3"/>
  <c r="BL325" i="3"/>
  <c r="BA327" i="3"/>
  <c r="AZ327" i="3" s="1"/>
  <c r="BL327" i="3"/>
  <c r="G328" i="3"/>
  <c r="BA328" i="3"/>
  <c r="AZ328" i="3" s="1"/>
  <c r="BL328" i="3"/>
  <c r="BA329" i="3"/>
  <c r="BL329" i="3"/>
  <c r="BA330" i="3"/>
  <c r="BA331" i="3"/>
  <c r="BL331" i="3"/>
  <c r="BA332" i="3"/>
  <c r="BL333" i="3"/>
  <c r="G336" i="3"/>
  <c r="BL379" i="3"/>
  <c r="AZ379" i="3" s="1"/>
  <c r="BA380" i="3"/>
  <c r="BL380" i="3"/>
  <c r="BL383" i="3"/>
  <c r="BA388" i="3"/>
  <c r="BA208" i="3"/>
  <c r="BP5" i="3"/>
  <c r="BO5" i="3"/>
  <c r="BA27" i="3"/>
  <c r="D73" i="59"/>
  <c r="D59" i="59"/>
  <c r="E32" i="59"/>
  <c r="A26" i="64"/>
  <c r="AB3" i="59"/>
  <c r="AC30" i="35"/>
  <c r="AA33" i="35"/>
  <c r="U33" i="35"/>
  <c r="U8" i="35"/>
  <c r="S8" i="35"/>
  <c r="S18" i="35"/>
  <c r="AB18" i="35"/>
  <c r="AB20" i="35"/>
  <c r="W20" i="35"/>
  <c r="AA20" i="35"/>
  <c r="U16" i="35"/>
  <c r="W14" i="35"/>
  <c r="W32" i="35"/>
  <c r="AA32" i="35"/>
  <c r="U32" i="35"/>
  <c r="AB30" i="35"/>
  <c r="S28" i="35"/>
  <c r="U9" i="35"/>
  <c r="H23" i="21"/>
  <c r="U23" i="21" s="1"/>
  <c r="F23" i="21"/>
  <c r="S23" i="21" s="1"/>
  <c r="J23" i="21"/>
  <c r="AC23" i="21" s="1"/>
  <c r="F81" i="21"/>
  <c r="G81" i="21" s="1"/>
  <c r="F19" i="21"/>
  <c r="AA19" i="21" s="1"/>
  <c r="H19" i="21"/>
  <c r="J19" i="21"/>
  <c r="W19" i="21" s="1"/>
  <c r="J17" i="21"/>
  <c r="AC17" i="21" s="1"/>
  <c r="H17" i="21"/>
  <c r="U17" i="21" s="1"/>
  <c r="F17" i="21"/>
  <c r="S17" i="21" s="1"/>
  <c r="J15" i="21"/>
  <c r="AC15" i="21" s="1"/>
  <c r="F15" i="21"/>
  <c r="AA15" i="21" s="1"/>
  <c r="H15" i="21"/>
  <c r="AB15" i="21" s="1"/>
  <c r="F77" i="21"/>
  <c r="G77" i="21" s="1"/>
  <c r="H113" i="21"/>
  <c r="J37" i="21"/>
  <c r="W37" i="21" s="1"/>
  <c r="H37" i="21"/>
  <c r="U37" i="21" s="1"/>
  <c r="F37" i="21"/>
  <c r="S37" i="21" s="1"/>
  <c r="F36" i="21"/>
  <c r="S36" i="21" s="1"/>
  <c r="J36" i="21"/>
  <c r="W36" i="21" s="1"/>
  <c r="AA37" i="21"/>
  <c r="AA40" i="21"/>
  <c r="S34" i="21"/>
  <c r="AB8" i="21"/>
  <c r="W9" i="21"/>
  <c r="S8" i="21"/>
  <c r="W42" i="21"/>
  <c r="U39" i="21"/>
  <c r="S39" i="21"/>
  <c r="AC38" i="21"/>
  <c r="U38" i="21"/>
  <c r="AA36" i="21"/>
  <c r="AB36" i="21"/>
  <c r="AC35" i="21"/>
  <c r="U35" i="21"/>
  <c r="S35" i="21"/>
  <c r="AC34" i="21"/>
  <c r="S33" i="21"/>
  <c r="F23" i="39"/>
  <c r="AA23" i="39" s="1"/>
  <c r="E96" i="39"/>
  <c r="AB17" i="39"/>
  <c r="AA44" i="39"/>
  <c r="W25" i="39"/>
  <c r="S25" i="39"/>
  <c r="S17" i="39"/>
  <c r="AC44" i="39"/>
  <c r="S43" i="39"/>
  <c r="S41" i="39"/>
  <c r="W41" i="39"/>
  <c r="W11" i="39"/>
  <c r="C27" i="39"/>
  <c r="C31" i="39"/>
  <c r="B58" i="46"/>
  <c r="B77" i="46"/>
  <c r="AA45" i="39"/>
  <c r="S45" i="39"/>
  <c r="AC47" i="34"/>
  <c r="W47" i="34"/>
  <c r="U29" i="21"/>
  <c r="AB29" i="21"/>
  <c r="U29" i="40"/>
  <c r="AB29" i="40"/>
  <c r="AC23" i="35"/>
  <c r="W23" i="35"/>
  <c r="U29" i="39"/>
  <c r="AB29" i="39"/>
  <c r="W13" i="33"/>
  <c r="AC13" i="33"/>
  <c r="U26" i="21"/>
  <c r="AA13" i="35"/>
  <c r="BA566" i="3"/>
  <c r="AZ566" i="3" s="1"/>
  <c r="BL565" i="3"/>
  <c r="BL563" i="3"/>
  <c r="BA559" i="3"/>
  <c r="AZ559" i="3" s="1"/>
  <c r="BA557" i="3"/>
  <c r="AZ557" i="3" s="1"/>
  <c r="BL554" i="3"/>
  <c r="U37" i="33"/>
  <c r="J16" i="40"/>
  <c r="W16" i="40" s="1"/>
  <c r="J45" i="39"/>
  <c r="S34" i="33"/>
  <c r="AA34" i="33"/>
  <c r="AA13" i="40"/>
  <c r="U12" i="37"/>
  <c r="AB12" i="37"/>
  <c r="W34" i="37"/>
  <c r="AC34" i="37"/>
  <c r="AA12" i="21"/>
  <c r="S12" i="21"/>
  <c r="J31" i="21"/>
  <c r="H31" i="21"/>
  <c r="U31" i="21" s="1"/>
  <c r="B73" i="46"/>
  <c r="C23" i="39"/>
  <c r="U8" i="34"/>
  <c r="AB8" i="34"/>
  <c r="H30" i="33"/>
  <c r="J30" i="33"/>
  <c r="H12" i="35"/>
  <c r="J12" i="35"/>
  <c r="W12" i="35" s="1"/>
  <c r="J23" i="36"/>
  <c r="H23" i="36"/>
  <c r="F23" i="36"/>
  <c r="F32" i="36"/>
  <c r="H32" i="36"/>
  <c r="AB32" i="36" s="1"/>
  <c r="W35" i="34"/>
  <c r="AC35" i="34"/>
  <c r="AZ336" i="3"/>
  <c r="B24" i="59"/>
  <c r="B23" i="59" s="1"/>
  <c r="B22" i="59" s="1"/>
  <c r="B21" i="59" s="1"/>
  <c r="B20" i="59" s="1"/>
  <c r="B19" i="59" s="1"/>
  <c r="B18" i="59" s="1"/>
  <c r="B17" i="59" s="1"/>
  <c r="S25" i="59"/>
  <c r="AB25" i="34"/>
  <c r="C19" i="39"/>
  <c r="AC15" i="37"/>
  <c r="AB15" i="39"/>
  <c r="AB44" i="39"/>
  <c r="AB43" i="33"/>
  <c r="U43" i="33"/>
  <c r="J13" i="34"/>
  <c r="J13" i="21"/>
  <c r="W37" i="33"/>
  <c r="AC37" i="33"/>
  <c r="U29" i="36"/>
  <c r="AA40" i="33"/>
  <c r="W41" i="33"/>
  <c r="H26" i="33"/>
  <c r="J26" i="33"/>
  <c r="F26" i="33"/>
  <c r="J27" i="37"/>
  <c r="F27" i="37"/>
  <c r="AA27" i="37" s="1"/>
  <c r="F39" i="37"/>
  <c r="H39" i="37"/>
  <c r="C22" i="59"/>
  <c r="C21" i="59" s="1"/>
  <c r="C20" i="59" s="1"/>
  <c r="A17" i="51"/>
  <c r="B13" i="63" s="1"/>
  <c r="S37" i="40"/>
  <c r="W16" i="39"/>
  <c r="AA31" i="34"/>
  <c r="U33" i="37"/>
  <c r="S14" i="39"/>
  <c r="U25" i="40"/>
  <c r="U15" i="34"/>
  <c r="U28" i="34"/>
  <c r="U35" i="37"/>
  <c r="S17" i="37"/>
  <c r="AA26" i="36"/>
  <c r="AA41" i="33"/>
  <c r="H45" i="39"/>
  <c r="U37" i="39"/>
  <c r="J33" i="39"/>
  <c r="AA33" i="36"/>
  <c r="S33" i="36"/>
  <c r="W40" i="34"/>
  <c r="AC40" i="34"/>
  <c r="AZ320" i="3"/>
  <c r="AZ365" i="3"/>
  <c r="BL492" i="3"/>
  <c r="BL556" i="3"/>
  <c r="F27" i="33"/>
  <c r="S27" i="33" s="1"/>
  <c r="U30" i="37"/>
  <c r="W33" i="36"/>
  <c r="AC33" i="36"/>
  <c r="AB8" i="37"/>
  <c r="U8" i="37"/>
  <c r="F34" i="40"/>
  <c r="J34" i="40"/>
  <c r="AC34" i="40" s="1"/>
  <c r="AC8" i="35"/>
  <c r="W8" i="35"/>
  <c r="AC22" i="36"/>
  <c r="W22" i="36"/>
  <c r="W31" i="35"/>
  <c r="AC31" i="35"/>
  <c r="BL526" i="3"/>
  <c r="S28" i="21"/>
  <c r="AA28" i="21"/>
  <c r="H47" i="34"/>
  <c r="F47" i="34"/>
  <c r="H34" i="36"/>
  <c r="J34" i="36"/>
  <c r="F34" i="36"/>
  <c r="G562" i="3"/>
  <c r="S25" i="40"/>
  <c r="H46" i="39"/>
  <c r="AC28" i="33"/>
  <c r="J27" i="33"/>
  <c r="BQ5" i="3"/>
  <c r="BL551" i="3"/>
  <c r="BL535" i="3"/>
  <c r="AZ535" i="3" s="1"/>
  <c r="BA548" i="3"/>
  <c r="AZ548" i="3" s="1"/>
  <c r="AC15" i="34"/>
  <c r="W15" i="34"/>
  <c r="U27" i="33"/>
  <c r="AB27" i="33"/>
  <c r="C79" i="35"/>
  <c r="J26" i="35" s="1"/>
  <c r="BA554" i="3"/>
  <c r="BA552" i="3"/>
  <c r="AB19" i="40"/>
  <c r="AB17" i="33"/>
  <c r="W17" i="37"/>
  <c r="AC15" i="33"/>
  <c r="AA15" i="34"/>
  <c r="AB9" i="21"/>
  <c r="U9" i="21"/>
  <c r="BD5" i="3"/>
  <c r="F45" i="21"/>
  <c r="J45" i="21"/>
  <c r="AB14" i="33"/>
  <c r="S28" i="37"/>
  <c r="BN5" i="3"/>
  <c r="U21" i="40"/>
  <c r="S42" i="21"/>
  <c r="S29" i="36"/>
  <c r="F35" i="40"/>
  <c r="U45" i="34"/>
  <c r="AB45" i="34"/>
  <c r="H45" i="21"/>
  <c r="AB45" i="21" s="1"/>
  <c r="W26" i="36"/>
  <c r="AC26" i="36"/>
  <c r="F40" i="40"/>
  <c r="H40" i="40"/>
  <c r="BL569" i="3"/>
  <c r="G561" i="3"/>
  <c r="BL553" i="3"/>
  <c r="BA551" i="3"/>
  <c r="BA544" i="3"/>
  <c r="BA542" i="3"/>
  <c r="BA528" i="3"/>
  <c r="AZ528" i="3" s="1"/>
  <c r="BA526" i="3"/>
  <c r="BA510" i="3"/>
  <c r="BL493" i="3"/>
  <c r="AZ493" i="3" s="1"/>
  <c r="BA19" i="3"/>
  <c r="AZ19" i="3" s="1"/>
  <c r="BA541" i="3"/>
  <c r="AZ541" i="3" s="1"/>
  <c r="BL540" i="3"/>
  <c r="BA539" i="3"/>
  <c r="W36" i="33"/>
  <c r="AC36" i="33"/>
  <c r="BA568" i="3"/>
  <c r="BA509" i="3"/>
  <c r="S22" i="35"/>
  <c r="AA22" i="35"/>
  <c r="BM5" i="3"/>
  <c r="BA556" i="3"/>
  <c r="U44" i="34"/>
  <c r="AC41" i="40"/>
  <c r="W41" i="40"/>
  <c r="F46" i="39"/>
  <c r="S25" i="33"/>
  <c r="W29" i="36"/>
  <c r="W29" i="39"/>
  <c r="J29" i="40"/>
  <c r="AC29" i="40" s="1"/>
  <c r="AA21" i="40"/>
  <c r="AB41" i="34"/>
  <c r="S16" i="36"/>
  <c r="U42" i="40"/>
  <c r="AB33" i="36"/>
  <c r="U41" i="40"/>
  <c r="AC30" i="36"/>
  <c r="S30" i="37"/>
  <c r="H29" i="33"/>
  <c r="AB29" i="33" s="1"/>
  <c r="G494" i="3"/>
  <c r="H31" i="34"/>
  <c r="J44" i="33"/>
  <c r="F31" i="21"/>
  <c r="AA30" i="35"/>
  <c r="S30" i="35"/>
  <c r="U34" i="37"/>
  <c r="U43" i="21"/>
  <c r="J12" i="37"/>
  <c r="AC12" i="37" s="1"/>
  <c r="F12" i="37"/>
  <c r="AA42" i="34"/>
  <c r="S42" i="34"/>
  <c r="F38" i="39"/>
  <c r="H38" i="39"/>
  <c r="BA562" i="3"/>
  <c r="BL522" i="3"/>
  <c r="BL520" i="3"/>
  <c r="AZ520" i="3" s="1"/>
  <c r="BL513" i="3"/>
  <c r="BA512" i="3"/>
  <c r="AZ512" i="3" s="1"/>
  <c r="G508" i="3"/>
  <c r="BL504" i="3"/>
  <c r="AZ504" i="3" s="1"/>
  <c r="BL502" i="3"/>
  <c r="AZ502" i="3" s="1"/>
  <c r="BA502" i="3"/>
  <c r="BA498" i="3"/>
  <c r="AZ498" i="3" s="1"/>
  <c r="BL497" i="3"/>
  <c r="AZ497" i="3" s="1"/>
  <c r="BL495" i="3"/>
  <c r="G487" i="3"/>
  <c r="BL483" i="3"/>
  <c r="BL19" i="3"/>
  <c r="G14" i="3"/>
  <c r="S30" i="33"/>
  <c r="AA30" i="33"/>
  <c r="AA26" i="21"/>
  <c r="S26" i="21"/>
  <c r="AC27" i="35"/>
  <c r="W27" i="35"/>
  <c r="J35" i="35"/>
  <c r="AC35" i="35" s="1"/>
  <c r="F35" i="35"/>
  <c r="S35" i="35" s="1"/>
  <c r="H35" i="35"/>
  <c r="BA561" i="3"/>
  <c r="BL558" i="3"/>
  <c r="AZ558" i="3" s="1"/>
  <c r="BA495" i="3"/>
  <c r="AA29" i="35"/>
  <c r="AC11" i="36"/>
  <c r="S38" i="21"/>
  <c r="AA38" i="21"/>
  <c r="W16" i="36"/>
  <c r="AC16" i="36"/>
  <c r="BA531" i="3"/>
  <c r="AZ531" i="3" s="1"/>
  <c r="S19" i="40"/>
  <c r="AB20" i="36"/>
  <c r="F29" i="33"/>
  <c r="AA17" i="33"/>
  <c r="AC25" i="34"/>
  <c r="S14" i="36"/>
  <c r="AB13" i="34"/>
  <c r="B51" i="46"/>
  <c r="W36" i="37"/>
  <c r="AB15" i="33"/>
  <c r="W23" i="40"/>
  <c r="AC30" i="34"/>
  <c r="AZ298" i="3"/>
  <c r="AC33" i="21"/>
  <c r="BL564" i="3"/>
  <c r="AZ564" i="3" s="1"/>
  <c r="J31" i="34"/>
  <c r="W31" i="34" s="1"/>
  <c r="H44" i="33"/>
  <c r="AB29" i="35"/>
  <c r="U29" i="35"/>
  <c r="U36" i="34"/>
  <c r="AB36" i="34"/>
  <c r="AZ547" i="3"/>
  <c r="F29" i="21"/>
  <c r="J29" i="21"/>
  <c r="W29" i="35"/>
  <c r="AC29" i="35"/>
  <c r="AA39" i="33"/>
  <c r="S39" i="33"/>
  <c r="BL514" i="3"/>
  <c r="AZ514" i="3" s="1"/>
  <c r="AC42" i="34"/>
  <c r="W42" i="34"/>
  <c r="G528" i="3"/>
  <c r="BA521" i="3"/>
  <c r="G517" i="3"/>
  <c r="AZ339" i="3"/>
  <c r="AZ361" i="3"/>
  <c r="AZ302" i="3"/>
  <c r="BL534" i="3"/>
  <c r="BL560" i="3"/>
  <c r="AZ560" i="3" s="1"/>
  <c r="AA45" i="34"/>
  <c r="S45" i="34"/>
  <c r="I4" i="6"/>
  <c r="F19" i="6"/>
  <c r="E19" i="6" s="1"/>
  <c r="K6" i="1" s="1"/>
  <c r="AA31" i="33"/>
  <c r="S31" i="33"/>
  <c r="F29" i="34"/>
  <c r="H29" i="34"/>
  <c r="G507" i="3"/>
  <c r="BA492" i="3"/>
  <c r="G488" i="3"/>
  <c r="BL486" i="3"/>
  <c r="AZ486" i="3" s="1"/>
  <c r="BA485" i="3"/>
  <c r="AZ485" i="3" s="1"/>
  <c r="BA483" i="3"/>
  <c r="BA482" i="3"/>
  <c r="G16" i="3"/>
  <c r="BL546" i="3"/>
  <c r="BL562" i="3"/>
  <c r="S44" i="34"/>
  <c r="AA44" i="34"/>
  <c r="BA540" i="3"/>
  <c r="G527" i="3"/>
  <c r="G525" i="3"/>
  <c r="G518" i="3"/>
  <c r="BA508" i="3"/>
  <c r="AZ508" i="3" s="1"/>
  <c r="BA501" i="3"/>
  <c r="G490" i="3"/>
  <c r="BA489" i="3"/>
  <c r="BL15" i="3"/>
  <c r="AZ15" i="3" s="1"/>
  <c r="BL490" i="3"/>
  <c r="AZ490" i="3" s="1"/>
  <c r="BL518" i="3"/>
  <c r="AZ518" i="3" s="1"/>
  <c r="BL532" i="3"/>
  <c r="BL552" i="3"/>
  <c r="H27" i="21"/>
  <c r="AC40" i="21"/>
  <c r="G27" i="6"/>
  <c r="G547" i="3"/>
  <c r="G531" i="3"/>
  <c r="G524" i="3"/>
  <c r="G497" i="3"/>
  <c r="BA279" i="3"/>
  <c r="AZ363" i="3"/>
  <c r="BL538" i="3"/>
  <c r="AZ538" i="3" s="1"/>
  <c r="G555" i="3"/>
  <c r="BA488" i="3"/>
  <c r="BL487" i="3"/>
  <c r="AZ487" i="3" s="1"/>
  <c r="BL406" i="3"/>
  <c r="BL422" i="3"/>
  <c r="BA220" i="3"/>
  <c r="BL144" i="3"/>
  <c r="BL482" i="3"/>
  <c r="BL510" i="3"/>
  <c r="BL524" i="3"/>
  <c r="AZ524" i="3" s="1"/>
  <c r="BL544" i="3"/>
  <c r="AZ544" i="3" s="1"/>
  <c r="G516" i="3"/>
  <c r="G486" i="3"/>
  <c r="D84" i="59"/>
  <c r="C83" i="59"/>
  <c r="D83" i="59" s="1"/>
  <c r="BR5" i="3"/>
  <c r="BA392" i="3"/>
  <c r="BL393" i="3"/>
  <c r="BA424" i="3"/>
  <c r="BL442" i="3"/>
  <c r="BA478" i="3"/>
  <c r="BL480" i="3"/>
  <c r="BA227" i="3"/>
  <c r="AZ227" i="3" s="1"/>
  <c r="BA235" i="3"/>
  <c r="AZ235" i="3" s="1"/>
  <c r="BL266" i="3"/>
  <c r="BA271" i="3"/>
  <c r="BL272" i="3"/>
  <c r="BA291" i="3"/>
  <c r="BL293" i="3"/>
  <c r="BA132" i="3"/>
  <c r="BL152" i="3"/>
  <c r="BL160" i="3"/>
  <c r="BL167" i="3"/>
  <c r="BL169" i="3"/>
  <c r="AZ169" i="3" s="1"/>
  <c r="BL14" i="3"/>
  <c r="AZ14" i="3" s="1"/>
  <c r="G393" i="3"/>
  <c r="G413" i="3"/>
  <c r="BA420" i="3"/>
  <c r="BL421" i="3"/>
  <c r="G424" i="3"/>
  <c r="G433" i="3"/>
  <c r="G442" i="3"/>
  <c r="BA452" i="3"/>
  <c r="G453" i="3"/>
  <c r="BA467" i="3"/>
  <c r="BL469" i="3"/>
  <c r="G480" i="3"/>
  <c r="BA321" i="3"/>
  <c r="AZ321" i="3" s="1"/>
  <c r="BL330" i="3"/>
  <c r="G331" i="3"/>
  <c r="BL348" i="3"/>
  <c r="G375" i="3"/>
  <c r="G212" i="3"/>
  <c r="G222" i="3"/>
  <c r="G229" i="3"/>
  <c r="G237" i="3"/>
  <c r="G238" i="3"/>
  <c r="BA243" i="3"/>
  <c r="BA244" i="3"/>
  <c r="BL244" i="3"/>
  <c r="BA261" i="3"/>
  <c r="BL263" i="3"/>
  <c r="G264" i="3"/>
  <c r="G283" i="3"/>
  <c r="G293" i="3"/>
  <c r="G118" i="3"/>
  <c r="BA123" i="3"/>
  <c r="AZ123" i="3" s="1"/>
  <c r="BL125" i="3"/>
  <c r="G126" i="3"/>
  <c r="BA148" i="3"/>
  <c r="G151" i="3"/>
  <c r="G160" i="3"/>
  <c r="G177" i="3"/>
  <c r="G24" i="3"/>
  <c r="G50" i="3"/>
  <c r="BA55" i="3"/>
  <c r="G68" i="3"/>
  <c r="G80" i="3"/>
  <c r="BA84" i="3"/>
  <c r="BA96" i="3"/>
  <c r="AZ96" i="3" s="1"/>
  <c r="BL96" i="3"/>
  <c r="BL97" i="3"/>
  <c r="G100" i="3"/>
  <c r="G110" i="3"/>
  <c r="D69" i="59"/>
  <c r="E52" i="59"/>
  <c r="E53" i="59" s="1"/>
  <c r="U53" i="59" s="1"/>
  <c r="A11" i="55"/>
  <c r="B62" i="63" s="1"/>
  <c r="K145" i="21"/>
  <c r="BA418" i="3"/>
  <c r="BA438" i="3"/>
  <c r="BL440" i="3"/>
  <c r="BA447" i="3"/>
  <c r="BL449" i="3"/>
  <c r="BA311" i="3"/>
  <c r="BL312" i="3"/>
  <c r="AZ312" i="3" s="1"/>
  <c r="BA318" i="3"/>
  <c r="BA216" i="3"/>
  <c r="BA241" i="3"/>
  <c r="BL254" i="3"/>
  <c r="BA180" i="3"/>
  <c r="BA204" i="3"/>
  <c r="BA63" i="3"/>
  <c r="BA74" i="3"/>
  <c r="BA76" i="3"/>
  <c r="BL77" i="3"/>
  <c r="BL78" i="3"/>
  <c r="BA104" i="3"/>
  <c r="E80" i="59"/>
  <c r="E79" i="59" s="1"/>
  <c r="O69" i="59"/>
  <c r="X34" i="59"/>
  <c r="AB39" i="59"/>
  <c r="E64" i="59"/>
  <c r="E65" i="59" s="1"/>
  <c r="U65" i="59" s="1"/>
  <c r="F72" i="59"/>
  <c r="F71" i="59" s="1"/>
  <c r="F25" i="59"/>
  <c r="BA398" i="3"/>
  <c r="BL400" i="3"/>
  <c r="AZ400" i="3" s="1"/>
  <c r="G401" i="3"/>
  <c r="BL410" i="3"/>
  <c r="G420" i="3"/>
  <c r="G440" i="3"/>
  <c r="G449" i="3"/>
  <c r="BA456" i="3"/>
  <c r="G460" i="3"/>
  <c r="G468" i="3"/>
  <c r="G320" i="3"/>
  <c r="BL384" i="3"/>
  <c r="G210" i="3"/>
  <c r="BA224" i="3"/>
  <c r="BL226" i="3"/>
  <c r="G235" i="3"/>
  <c r="G252" i="3"/>
  <c r="BA267" i="3"/>
  <c r="BL269" i="3"/>
  <c r="BL281" i="3"/>
  <c r="G282" i="3"/>
  <c r="BL282" i="3"/>
  <c r="BA287" i="3"/>
  <c r="BL288" i="3"/>
  <c r="G291" i="3"/>
  <c r="BA113" i="3"/>
  <c r="G149" i="3"/>
  <c r="G157" i="3"/>
  <c r="BA29" i="3"/>
  <c r="BL30" i="3"/>
  <c r="BL31" i="3"/>
  <c r="BA36" i="3"/>
  <c r="G49" i="3"/>
  <c r="BA73" i="3"/>
  <c r="P27" i="6"/>
  <c r="F32" i="59"/>
  <c r="F33" i="59" s="1"/>
  <c r="V33" i="59" s="1"/>
  <c r="AA32" i="59"/>
  <c r="Y34" i="59"/>
  <c r="Z34" i="59" s="1"/>
  <c r="Y36" i="59"/>
  <c r="Z36" i="59" s="1"/>
  <c r="BL21" i="3"/>
  <c r="BA45" i="3"/>
  <c r="BL46" i="3"/>
  <c r="BL47" i="3"/>
  <c r="BA52" i="3"/>
  <c r="BL85" i="3"/>
  <c r="O68" i="59"/>
  <c r="C76" i="59"/>
  <c r="D76" i="59" s="1"/>
  <c r="B44" i="59"/>
  <c r="B45" i="59" s="1"/>
  <c r="S45" i="59" s="1"/>
  <c r="B56" i="59"/>
  <c r="B57" i="59" s="1"/>
  <c r="S57" i="59" s="1"/>
  <c r="BL390" i="3"/>
  <c r="BA408" i="3"/>
  <c r="G409" i="3"/>
  <c r="G430" i="3"/>
  <c r="G457" i="3"/>
  <c r="G466" i="3"/>
  <c r="G467" i="3"/>
  <c r="BA472" i="3"/>
  <c r="G476" i="3"/>
  <c r="BA315" i="3"/>
  <c r="AZ315" i="3" s="1"/>
  <c r="BL326" i="3"/>
  <c r="AZ326" i="3" s="1"/>
  <c r="BA368" i="3"/>
  <c r="G207" i="3"/>
  <c r="G225" i="3"/>
  <c r="G226" i="3"/>
  <c r="G233" i="3"/>
  <c r="G234" i="3"/>
  <c r="BL234" i="3"/>
  <c r="BA247" i="3"/>
  <c r="G261" i="3"/>
  <c r="G268" i="3"/>
  <c r="BL277" i="3"/>
  <c r="G290" i="3"/>
  <c r="BL121" i="3"/>
  <c r="G123" i="3"/>
  <c r="G147" i="3"/>
  <c r="G21" i="3"/>
  <c r="BL37" i="3"/>
  <c r="G46" i="3"/>
  <c r="BL65" i="3"/>
  <c r="G83" i="3"/>
  <c r="G94" i="3"/>
  <c r="BA110" i="3"/>
  <c r="BL112" i="3"/>
  <c r="S18" i="36"/>
  <c r="D72" i="59"/>
  <c r="E33" i="59"/>
  <c r="U33" i="59" s="1"/>
  <c r="AB34" i="59"/>
  <c r="AB36" i="59"/>
  <c r="E40" i="59"/>
  <c r="E41" i="59" s="1"/>
  <c r="U41" i="59" s="1"/>
  <c r="B48" i="59"/>
  <c r="B49" i="59" s="1"/>
  <c r="S49" i="59" s="1"/>
  <c r="T25" i="59"/>
  <c r="BA403" i="3"/>
  <c r="BA405" i="3"/>
  <c r="AZ405" i="3" s="1"/>
  <c r="BL405" i="3"/>
  <c r="BL426" i="3"/>
  <c r="BL446" i="3"/>
  <c r="BA462" i="3"/>
  <c r="BL464" i="3"/>
  <c r="BA221" i="3"/>
  <c r="BL223" i="3"/>
  <c r="BL231" i="3"/>
  <c r="BA256" i="3"/>
  <c r="AZ256" i="3" s="1"/>
  <c r="BL256" i="3"/>
  <c r="BA283" i="3"/>
  <c r="BL137" i="3"/>
  <c r="BA176" i="3"/>
  <c r="BL178" i="3"/>
  <c r="BL202" i="3"/>
  <c r="BL203" i="3"/>
  <c r="BL60" i="3"/>
  <c r="BL102" i="3"/>
  <c r="B68" i="46"/>
  <c r="C88" i="59"/>
  <c r="D51" i="59"/>
  <c r="C18" i="9"/>
  <c r="G398" i="3"/>
  <c r="G405" i="3"/>
  <c r="BA412" i="3"/>
  <c r="G416" i="3"/>
  <c r="G426" i="3"/>
  <c r="BA432" i="3"/>
  <c r="G436" i="3"/>
  <c r="G446" i="3"/>
  <c r="BL454" i="3"/>
  <c r="G464" i="3"/>
  <c r="G473" i="3"/>
  <c r="BA297" i="3"/>
  <c r="AZ297" i="3" s="1"/>
  <c r="G388" i="3"/>
  <c r="G214" i="3"/>
  <c r="BA228" i="3"/>
  <c r="G239" i="3"/>
  <c r="G248" i="3"/>
  <c r="G276" i="3"/>
  <c r="G285" i="3"/>
  <c r="G113" i="3"/>
  <c r="BA117" i="3"/>
  <c r="AZ117" i="3" s="1"/>
  <c r="BA119" i="3"/>
  <c r="AZ119" i="3" s="1"/>
  <c r="G137" i="3"/>
  <c r="G145" i="3"/>
  <c r="G154" i="3"/>
  <c r="G178" i="3"/>
  <c r="G202" i="3"/>
  <c r="BL25" i="3"/>
  <c r="G26" i="3"/>
  <c r="G27" i="3"/>
  <c r="BA33" i="3"/>
  <c r="BL34" i="3"/>
  <c r="BL35" i="3"/>
  <c r="G45" i="3"/>
  <c r="G53" i="3"/>
  <c r="BL53" i="3"/>
  <c r="BL72" i="3"/>
  <c r="G81" i="3"/>
  <c r="BA87" i="3"/>
  <c r="BL88" i="3"/>
  <c r="BL89" i="3"/>
  <c r="G102" i="3"/>
  <c r="U69" i="59"/>
  <c r="AA31" i="59"/>
  <c r="AA33" i="59"/>
  <c r="Y35" i="59"/>
  <c r="Z35" i="59" s="1"/>
  <c r="Y37" i="59"/>
  <c r="Z37" i="59" s="1"/>
  <c r="F44" i="59"/>
  <c r="F45" i="59" s="1"/>
  <c r="V45" i="59" s="1"/>
  <c r="F56" i="59"/>
  <c r="F57" i="59" s="1"/>
  <c r="V57" i="59" s="1"/>
  <c r="B6" i="1"/>
  <c r="E6" i="1" s="1"/>
  <c r="G1" i="44"/>
  <c r="K1" i="12"/>
  <c r="K1" i="43"/>
  <c r="G1" i="15"/>
  <c r="BJ5" i="3"/>
  <c r="BS5" i="3"/>
  <c r="P16" i="4"/>
  <c r="G12" i="1"/>
  <c r="AA30" i="40"/>
  <c r="S30" i="40"/>
  <c r="U38" i="34"/>
  <c r="AB38" i="34"/>
  <c r="W17" i="39"/>
  <c r="AC17" i="39"/>
  <c r="AC21" i="40"/>
  <c r="W21" i="40"/>
  <c r="U12" i="21"/>
  <c r="AB19" i="21"/>
  <c r="U19" i="21"/>
  <c r="AA10" i="21"/>
  <c r="S10" i="21"/>
  <c r="F14" i="21"/>
  <c r="J14" i="21"/>
  <c r="H30" i="21"/>
  <c r="U30" i="21" s="1"/>
  <c r="F30" i="21"/>
  <c r="J30" i="21"/>
  <c r="H46" i="21"/>
  <c r="J46" i="21"/>
  <c r="F46" i="21"/>
  <c r="AB42" i="21"/>
  <c r="U42" i="21"/>
  <c r="AZ481" i="3"/>
  <c r="S15" i="21"/>
  <c r="W25" i="33"/>
  <c r="AC25" i="33"/>
  <c r="U30" i="34"/>
  <c r="S23" i="35"/>
  <c r="AC43" i="39"/>
  <c r="AB47" i="39"/>
  <c r="U47" i="39"/>
  <c r="AA38" i="40"/>
  <c r="S38" i="40"/>
  <c r="AB12" i="34"/>
  <c r="U12" i="34"/>
  <c r="U29" i="33"/>
  <c r="AB11" i="37"/>
  <c r="U11" i="37"/>
  <c r="AZ373" i="3"/>
  <c r="W14" i="37"/>
  <c r="AC14" i="37"/>
  <c r="W29" i="37"/>
  <c r="AC29" i="37"/>
  <c r="AC39" i="21"/>
  <c r="W39" i="21"/>
  <c r="AC8" i="34"/>
  <c r="W8" i="34"/>
  <c r="AA9" i="35"/>
  <c r="S9" i="35"/>
  <c r="AC12" i="35"/>
  <c r="H45" i="33"/>
  <c r="F45" i="33"/>
  <c r="F14" i="34"/>
  <c r="H14" i="34"/>
  <c r="J14" i="34"/>
  <c r="F32" i="34"/>
  <c r="J32" i="34"/>
  <c r="J24" i="35"/>
  <c r="F24" i="35"/>
  <c r="H24" i="35"/>
  <c r="AB36" i="35"/>
  <c r="BK5" i="3"/>
  <c r="AZ483" i="3"/>
  <c r="AB25" i="33"/>
  <c r="U25" i="33"/>
  <c r="AB32" i="37"/>
  <c r="U32" i="37"/>
  <c r="AB32" i="34"/>
  <c r="U32" i="34"/>
  <c r="AC33" i="34"/>
  <c r="W33" i="34"/>
  <c r="U17" i="37"/>
  <c r="AB17" i="37"/>
  <c r="AB25" i="36"/>
  <c r="U25" i="36"/>
  <c r="AA35" i="35"/>
  <c r="AC25" i="35"/>
  <c r="W25" i="35"/>
  <c r="AA13" i="34"/>
  <c r="S13" i="34"/>
  <c r="AA46" i="33"/>
  <c r="S46" i="33"/>
  <c r="U44" i="33"/>
  <c r="AB44" i="33"/>
  <c r="U37" i="37"/>
  <c r="AB37" i="37"/>
  <c r="S11" i="35"/>
  <c r="AA11" i="35"/>
  <c r="U14" i="21"/>
  <c r="AB14" i="21"/>
  <c r="BL572" i="3"/>
  <c r="BL571" i="3"/>
  <c r="BA571" i="3"/>
  <c r="AA43" i="34"/>
  <c r="S43" i="34"/>
  <c r="AZ489" i="3"/>
  <c r="S33" i="37"/>
  <c r="AB25" i="39"/>
  <c r="S11" i="34"/>
  <c r="AA11" i="34"/>
  <c r="AC32" i="33"/>
  <c r="W32" i="33"/>
  <c r="U15" i="37"/>
  <c r="AB15" i="37"/>
  <c r="W45" i="33"/>
  <c r="AC45" i="33"/>
  <c r="W29" i="33"/>
  <c r="AC29" i="33"/>
  <c r="S27" i="36"/>
  <c r="AA27" i="36"/>
  <c r="W33" i="35"/>
  <c r="AC33" i="35"/>
  <c r="U28" i="33"/>
  <c r="AB28" i="33"/>
  <c r="U34" i="21"/>
  <c r="AB34" i="21"/>
  <c r="AC5" i="3"/>
  <c r="J24" i="36"/>
  <c r="F24" i="36"/>
  <c r="AC39" i="37"/>
  <c r="W39" i="37"/>
  <c r="H14" i="39"/>
  <c r="BB5" i="3"/>
  <c r="E5" i="6" s="1"/>
  <c r="D12" i="11" s="1"/>
  <c r="C12" i="11" s="1"/>
  <c r="AZ510" i="3"/>
  <c r="AZ324" i="3"/>
  <c r="AZ305" i="3"/>
  <c r="AZ338" i="3"/>
  <c r="AZ299" i="3"/>
  <c r="H9" i="37"/>
  <c r="S23" i="37"/>
  <c r="BL484" i="3"/>
  <c r="J13" i="37"/>
  <c r="B99" i="46"/>
  <c r="C29" i="39"/>
  <c r="H12" i="36"/>
  <c r="H24" i="36"/>
  <c r="G548" i="3"/>
  <c r="G519" i="3"/>
  <c r="AC13" i="40"/>
  <c r="W15" i="39"/>
  <c r="AB37" i="34"/>
  <c r="AZ500" i="3"/>
  <c r="AZ522" i="3"/>
  <c r="AA31" i="36"/>
  <c r="AZ374" i="3"/>
  <c r="AZ381" i="3"/>
  <c r="AZ331" i="3"/>
  <c r="AZ322" i="3"/>
  <c r="J9" i="37"/>
  <c r="AB13" i="35"/>
  <c r="F13" i="37"/>
  <c r="J32" i="36"/>
  <c r="F12" i="36"/>
  <c r="AC39" i="34"/>
  <c r="W39" i="34"/>
  <c r="W31" i="36"/>
  <c r="AC31" i="36"/>
  <c r="G500" i="3"/>
  <c r="M18" i="15"/>
  <c r="U41" i="39"/>
  <c r="W17" i="34"/>
  <c r="AA27" i="34"/>
  <c r="W32" i="40"/>
  <c r="AZ523" i="3"/>
  <c r="AC30" i="37"/>
  <c r="AZ378" i="3"/>
  <c r="AZ377" i="3"/>
  <c r="AZ343" i="3"/>
  <c r="AC41" i="34"/>
  <c r="AB27" i="37"/>
  <c r="BL20" i="3"/>
  <c r="BL488" i="3"/>
  <c r="AZ501" i="3"/>
  <c r="G570" i="3"/>
  <c r="F25" i="37"/>
  <c r="AA37" i="33"/>
  <c r="S37" i="33"/>
  <c r="G569" i="3"/>
  <c r="G504" i="3"/>
  <c r="BL389" i="3"/>
  <c r="BA396" i="3"/>
  <c r="BA402" i="3"/>
  <c r="BL404" i="3"/>
  <c r="G411" i="3"/>
  <c r="BA411" i="3"/>
  <c r="AZ411" i="3" s="1"/>
  <c r="BA413" i="3"/>
  <c r="BL413" i="3"/>
  <c r="BA416" i="3"/>
  <c r="G427" i="3"/>
  <c r="BA427" i="3"/>
  <c r="AZ427" i="3" s="1"/>
  <c r="BA433" i="3"/>
  <c r="BL433" i="3"/>
  <c r="BA436" i="3"/>
  <c r="G443" i="3"/>
  <c r="BA443" i="3"/>
  <c r="BL448" i="3"/>
  <c r="G455" i="3"/>
  <c r="BL455" i="3"/>
  <c r="BA457" i="3"/>
  <c r="BL457" i="3"/>
  <c r="BA460" i="3"/>
  <c r="BA466" i="3"/>
  <c r="BL468" i="3"/>
  <c r="G471" i="3"/>
  <c r="BA471" i="3"/>
  <c r="BA473" i="3"/>
  <c r="BL473" i="3"/>
  <c r="BA476" i="3"/>
  <c r="AZ476" i="3" s="1"/>
  <c r="BL335" i="3"/>
  <c r="BA383" i="3"/>
  <c r="AZ383" i="3" s="1"/>
  <c r="G395" i="3"/>
  <c r="BA395" i="3"/>
  <c r="BA397" i="3"/>
  <c r="AZ397" i="3" s="1"/>
  <c r="BL397" i="3"/>
  <c r="BA400" i="3"/>
  <c r="G407" i="3"/>
  <c r="BL407" i="3"/>
  <c r="BL412" i="3"/>
  <c r="G415" i="3"/>
  <c r="BA415" i="3"/>
  <c r="BA417" i="3"/>
  <c r="AZ417" i="3" s="1"/>
  <c r="BL417" i="3"/>
  <c r="G423" i="3"/>
  <c r="BL423" i="3"/>
  <c r="BL429" i="3"/>
  <c r="G435" i="3"/>
  <c r="BL435" i="3"/>
  <c r="BA437" i="3"/>
  <c r="BL437" i="3"/>
  <c r="AZ437" i="3" s="1"/>
  <c r="BA440" i="3"/>
  <c r="BL445" i="3"/>
  <c r="G451" i="3"/>
  <c r="BA451" i="3"/>
  <c r="AZ451" i="3" s="1"/>
  <c r="BL456" i="3"/>
  <c r="G459" i="3"/>
  <c r="BA459" i="3"/>
  <c r="BL461" i="3"/>
  <c r="BA464" i="3"/>
  <c r="BA470" i="3"/>
  <c r="BL472" i="3"/>
  <c r="G475" i="3"/>
  <c r="BA475" i="3"/>
  <c r="BL477" i="3"/>
  <c r="BA480" i="3"/>
  <c r="AZ480" i="3" s="1"/>
  <c r="BL319" i="3"/>
  <c r="AZ319" i="3" s="1"/>
  <c r="BA387" i="3"/>
  <c r="BA251" i="3"/>
  <c r="BA275" i="3"/>
  <c r="G564" i="3"/>
  <c r="G551" i="3"/>
  <c r="G533" i="3"/>
  <c r="G505" i="3"/>
  <c r="G496" i="3"/>
  <c r="G495" i="3"/>
  <c r="G489" i="3"/>
  <c r="G15"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AZ468" i="3" s="1"/>
  <c r="G472" i="3"/>
  <c r="BA474" i="3"/>
  <c r="BL476" i="3"/>
  <c r="G477" i="3"/>
  <c r="G479" i="3"/>
  <c r="BA479" i="3"/>
  <c r="BA301" i="3"/>
  <c r="AZ301" i="3" s="1"/>
  <c r="G305" i="3"/>
  <c r="BL308" i="3"/>
  <c r="AZ308" i="3" s="1"/>
  <c r="G309" i="3"/>
  <c r="BA334" i="3"/>
  <c r="BL342" i="3"/>
  <c r="AZ342" i="3" s="1"/>
  <c r="BL346" i="3"/>
  <c r="AZ346" i="3" s="1"/>
  <c r="G347" i="3"/>
  <c r="BA353" i="3"/>
  <c r="AZ353" i="3" s="1"/>
  <c r="BA212" i="3"/>
  <c r="BL285" i="3"/>
  <c r="BL306" i="3"/>
  <c r="AZ306" i="3" s="1"/>
  <c r="G307" i="3"/>
  <c r="G311" i="3"/>
  <c r="BL316" i="3"/>
  <c r="AZ316" i="3" s="1"/>
  <c r="G317" i="3"/>
  <c r="BA319" i="3"/>
  <c r="BA325" i="3"/>
  <c r="AZ325" i="3" s="1"/>
  <c r="G329" i="3"/>
  <c r="BL332" i="3"/>
  <c r="G333" i="3"/>
  <c r="BA335" i="3"/>
  <c r="AZ335" i="3" s="1"/>
  <c r="G345" i="3"/>
  <c r="G352" i="3"/>
  <c r="BL368" i="3"/>
  <c r="G370" i="3"/>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G156" i="3"/>
  <c r="G176" i="3"/>
  <c r="BA177" i="3"/>
  <c r="BL180" i="3"/>
  <c r="BA182" i="3"/>
  <c r="AZ182" i="3" s="1"/>
  <c r="BL184" i="3"/>
  <c r="AZ184" i="3" s="1"/>
  <c r="G188" i="3"/>
  <c r="BL188" i="3"/>
  <c r="AZ188" i="3" s="1"/>
  <c r="BA190" i="3"/>
  <c r="AZ190" i="3" s="1"/>
  <c r="BL192" i="3"/>
  <c r="AZ192" i="3" s="1"/>
  <c r="G196" i="3"/>
  <c r="BL196" i="3"/>
  <c r="AZ196" i="3" s="1"/>
  <c r="BA198" i="3"/>
  <c r="BL200" i="3"/>
  <c r="AZ200" i="3" s="1"/>
  <c r="G204" i="3"/>
  <c r="BA39" i="3"/>
  <c r="BA341" i="3"/>
  <c r="AZ341" i="3" s="1"/>
  <c r="G349" i="3"/>
  <c r="BA350" i="3"/>
  <c r="G367" i="3"/>
  <c r="G383" i="3"/>
  <c r="BA385" i="3"/>
  <c r="BL386" i="3"/>
  <c r="BL207" i="3"/>
  <c r="G208" i="3"/>
  <c r="G209" i="3"/>
  <c r="BA211" i="3"/>
  <c r="BL215" i="3"/>
  <c r="G216" i="3"/>
  <c r="G217" i="3"/>
  <c r="BL218" i="3"/>
  <c r="G228" i="3"/>
  <c r="BA231" i="3"/>
  <c r="BL238" i="3"/>
  <c r="BA240" i="3"/>
  <c r="BL240" i="3"/>
  <c r="BA245" i="3"/>
  <c r="BL247" i="3"/>
  <c r="AZ247" i="3" s="1"/>
  <c r="BL250" i="3"/>
  <c r="BA257" i="3"/>
  <c r="BA260" i="3"/>
  <c r="BL260" i="3"/>
  <c r="BA263" i="3"/>
  <c r="BL274" i="3"/>
  <c r="BL280" i="3"/>
  <c r="BA292" i="3"/>
  <c r="BL296" i="3"/>
  <c r="BL114" i="3"/>
  <c r="AZ114" i="3" s="1"/>
  <c r="BA115" i="3"/>
  <c r="AZ115" i="3" s="1"/>
  <c r="BL117" i="3"/>
  <c r="BA125" i="3"/>
  <c r="BA127" i="3"/>
  <c r="AZ127" i="3" s="1"/>
  <c r="BL133" i="3"/>
  <c r="BL136" i="3"/>
  <c r="BA140" i="3"/>
  <c r="BL149" i="3"/>
  <c r="BA156" i="3"/>
  <c r="BL159" i="3"/>
  <c r="BL163" i="3"/>
  <c r="BA168" i="3"/>
  <c r="BA172" i="3"/>
  <c r="AZ172" i="3" s="1"/>
  <c r="BA174" i="3"/>
  <c r="AZ174" i="3" s="1"/>
  <c r="C44" i="59"/>
  <c r="C45" i="59" s="1"/>
  <c r="D45" i="59" s="1"/>
  <c r="D43" i="59"/>
  <c r="D55" i="59"/>
  <c r="C56" i="59"/>
  <c r="D63" i="59"/>
  <c r="C64" i="59"/>
  <c r="BA209" i="3"/>
  <c r="BL210" i="3"/>
  <c r="G215" i="3"/>
  <c r="BA217" i="3"/>
  <c r="G220" i="3"/>
  <c r="G221" i="3"/>
  <c r="BL222" i="3"/>
  <c r="G227" i="3"/>
  <c r="BL230" i="3"/>
  <c r="BA232" i="3"/>
  <c r="BL232" i="3"/>
  <c r="BA237" i="3"/>
  <c r="BL239" i="3"/>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7" i="3"/>
  <c r="AZ157" i="3" s="1"/>
  <c r="G162" i="3"/>
  <c r="BA162" i="3"/>
  <c r="AZ162" i="3" s="1"/>
  <c r="BL164" i="3"/>
  <c r="G165" i="3"/>
  <c r="G170" i="3"/>
  <c r="BA171" i="3"/>
  <c r="G174" i="3"/>
  <c r="BA183" i="3"/>
  <c r="BA187" i="3"/>
  <c r="BA191" i="3"/>
  <c r="BA23" i="3"/>
  <c r="G28" i="3"/>
  <c r="G32" i="3"/>
  <c r="BA195" i="3"/>
  <c r="BA199" i="3"/>
  <c r="G203" i="3"/>
  <c r="BA203" i="3"/>
  <c r="G25" i="3"/>
  <c r="BA26" i="3"/>
  <c r="G31" i="3"/>
  <c r="BA31" i="3"/>
  <c r="AZ31" i="3" s="1"/>
  <c r="G35" i="3"/>
  <c r="BA35" i="3"/>
  <c r="AZ35" i="3" s="1"/>
  <c r="G41" i="3"/>
  <c r="BA42" i="3"/>
  <c r="G47" i="3"/>
  <c r="BA47" i="3"/>
  <c r="AZ47" i="3" s="1"/>
  <c r="G51" i="3"/>
  <c r="BA51" i="3"/>
  <c r="G57" i="3"/>
  <c r="BA58" i="3"/>
  <c r="BL62" i="3"/>
  <c r="BL64" i="3"/>
  <c r="BA70" i="3"/>
  <c r="BL75" i="3"/>
  <c r="G78" i="3"/>
  <c r="BA78" i="3"/>
  <c r="AZ78" i="3" s="1"/>
  <c r="BA80" i="3"/>
  <c r="BL81" i="3"/>
  <c r="BL82" i="3"/>
  <c r="BA83" i="3"/>
  <c r="BL86" i="3"/>
  <c r="G91" i="3"/>
  <c r="BA91" i="3"/>
  <c r="BA93" i="3"/>
  <c r="G103" i="3"/>
  <c r="BA103" i="3"/>
  <c r="BL105" i="3"/>
  <c r="BA108" i="3"/>
  <c r="S31" i="39"/>
  <c r="C79" i="59"/>
  <c r="D79" i="59" s="1"/>
  <c r="AA27" i="59"/>
  <c r="X32" i="59"/>
  <c r="X33" i="59"/>
  <c r="E48" i="59"/>
  <c r="E49" i="59" s="1"/>
  <c r="U49" i="59" s="1"/>
  <c r="B60" i="59"/>
  <c r="B61" i="59" s="1"/>
  <c r="S61" i="59" s="1"/>
  <c r="D25" i="59"/>
  <c r="BA159" i="3"/>
  <c r="BA164" i="3"/>
  <c r="AZ164" i="3" s="1"/>
  <c r="BA166" i="3"/>
  <c r="AZ166" i="3" s="1"/>
  <c r="G169" i="3"/>
  <c r="G172" i="3"/>
  <c r="BL175" i="3"/>
  <c r="G181" i="3"/>
  <c r="G185" i="3"/>
  <c r="BA186" i="3"/>
  <c r="AZ186" i="3" s="1"/>
  <c r="G189" i="3"/>
  <c r="G193" i="3"/>
  <c r="BA194" i="3"/>
  <c r="G197" i="3"/>
  <c r="G201" i="3"/>
  <c r="G22" i="3"/>
  <c r="G23" i="3"/>
  <c r="BA24" i="3"/>
  <c r="BL28" i="3"/>
  <c r="BL32" i="3"/>
  <c r="G38" i="3"/>
  <c r="G39" i="3"/>
  <c r="BA40" i="3"/>
  <c r="BL44" i="3"/>
  <c r="BL48" i="3"/>
  <c r="G54" i="3"/>
  <c r="G55" i="3"/>
  <c r="BA56" i="3"/>
  <c r="G59" i="3"/>
  <c r="G60" i="3"/>
  <c r="G64" i="3"/>
  <c r="G67" i="3"/>
  <c r="BL79" i="3"/>
  <c r="G82" i="3"/>
  <c r="BA82" i="3"/>
  <c r="G87" i="3"/>
  <c r="BA88" i="3"/>
  <c r="AZ88" i="3" s="1"/>
  <c r="BA90" i="3"/>
  <c r="BL92" i="3"/>
  <c r="BL95" i="3"/>
  <c r="G99" i="3"/>
  <c r="BL104" i="3"/>
  <c r="G107" i="3"/>
  <c r="BA107" i="3"/>
  <c r="BL109" i="3"/>
  <c r="BL111" i="3"/>
  <c r="BA112" i="3"/>
  <c r="AZ112" i="3" s="1"/>
  <c r="S21" i="21"/>
  <c r="D52" i="59"/>
  <c r="C75" i="59"/>
  <c r="D75" i="59" s="1"/>
  <c r="C67" i="59"/>
  <c r="O67" i="59" s="1"/>
  <c r="Q69" i="59"/>
  <c r="AB27" i="59"/>
  <c r="AA3" i="59"/>
  <c r="AA30" i="59"/>
  <c r="Y31" i="59"/>
  <c r="Z31" i="59" s="1"/>
  <c r="Y32" i="59"/>
  <c r="Z32" i="59" s="1"/>
  <c r="Y33" i="59"/>
  <c r="Z33" i="59" s="1"/>
  <c r="B35" i="59"/>
  <c r="B36" i="59" s="1"/>
  <c r="B37" i="59" s="1"/>
  <c r="S37" i="59" s="1"/>
  <c r="Y38" i="59"/>
  <c r="Z38" i="59" s="1"/>
  <c r="F39" i="59"/>
  <c r="F40" i="59" s="1"/>
  <c r="F41" i="59" s="1"/>
  <c r="V41" i="59" s="1"/>
  <c r="G36" i="3"/>
  <c r="BA38" i="3"/>
  <c r="G44" i="3"/>
  <c r="G48" i="3"/>
  <c r="G52" i="3"/>
  <c r="BA54" i="3"/>
  <c r="BL57" i="3"/>
  <c r="BA59" i="3"/>
  <c r="BA61" i="3"/>
  <c r="BL63" i="3"/>
  <c r="AZ63" i="3" s="1"/>
  <c r="BA64" i="3"/>
  <c r="BL66" i="3"/>
  <c r="BA69" i="3"/>
  <c r="AZ69" i="3" s="1"/>
  <c r="G72" i="3"/>
  <c r="G73" i="3"/>
  <c r="G74" i="3"/>
  <c r="G79" i="3"/>
  <c r="G84" i="3"/>
  <c r="G85" i="3"/>
  <c r="G92" i="3"/>
  <c r="G95" i="3"/>
  <c r="BA95" i="3"/>
  <c r="AZ95" i="3" s="1"/>
  <c r="BL101" i="3"/>
  <c r="BA106" i="3"/>
  <c r="BL108" i="3"/>
  <c r="G109" i="3"/>
  <c r="G111" i="3"/>
  <c r="D77" i="59"/>
  <c r="P69" i="59"/>
  <c r="AA29" i="59"/>
  <c r="AB30" i="59"/>
  <c r="AB31" i="59"/>
  <c r="AB32" i="59"/>
  <c r="AB33" i="59"/>
  <c r="C35" i="59"/>
  <c r="X35" i="59"/>
  <c r="X36" i="59"/>
  <c r="X39" i="59"/>
  <c r="C48" i="59"/>
  <c r="D48" i="59" s="1"/>
  <c r="B52" i="59"/>
  <c r="B53" i="59" s="1"/>
  <c r="S53" i="59" s="1"/>
  <c r="AC27" i="40"/>
  <c r="D22" i="59"/>
  <c r="AB18" i="36"/>
  <c r="W20" i="36"/>
  <c r="S17" i="34"/>
  <c r="U16" i="40"/>
  <c r="W14" i="39"/>
  <c r="AB11" i="33"/>
  <c r="O40" i="9"/>
  <c r="K31" i="9" s="1"/>
  <c r="K32" i="9" s="1"/>
  <c r="AZ534" i="3"/>
  <c r="H5" i="3"/>
  <c r="BA570" i="3"/>
  <c r="AZ570" i="3" s="1"/>
  <c r="BE5" i="3"/>
  <c r="B94" i="46"/>
  <c r="B84" i="46"/>
  <c r="AZ340" i="3"/>
  <c r="AZ355" i="3"/>
  <c r="AC28" i="34"/>
  <c r="AZ550" i="3"/>
  <c r="AB40" i="37"/>
  <c r="J9" i="33"/>
  <c r="F9" i="33"/>
  <c r="H9" i="33"/>
  <c r="AZ537" i="3"/>
  <c r="AZ370" i="3"/>
  <c r="AZ362" i="3"/>
  <c r="AZ344" i="3"/>
  <c r="AZ304" i="3"/>
  <c r="AZ359" i="3"/>
  <c r="AZ516" i="3"/>
  <c r="AZ542" i="3"/>
  <c r="AB31" i="33"/>
  <c r="AA38" i="37"/>
  <c r="W8" i="21"/>
  <c r="J9" i="35"/>
  <c r="F12" i="35"/>
  <c r="H26" i="37"/>
  <c r="F26" i="37"/>
  <c r="AZ372" i="3"/>
  <c r="AC23" i="37"/>
  <c r="AB13" i="21"/>
  <c r="BF5" i="3"/>
  <c r="J12" i="33"/>
  <c r="F12" i="33"/>
  <c r="H12" i="33"/>
  <c r="H34" i="35"/>
  <c r="J34" i="35"/>
  <c r="F34" i="35"/>
  <c r="BA572" i="3"/>
  <c r="B101" i="46"/>
  <c r="B79" i="46"/>
  <c r="F9" i="36"/>
  <c r="G567" i="3"/>
  <c r="G563" i="3"/>
  <c r="AZ448" i="3"/>
  <c r="BA351" i="3"/>
  <c r="AZ351" i="3" s="1"/>
  <c r="BL360" i="3"/>
  <c r="AZ360" i="3" s="1"/>
  <c r="BL366" i="3"/>
  <c r="AZ366" i="3" s="1"/>
  <c r="BL376" i="3"/>
  <c r="AZ376" i="3" s="1"/>
  <c r="BL382" i="3"/>
  <c r="AZ382" i="3" s="1"/>
  <c r="BL388" i="3"/>
  <c r="BA207" i="3"/>
  <c r="BL208" i="3"/>
  <c r="BL212" i="3"/>
  <c r="BA215" i="3"/>
  <c r="AZ215" i="3" s="1"/>
  <c r="BL216" i="3"/>
  <c r="AZ216" i="3" s="1"/>
  <c r="BL220" i="3"/>
  <c r="AZ220" i="3" s="1"/>
  <c r="BA223" i="3"/>
  <c r="AZ223" i="3" s="1"/>
  <c r="BL224" i="3"/>
  <c r="BL228" i="3"/>
  <c r="BL229" i="3"/>
  <c r="G231" i="3"/>
  <c r="BA389" i="3"/>
  <c r="BA393" i="3"/>
  <c r="BL398" i="3"/>
  <c r="BA401" i="3"/>
  <c r="BL402" i="3"/>
  <c r="AZ402" i="3" s="1"/>
  <c r="BA409" i="3"/>
  <c r="BL414" i="3"/>
  <c r="BL418" i="3"/>
  <c r="AZ418" i="3" s="1"/>
  <c r="BA421" i="3"/>
  <c r="BA425" i="3"/>
  <c r="BA429" i="3"/>
  <c r="BL434" i="3"/>
  <c r="BL438" i="3"/>
  <c r="AZ438" i="3" s="1"/>
  <c r="BA441" i="3"/>
  <c r="BA445" i="3"/>
  <c r="BA449" i="3"/>
  <c r="AZ449" i="3" s="1"/>
  <c r="BA453" i="3"/>
  <c r="BL458" i="3"/>
  <c r="BA461" i="3"/>
  <c r="BL462" i="3"/>
  <c r="BL466" i="3"/>
  <c r="AZ466" i="3" s="1"/>
  <c r="BA469" i="3"/>
  <c r="BL470" i="3"/>
  <c r="BL474" i="3"/>
  <c r="BA477" i="3"/>
  <c r="AZ477" i="3" s="1"/>
  <c r="BL478" i="3"/>
  <c r="AZ478" i="3" s="1"/>
  <c r="BA309" i="3"/>
  <c r="AZ309" i="3" s="1"/>
  <c r="BA313" i="3"/>
  <c r="AZ313" i="3" s="1"/>
  <c r="BA317" i="3"/>
  <c r="BA333" i="3"/>
  <c r="BA349" i="3"/>
  <c r="AZ349" i="3" s="1"/>
  <c r="BA357" i="3"/>
  <c r="AZ357" i="3" s="1"/>
  <c r="BL364" i="3"/>
  <c r="AZ364" i="3" s="1"/>
  <c r="BL369" i="3"/>
  <c r="BL385" i="3"/>
  <c r="AZ385" i="3" s="1"/>
  <c r="BL205" i="3"/>
  <c r="BL209" i="3"/>
  <c r="BL213" i="3"/>
  <c r="BL217" i="3"/>
  <c r="BL221" i="3"/>
  <c r="AZ221" i="3" s="1"/>
  <c r="BL225" i="3"/>
  <c r="AZ225" i="3" s="1"/>
  <c r="BA390" i="3"/>
  <c r="BA394" i="3"/>
  <c r="AZ394" i="3" s="1"/>
  <c r="BL395" i="3"/>
  <c r="BL399" i="3"/>
  <c r="BL403" i="3"/>
  <c r="BA406" i="3"/>
  <c r="AZ406" i="3" s="1"/>
  <c r="BA410" i="3"/>
  <c r="AZ410" i="3" s="1"/>
  <c r="BL411" i="3"/>
  <c r="BL415" i="3"/>
  <c r="BA422" i="3"/>
  <c r="AZ422" i="3" s="1"/>
  <c r="BA426" i="3"/>
  <c r="AZ426" i="3" s="1"/>
  <c r="BL427" i="3"/>
  <c r="BA430" i="3"/>
  <c r="BL439" i="3"/>
  <c r="BA442" i="3"/>
  <c r="BL443" i="3"/>
  <c r="BA446" i="3"/>
  <c r="BL447" i="3"/>
  <c r="BA450" i="3"/>
  <c r="BL451" i="3"/>
  <c r="BA454" i="3"/>
  <c r="BL459" i="3"/>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BL408" i="3"/>
  <c r="AZ408" i="3" s="1"/>
  <c r="BA419" i="3"/>
  <c r="BL420" i="3"/>
  <c r="AZ420" i="3" s="1"/>
  <c r="BA423" i="3"/>
  <c r="BL424" i="3"/>
  <c r="BL428" i="3"/>
  <c r="AZ428" i="3" s="1"/>
  <c r="BA431" i="3"/>
  <c r="BL432" i="3"/>
  <c r="BA435" i="3"/>
  <c r="AZ435" i="3" s="1"/>
  <c r="BL444" i="3"/>
  <c r="AZ444" i="3" s="1"/>
  <c r="BL452" i="3"/>
  <c r="BA455" i="3"/>
  <c r="BL318" i="3"/>
  <c r="AZ318" i="3" s="1"/>
  <c r="BL334" i="3"/>
  <c r="AZ334" i="3" s="1"/>
  <c r="BL350" i="3"/>
  <c r="BA375" i="3"/>
  <c r="AZ375" i="3" s="1"/>
  <c r="BA386" i="3"/>
  <c r="AZ386" i="3" s="1"/>
  <c r="BL387" i="3"/>
  <c r="AZ387" i="3" s="1"/>
  <c r="BA206" i="3"/>
  <c r="BA210" i="3"/>
  <c r="BL211" i="3"/>
  <c r="BA214" i="3"/>
  <c r="BA218" i="3"/>
  <c r="BL219" i="3"/>
  <c r="BA222" i="3"/>
  <c r="BA226" i="3"/>
  <c r="AZ226" i="3" s="1"/>
  <c r="BL227" i="3"/>
  <c r="AZ125" i="3"/>
  <c r="BA149" i="3"/>
  <c r="BL233" i="3"/>
  <c r="BL237" i="3"/>
  <c r="BL241" i="3"/>
  <c r="BL245" i="3"/>
  <c r="BL249" i="3"/>
  <c r="AZ249" i="3" s="1"/>
  <c r="BL253" i="3"/>
  <c r="BL257" i="3"/>
  <c r="BL261" i="3"/>
  <c r="AZ261" i="3" s="1"/>
  <c r="BL265" i="3"/>
  <c r="BA272" i="3"/>
  <c r="BA280" i="3"/>
  <c r="BA288" i="3"/>
  <c r="AZ288" i="3" s="1"/>
  <c r="BA296" i="3"/>
  <c r="AZ296" i="3" s="1"/>
  <c r="BL113" i="3"/>
  <c r="BA120" i="3"/>
  <c r="BL122" i="3"/>
  <c r="AZ122" i="3" s="1"/>
  <c r="BA128" i="3"/>
  <c r="AZ128" i="3" s="1"/>
  <c r="BL129" i="3"/>
  <c r="BA136" i="3"/>
  <c r="AZ136" i="3" s="1"/>
  <c r="BL138" i="3"/>
  <c r="AZ138" i="3" s="1"/>
  <c r="BA144" i="3"/>
  <c r="BL145" i="3"/>
  <c r="BL153" i="3"/>
  <c r="BA269" i="3"/>
  <c r="AZ269" i="3" s="1"/>
  <c r="BA273" i="3"/>
  <c r="AZ273" i="3" s="1"/>
  <c r="BA277" i="3"/>
  <c r="AZ277" i="3" s="1"/>
  <c r="BA281" i="3"/>
  <c r="AZ281" i="3" s="1"/>
  <c r="BA285" i="3"/>
  <c r="AZ285" i="3" s="1"/>
  <c r="BA289" i="3"/>
  <c r="AZ289" i="3" s="1"/>
  <c r="BA293" i="3"/>
  <c r="AZ293" i="3" s="1"/>
  <c r="BL294" i="3"/>
  <c r="BL116" i="3"/>
  <c r="AZ116" i="3" s="1"/>
  <c r="BA121" i="3"/>
  <c r="BL124" i="3"/>
  <c r="BL132" i="3"/>
  <c r="AZ132" i="3" s="1"/>
  <c r="BA137" i="3"/>
  <c r="BL140" i="3"/>
  <c r="AZ140" i="3" s="1"/>
  <c r="BL148" i="3"/>
  <c r="BA152" i="3"/>
  <c r="BA230" i="3"/>
  <c r="BA234" i="3"/>
  <c r="AZ234" i="3" s="1"/>
  <c r="BL235" i="3"/>
  <c r="BA238" i="3"/>
  <c r="AZ238" i="3" s="1"/>
  <c r="BA242" i="3"/>
  <c r="AZ242" i="3" s="1"/>
  <c r="BL243" i="3"/>
  <c r="BA246" i="3"/>
  <c r="BA250" i="3"/>
  <c r="BL251" i="3"/>
  <c r="BA254" i="3"/>
  <c r="BA258" i="3"/>
  <c r="BL259" i="3"/>
  <c r="BA262" i="3"/>
  <c r="BA266" i="3"/>
  <c r="AZ266" i="3" s="1"/>
  <c r="BL267" i="3"/>
  <c r="BA270" i="3"/>
  <c r="BL271" i="3"/>
  <c r="AZ271" i="3" s="1"/>
  <c r="BA274" i="3"/>
  <c r="AZ274" i="3" s="1"/>
  <c r="BL275" i="3"/>
  <c r="BA278" i="3"/>
  <c r="BL279" i="3"/>
  <c r="AZ279" i="3" s="1"/>
  <c r="BA282" i="3"/>
  <c r="BL283" i="3"/>
  <c r="BA286" i="3"/>
  <c r="BL287" i="3"/>
  <c r="AZ287" i="3" s="1"/>
  <c r="BA290" i="3"/>
  <c r="AZ290" i="3" s="1"/>
  <c r="BL291" i="3"/>
  <c r="BL295" i="3"/>
  <c r="AZ295" i="3" s="1"/>
  <c r="BL118" i="3"/>
  <c r="AZ118" i="3" s="1"/>
  <c r="BL126" i="3"/>
  <c r="AZ126" i="3" s="1"/>
  <c r="BL134" i="3"/>
  <c r="AZ134" i="3" s="1"/>
  <c r="BL142" i="3"/>
  <c r="AZ142" i="3" s="1"/>
  <c r="BL150" i="3"/>
  <c r="AZ150" i="3" s="1"/>
  <c r="BA154" i="3"/>
  <c r="AZ154" i="3" s="1"/>
  <c r="BA155" i="3"/>
  <c r="BL156" i="3"/>
  <c r="BA163" i="3"/>
  <c r="BL165" i="3"/>
  <c r="AZ165" i="3" s="1"/>
  <c r="BL173" i="3"/>
  <c r="BL182" i="3"/>
  <c r="BA185" i="3"/>
  <c r="AZ185" i="3" s="1"/>
  <c r="BL190" i="3"/>
  <c r="BA193" i="3"/>
  <c r="AZ193" i="3" s="1"/>
  <c r="BL198" i="3"/>
  <c r="BA201" i="3"/>
  <c r="AZ201" i="3" s="1"/>
  <c r="BA202" i="3"/>
  <c r="AZ202" i="3" s="1"/>
  <c r="BL23" i="3"/>
  <c r="BL27" i="3"/>
  <c r="BA30" i="3"/>
  <c r="BA34" i="3"/>
  <c r="AZ34" i="3" s="1"/>
  <c r="BL39" i="3"/>
  <c r="BL43" i="3"/>
  <c r="AZ43" i="3" s="1"/>
  <c r="BA46" i="3"/>
  <c r="BA50" i="3"/>
  <c r="AZ50" i="3" s="1"/>
  <c r="BL55" i="3"/>
  <c r="BA57" i="3"/>
  <c r="BL58" i="3"/>
  <c r="AZ58" i="3" s="1"/>
  <c r="BA60" i="3"/>
  <c r="BL61" i="3"/>
  <c r="BA68" i="3"/>
  <c r="BL69" i="3"/>
  <c r="BA75" i="3"/>
  <c r="AZ75" i="3" s="1"/>
  <c r="BL76" i="3"/>
  <c r="BA79" i="3"/>
  <c r="BL80" i="3"/>
  <c r="BA89" i="3"/>
  <c r="AZ89" i="3" s="1"/>
  <c r="BL93" i="3"/>
  <c r="BL99" i="3"/>
  <c r="BA109" i="3"/>
  <c r="G112" i="3"/>
  <c r="BL183" i="3"/>
  <c r="BL191" i="3"/>
  <c r="BL199" i="3"/>
  <c r="AZ199" i="3" s="1"/>
  <c r="BL204" i="3"/>
  <c r="AZ204" i="3" s="1"/>
  <c r="BL24" i="3"/>
  <c r="BL36" i="3"/>
  <c r="BL40" i="3"/>
  <c r="BL52" i="3"/>
  <c r="BL56" i="3"/>
  <c r="AZ56" i="3" s="1"/>
  <c r="BL59" i="3"/>
  <c r="BA65" i="3"/>
  <c r="AZ65" i="3" s="1"/>
  <c r="BL70" i="3"/>
  <c r="BA72" i="3"/>
  <c r="BL73" i="3"/>
  <c r="BA85" i="3"/>
  <c r="T45" i="59"/>
  <c r="BL161" i="3"/>
  <c r="AZ161" i="3" s="1"/>
  <c r="BA167" i="3"/>
  <c r="AZ167" i="3" s="1"/>
  <c r="BL168" i="3"/>
  <c r="BA175" i="3"/>
  <c r="BL176" i="3"/>
  <c r="BA179" i="3"/>
  <c r="AZ179" i="3" s="1"/>
  <c r="BA181" i="3"/>
  <c r="AZ181" i="3" s="1"/>
  <c r="BL186" i="3"/>
  <c r="BA189" i="3"/>
  <c r="AZ189" i="3" s="1"/>
  <c r="BL194" i="3"/>
  <c r="BA197" i="3"/>
  <c r="AZ197" i="3" s="1"/>
  <c r="BA28" i="3"/>
  <c r="BL29" i="3"/>
  <c r="BA32" i="3"/>
  <c r="BL33" i="3"/>
  <c r="BA44" i="3"/>
  <c r="AZ44" i="3" s="1"/>
  <c r="BL45" i="3"/>
  <c r="BA48" i="3"/>
  <c r="BL49" i="3"/>
  <c r="BA62" i="3"/>
  <c r="BA66" i="3"/>
  <c r="BL67" i="3"/>
  <c r="AZ67" i="3" s="1"/>
  <c r="BL71" i="3"/>
  <c r="BL74" i="3"/>
  <c r="BA77" i="3"/>
  <c r="AZ77" i="3" s="1"/>
  <c r="BA81" i="3"/>
  <c r="AZ81" i="3" s="1"/>
  <c r="G88" i="3"/>
  <c r="BA92" i="3"/>
  <c r="BA94" i="3"/>
  <c r="G104" i="3"/>
  <c r="T53" i="59"/>
  <c r="D53" i="59"/>
  <c r="BA158" i="3"/>
  <c r="AZ158" i="3" s="1"/>
  <c r="BA160" i="3"/>
  <c r="BL171" i="3"/>
  <c r="BL177" i="3"/>
  <c r="BL187" i="3"/>
  <c r="AZ187" i="3" s="1"/>
  <c r="BL195" i="3"/>
  <c r="BA21" i="3"/>
  <c r="BL22" i="3"/>
  <c r="BA25" i="3"/>
  <c r="AZ25" i="3" s="1"/>
  <c r="BL26" i="3"/>
  <c r="AZ26" i="3" s="1"/>
  <c r="BA37" i="3"/>
  <c r="BL38" i="3"/>
  <c r="BA41" i="3"/>
  <c r="AZ41" i="3" s="1"/>
  <c r="BL42" i="3"/>
  <c r="AZ42" i="3" s="1"/>
  <c r="BA53" i="3"/>
  <c r="AZ53" i="3" s="1"/>
  <c r="BL54" i="3"/>
  <c r="BL84" i="3"/>
  <c r="AZ84" i="3" s="1"/>
  <c r="BA105" i="3"/>
  <c r="G108" i="3"/>
  <c r="BA99" i="3"/>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BA101" i="3"/>
  <c r="BL106" i="3"/>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AZ91" i="3" s="1"/>
  <c r="BA98" i="3"/>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 i="3"/>
  <c r="AZ206" i="3"/>
  <c r="BT5" i="3"/>
  <c r="BI5" i="3"/>
  <c r="BG5" i="3"/>
  <c r="AZ208" i="3"/>
  <c r="AZ243" i="3"/>
  <c r="AZ259" i="3"/>
  <c r="AZ45" i="3"/>
  <c r="AZ54"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0" i="1"/>
  <c r="P10" i="1" s="1"/>
  <c r="O9" i="1"/>
  <c r="P9" i="1" s="1"/>
  <c r="O13" i="1"/>
  <c r="P13" i="1" s="1"/>
  <c r="G6" i="1"/>
  <c r="A25" i="51"/>
  <c r="B18" i="63" s="1"/>
  <c r="G10" i="1"/>
  <c r="G13" i="1"/>
  <c r="C95" i="9"/>
  <c r="C92" i="9" s="1"/>
  <c r="C25" i="12"/>
  <c r="D23" i="15"/>
  <c r="L52" i="37"/>
  <c r="M52" i="37" s="1"/>
  <c r="N52" i="37" s="1"/>
  <c r="O52" i="37" s="1"/>
  <c r="D59" i="34"/>
  <c r="E59" i="34" s="1"/>
  <c r="F59" i="34" s="1"/>
  <c r="G59" i="34" s="1"/>
  <c r="H59" i="34" s="1"/>
  <c r="I59" i="34" s="1"/>
  <c r="J59" i="34" s="1"/>
  <c r="K59" i="34" s="1"/>
  <c r="L59" i="34" s="1"/>
  <c r="M59" i="34" s="1"/>
  <c r="N59" i="34" s="1"/>
  <c r="O59" i="34" s="1"/>
  <c r="C18" i="1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I54" i="15"/>
  <c r="C4" i="65"/>
  <c r="B39" i="1" s="1"/>
  <c r="J5" i="65"/>
  <c r="J4" i="65"/>
  <c r="F18" i="44"/>
  <c r="M31" i="44"/>
  <c r="M6" i="15"/>
  <c r="M24" i="44"/>
  <c r="J17" i="44"/>
  <c r="L49" i="44"/>
  <c r="M9" i="15"/>
  <c r="F15" i="44"/>
  <c r="F39" i="44"/>
  <c r="M11" i="44"/>
  <c r="F38" i="44"/>
  <c r="E2" i="65"/>
  <c r="F10" i="44"/>
  <c r="J7" i="65"/>
  <c r="M30" i="44"/>
  <c r="F8" i="44"/>
  <c r="F11" i="44"/>
  <c r="I4" i="65"/>
  <c r="I6" i="65"/>
  <c r="F40" i="44"/>
  <c r="L47" i="15"/>
  <c r="F9" i="44"/>
  <c r="M8" i="44"/>
  <c r="I7" i="65"/>
  <c r="F45" i="44"/>
  <c r="J3" i="65"/>
  <c r="M25" i="44"/>
  <c r="L48" i="44"/>
  <c r="AB43" i="39" l="1"/>
  <c r="AZ153" i="3"/>
  <c r="AZ424" i="3"/>
  <c r="AA27" i="33"/>
  <c r="AC25" i="37"/>
  <c r="S14" i="35"/>
  <c r="AZ311" i="3"/>
  <c r="AZ521" i="3"/>
  <c r="AZ561" i="3"/>
  <c r="AZ509" i="3"/>
  <c r="AB13" i="36"/>
  <c r="U13" i="36"/>
  <c r="D9" i="12"/>
  <c r="D3" i="35"/>
  <c r="K7" i="1"/>
  <c r="M7" i="1" s="1"/>
  <c r="O7" i="1" s="1"/>
  <c r="P7" i="1" s="1"/>
  <c r="AZ24" i="3"/>
  <c r="AZ461" i="3"/>
  <c r="AZ429" i="3"/>
  <c r="S21" i="59"/>
  <c r="W29" i="40"/>
  <c r="AB32" i="21"/>
  <c r="AC28" i="35"/>
  <c r="AZ539" i="3"/>
  <c r="AZ543" i="3"/>
  <c r="AZ549" i="3"/>
  <c r="AB25" i="35"/>
  <c r="U25" i="35"/>
  <c r="AC47" i="39"/>
  <c r="AZ97" i="3"/>
  <c r="AZ21" i="3"/>
  <c r="AZ171" i="3"/>
  <c r="AZ71" i="3"/>
  <c r="AZ49" i="3"/>
  <c r="AZ33" i="3"/>
  <c r="AZ168" i="3"/>
  <c r="AZ70" i="3"/>
  <c r="AZ52" i="3"/>
  <c r="AZ61" i="3"/>
  <c r="AZ55" i="3"/>
  <c r="AZ23" i="3"/>
  <c r="AZ173" i="3"/>
  <c r="AZ155" i="3"/>
  <c r="AZ291" i="3"/>
  <c r="AZ275" i="3"/>
  <c r="AZ267" i="3"/>
  <c r="AZ258" i="3"/>
  <c r="AZ148" i="3"/>
  <c r="AZ124" i="3"/>
  <c r="AZ129" i="3"/>
  <c r="AZ113" i="3"/>
  <c r="AZ253" i="3"/>
  <c r="AZ237" i="3"/>
  <c r="AZ210" i="3"/>
  <c r="AZ455" i="3"/>
  <c r="AZ423" i="3"/>
  <c r="AZ454" i="3"/>
  <c r="AZ403" i="3"/>
  <c r="AZ213" i="3"/>
  <c r="AZ369" i="3"/>
  <c r="AZ333" i="3"/>
  <c r="AZ469" i="3"/>
  <c r="AZ458" i="3"/>
  <c r="AZ441" i="3"/>
  <c r="AZ425" i="3"/>
  <c r="AZ393" i="3"/>
  <c r="AZ64" i="3"/>
  <c r="AZ263" i="3"/>
  <c r="AZ332" i="3"/>
  <c r="AZ473" i="3"/>
  <c r="AZ413" i="3"/>
  <c r="U45" i="21"/>
  <c r="AA39" i="39"/>
  <c r="AZ178" i="3"/>
  <c r="AZ330" i="3"/>
  <c r="AC36" i="21"/>
  <c r="U33" i="40"/>
  <c r="F29" i="6"/>
  <c r="AZ569" i="3"/>
  <c r="G29" i="6"/>
  <c r="AZ492" i="3"/>
  <c r="AA9" i="21"/>
  <c r="S43" i="21"/>
  <c r="F32" i="21"/>
  <c r="AA32" i="21" s="1"/>
  <c r="AC16" i="35"/>
  <c r="AZ329" i="3"/>
  <c r="AZ323" i="3"/>
  <c r="AZ519" i="3"/>
  <c r="AB13" i="33"/>
  <c r="AB44" i="21"/>
  <c r="U44" i="21"/>
  <c r="F72" i="9"/>
  <c r="M20" i="44"/>
  <c r="AA14" i="40"/>
  <c r="S14" i="40"/>
  <c r="U28" i="21"/>
  <c r="AB28" i="21"/>
  <c r="AZ98" i="3"/>
  <c r="AZ111" i="3"/>
  <c r="AZ144" i="3"/>
  <c r="AZ431" i="3"/>
  <c r="AZ317" i="3"/>
  <c r="AZ421" i="3"/>
  <c r="S33" i="40"/>
  <c r="AZ412" i="3"/>
  <c r="AZ176" i="3"/>
  <c r="AZ447" i="3"/>
  <c r="AZ482" i="3"/>
  <c r="AC37" i="21"/>
  <c r="AZ551" i="3"/>
  <c r="AZ565" i="3"/>
  <c r="J32" i="21"/>
  <c r="AC32" i="21" s="1"/>
  <c r="AB14" i="35"/>
  <c r="AZ545" i="3"/>
  <c r="AB39" i="39"/>
  <c r="U39" i="39"/>
  <c r="W27" i="39"/>
  <c r="W23" i="21"/>
  <c r="AA23" i="21"/>
  <c r="AB23" i="21"/>
  <c r="M6" i="1"/>
  <c r="Q16" i="1"/>
  <c r="H16" i="1"/>
  <c r="AZ526" i="3"/>
  <c r="AA25" i="36"/>
  <c r="S25" i="36"/>
  <c r="W45" i="34"/>
  <c r="AC45" i="34"/>
  <c r="P25" i="46"/>
  <c r="E8" i="6"/>
  <c r="E53" i="40" s="1"/>
  <c r="AZ106" i="3"/>
  <c r="AZ195" i="3"/>
  <c r="AZ160" i="3"/>
  <c r="AZ48" i="3"/>
  <c r="AZ194" i="3"/>
  <c r="AZ407" i="3"/>
  <c r="AZ471" i="3"/>
  <c r="AZ430" i="3"/>
  <c r="AZ390" i="3"/>
  <c r="AZ409" i="3"/>
  <c r="AZ228" i="3"/>
  <c r="AZ51" i="3"/>
  <c r="AZ180" i="3"/>
  <c r="AZ151" i="3"/>
  <c r="AZ219" i="3"/>
  <c r="AZ436" i="3"/>
  <c r="AZ395" i="3"/>
  <c r="AZ416" i="3"/>
  <c r="U32" i="36"/>
  <c r="AZ432" i="3"/>
  <c r="AZ368" i="3"/>
  <c r="AZ472" i="3"/>
  <c r="AZ29" i="3"/>
  <c r="AZ104" i="3"/>
  <c r="AZ440" i="3"/>
  <c r="AZ244" i="3"/>
  <c r="AZ348" i="3"/>
  <c r="G3" i="46"/>
  <c r="C13" i="39"/>
  <c r="S25" i="35"/>
  <c r="S13" i="21"/>
  <c r="U27" i="39"/>
  <c r="AC9" i="34"/>
  <c r="W9" i="34"/>
  <c r="W25" i="36"/>
  <c r="AC25" i="36"/>
  <c r="S13" i="33"/>
  <c r="AA13" i="33"/>
  <c r="U14" i="37"/>
  <c r="AB14" i="37"/>
  <c r="S33" i="39"/>
  <c r="AA33" i="39"/>
  <c r="AZ76" i="3"/>
  <c r="U25" i="37"/>
  <c r="AB25" i="37"/>
  <c r="AA14" i="37"/>
  <c r="S14" i="37"/>
  <c r="S11" i="36"/>
  <c r="AA11" i="36"/>
  <c r="C71" i="39"/>
  <c r="P29" i="46"/>
  <c r="B72" i="39" s="1"/>
  <c r="G11" i="1"/>
  <c r="AZ13" i="3"/>
  <c r="A1" i="70"/>
  <c r="AZ87" i="3"/>
  <c r="AZ73" i="3"/>
  <c r="AZ59" i="3"/>
  <c r="AZ191" i="3"/>
  <c r="AZ109" i="3"/>
  <c r="AZ80" i="3"/>
  <c r="AZ46" i="3"/>
  <c r="AZ30" i="3"/>
  <c r="AZ262" i="3"/>
  <c r="AZ230" i="3"/>
  <c r="AZ245" i="3"/>
  <c r="AZ209" i="3"/>
  <c r="AZ224" i="3"/>
  <c r="AZ388" i="3"/>
  <c r="AZ240" i="3"/>
  <c r="AZ211" i="3"/>
  <c r="AZ248" i="3"/>
  <c r="AZ465" i="3"/>
  <c r="AZ460" i="3"/>
  <c r="AZ396" i="3"/>
  <c r="AZ251" i="3"/>
  <c r="AZ457" i="3"/>
  <c r="AZ443" i="3"/>
  <c r="AZ433" i="3"/>
  <c r="AZ404" i="3"/>
  <c r="AA36" i="35"/>
  <c r="S16" i="35"/>
  <c r="R22" i="31"/>
  <c r="B21" i="31" s="1"/>
  <c r="AZ456" i="3"/>
  <c r="AZ562" i="3"/>
  <c r="W43" i="21"/>
  <c r="U28" i="35"/>
  <c r="AZ18" i="3"/>
  <c r="AB46" i="33"/>
  <c r="U46" i="33"/>
  <c r="AZ491" i="3"/>
  <c r="AZ530" i="3"/>
  <c r="U11" i="36"/>
  <c r="AB11" i="36"/>
  <c r="AC36" i="35"/>
  <c r="W36" i="35"/>
  <c r="E32" i="6"/>
  <c r="D3" i="21"/>
  <c r="C9" i="12"/>
  <c r="AA9" i="34"/>
  <c r="S9" i="34"/>
  <c r="AZ86" i="3"/>
  <c r="AZ22" i="3"/>
  <c r="AZ79" i="3"/>
  <c r="AZ68" i="3"/>
  <c r="AZ27" i="3"/>
  <c r="AZ198" i="3"/>
  <c r="AZ156" i="3"/>
  <c r="AZ278" i="3"/>
  <c r="AZ270" i="3"/>
  <c r="AZ120" i="3"/>
  <c r="AZ280" i="3"/>
  <c r="AZ450" i="3"/>
  <c r="AZ442" i="3"/>
  <c r="AZ212" i="3"/>
  <c r="W46" i="33"/>
  <c r="AZ108" i="3"/>
  <c r="C61" i="59"/>
  <c r="AZ141" i="3"/>
  <c r="AZ464" i="3"/>
  <c r="AZ568" i="3"/>
  <c r="AZ540" i="3"/>
  <c r="AZ556" i="3"/>
  <c r="AB33" i="39"/>
  <c r="S29" i="39"/>
  <c r="S19" i="21"/>
  <c r="AB37" i="21"/>
  <c r="AZ380" i="3"/>
  <c r="AZ494" i="3"/>
  <c r="AZ503" i="3"/>
  <c r="AC13" i="35"/>
  <c r="W13" i="35"/>
  <c r="AZ525" i="3"/>
  <c r="AB9" i="34"/>
  <c r="U9" i="34"/>
  <c r="F100" i="39"/>
  <c r="G100" i="39" s="1"/>
  <c r="F27" i="39"/>
  <c r="AC19" i="21"/>
  <c r="AA17" i="21"/>
  <c r="W17" i="21"/>
  <c r="AB17" i="21"/>
  <c r="U15" i="21"/>
  <c r="W15" i="21"/>
  <c r="W32" i="21"/>
  <c r="D21" i="12"/>
  <c r="C21" i="12" s="1"/>
  <c r="S23" i="39"/>
  <c r="F96" i="39"/>
  <c r="G96" i="39" s="1"/>
  <c r="H23" i="39"/>
  <c r="J23" i="39"/>
  <c r="D88" i="59"/>
  <c r="C87" i="59"/>
  <c r="D87" i="59" s="1"/>
  <c r="W33" i="39"/>
  <c r="AC33" i="39"/>
  <c r="V25" i="59"/>
  <c r="F24" i="59"/>
  <c r="F23" i="59" s="1"/>
  <c r="F22" i="59" s="1"/>
  <c r="F21" i="59" s="1"/>
  <c r="U29" i="34"/>
  <c r="AB29" i="34"/>
  <c r="S29" i="21"/>
  <c r="AA29" i="21"/>
  <c r="U35" i="35"/>
  <c r="AB35" i="35"/>
  <c r="S34" i="36"/>
  <c r="AA34" i="36"/>
  <c r="AA34" i="40"/>
  <c r="S34" i="40"/>
  <c r="AA23" i="36"/>
  <c r="S23" i="36"/>
  <c r="AB31" i="34"/>
  <c r="U31" i="34"/>
  <c r="W26" i="35"/>
  <c r="AC26" i="35"/>
  <c r="U26" i="33"/>
  <c r="AB26" i="33"/>
  <c r="S32" i="36"/>
  <c r="AA32" i="36"/>
  <c r="AZ93" i="3"/>
  <c r="AZ39" i="3"/>
  <c r="AZ137" i="3"/>
  <c r="AZ205" i="3"/>
  <c r="AZ462" i="3"/>
  <c r="AZ434" i="3"/>
  <c r="AZ401" i="3"/>
  <c r="AC31" i="34"/>
  <c r="AB31" i="21"/>
  <c r="AZ101" i="3"/>
  <c r="AZ74" i="3"/>
  <c r="AZ60" i="3"/>
  <c r="AZ241" i="3"/>
  <c r="AZ452" i="3"/>
  <c r="AZ446" i="3"/>
  <c r="AZ415" i="3"/>
  <c r="AZ398" i="3"/>
  <c r="S27" i="37"/>
  <c r="W35" i="35"/>
  <c r="AZ260" i="3"/>
  <c r="AZ231" i="3"/>
  <c r="AZ571" i="3"/>
  <c r="S29" i="34"/>
  <c r="AA29" i="34"/>
  <c r="AA29" i="33"/>
  <c r="S29" i="33"/>
  <c r="S46" i="39"/>
  <c r="AA46" i="39"/>
  <c r="AC27" i="33"/>
  <c r="W27" i="33"/>
  <c r="W34" i="36"/>
  <c r="AC34" i="36"/>
  <c r="U45" i="39"/>
  <c r="AB45" i="39"/>
  <c r="AB39" i="37"/>
  <c r="U39" i="37"/>
  <c r="AB23" i="36"/>
  <c r="U23" i="36"/>
  <c r="AZ554" i="3"/>
  <c r="W12" i="37"/>
  <c r="U38" i="39"/>
  <c r="AB38" i="39"/>
  <c r="W45" i="21"/>
  <c r="AC45" i="21"/>
  <c r="AB34" i="36"/>
  <c r="U34" i="36"/>
  <c r="AA39" i="37"/>
  <c r="S39" i="37"/>
  <c r="AC23" i="36"/>
  <c r="W23" i="36"/>
  <c r="AZ32" i="3"/>
  <c r="AZ265" i="3"/>
  <c r="AZ222" i="3"/>
  <c r="AZ389" i="3"/>
  <c r="AZ252" i="3"/>
  <c r="W34" i="40"/>
  <c r="AB27" i="21"/>
  <c r="U27" i="21"/>
  <c r="AA38" i="39"/>
  <c r="S38" i="39"/>
  <c r="AA35" i="40"/>
  <c r="S35" i="40"/>
  <c r="AA45" i="21"/>
  <c r="S45" i="21"/>
  <c r="AA47" i="34"/>
  <c r="S47" i="34"/>
  <c r="AZ272" i="3"/>
  <c r="AZ57" i="3"/>
  <c r="AZ121" i="3"/>
  <c r="AZ233" i="3"/>
  <c r="AZ453" i="3"/>
  <c r="AZ90" i="3"/>
  <c r="AZ105" i="3"/>
  <c r="AZ66" i="3"/>
  <c r="AZ85" i="3"/>
  <c r="AZ40" i="3"/>
  <c r="AZ286" i="3"/>
  <c r="AZ250" i="3"/>
  <c r="AZ149" i="3"/>
  <c r="AZ459" i="3"/>
  <c r="AZ439" i="3"/>
  <c r="AZ217" i="3"/>
  <c r="AZ474" i="3"/>
  <c r="D21" i="59"/>
  <c r="AZ159" i="3"/>
  <c r="AZ488" i="3"/>
  <c r="F28" i="6"/>
  <c r="F30" i="6" s="1"/>
  <c r="H26" i="35"/>
  <c r="U40" i="40"/>
  <c r="AB40" i="40"/>
  <c r="AZ552" i="3"/>
  <c r="U46" i="39"/>
  <c r="AB46" i="39"/>
  <c r="U47" i="34"/>
  <c r="AB47" i="34"/>
  <c r="W27" i="37"/>
  <c r="AC27" i="37"/>
  <c r="AB12" i="35"/>
  <c r="U12" i="35"/>
  <c r="AC31" i="21"/>
  <c r="W31" i="21"/>
  <c r="AC29" i="21"/>
  <c r="W29" i="21"/>
  <c r="AZ99" i="3"/>
  <c r="AZ183" i="3"/>
  <c r="AZ254" i="3"/>
  <c r="AZ419" i="3"/>
  <c r="E15" i="6"/>
  <c r="AZ82" i="3"/>
  <c r="P27" i="46"/>
  <c r="P26" i="46"/>
  <c r="G28" i="6"/>
  <c r="G30" i="6" s="1"/>
  <c r="G31" i="6" s="1"/>
  <c r="AZ38" i="3"/>
  <c r="AZ177" i="3"/>
  <c r="AZ92" i="3"/>
  <c r="AZ62" i="3"/>
  <c r="AZ28" i="3"/>
  <c r="AZ175" i="3"/>
  <c r="AZ36" i="3"/>
  <c r="AZ283" i="3"/>
  <c r="AZ246" i="3"/>
  <c r="AZ152" i="3"/>
  <c r="AZ294" i="3"/>
  <c r="AZ257" i="3"/>
  <c r="AZ218" i="3"/>
  <c r="AZ350" i="3"/>
  <c r="AZ470" i="3"/>
  <c r="AZ445" i="3"/>
  <c r="AZ414" i="3"/>
  <c r="AB30" i="21"/>
  <c r="T21" i="59"/>
  <c r="M43" i="9"/>
  <c r="D18" i="9"/>
  <c r="AZ495" i="3"/>
  <c r="S31" i="21"/>
  <c r="AA31" i="21"/>
  <c r="AA40" i="40"/>
  <c r="S40" i="40"/>
  <c r="AA26" i="33"/>
  <c r="S26" i="33"/>
  <c r="AC13" i="21"/>
  <c r="W13" i="21"/>
  <c r="AC30" i="33"/>
  <c r="W30" i="33"/>
  <c r="D44" i="59"/>
  <c r="AZ37" i="3"/>
  <c r="AZ72" i="3"/>
  <c r="AZ163" i="3"/>
  <c r="AZ282" i="3"/>
  <c r="AZ145" i="3"/>
  <c r="AZ214" i="3"/>
  <c r="AZ399" i="3"/>
  <c r="AZ207" i="3"/>
  <c r="AZ572" i="3"/>
  <c r="AC16" i="40"/>
  <c r="AZ203" i="3"/>
  <c r="AA12" i="37"/>
  <c r="S12" i="37"/>
  <c r="AC44" i="33"/>
  <c r="W44" i="33"/>
  <c r="F26" i="35"/>
  <c r="AC26" i="33"/>
  <c r="W26" i="33"/>
  <c r="W13" i="34"/>
  <c r="AC13" i="34"/>
  <c r="U30" i="33"/>
  <c r="AB30" i="33"/>
  <c r="AC45" i="39"/>
  <c r="W45" i="39"/>
  <c r="C8" i="44"/>
  <c r="C34" i="44" s="1"/>
  <c r="L59" i="44"/>
  <c r="Q62" i="44" s="1"/>
  <c r="L60" i="44"/>
  <c r="Q76" i="44" s="1"/>
  <c r="M9" i="44"/>
  <c r="J54" i="44"/>
  <c r="Q54" i="44" s="1"/>
  <c r="J58" i="44"/>
  <c r="J56" i="44" s="1"/>
  <c r="J59" i="44" s="1"/>
  <c r="Q52" i="44" s="1"/>
  <c r="L57" i="44"/>
  <c r="I55" i="44"/>
  <c r="F48" i="15"/>
  <c r="L59" i="15"/>
  <c r="Q62" i="15" s="1"/>
  <c r="K17" i="4"/>
  <c r="A22" i="51" s="1"/>
  <c r="B16" i="63" s="1"/>
  <c r="P28" i="46"/>
  <c r="B67" i="40" s="1"/>
  <c r="C66" i="40"/>
  <c r="O23" i="46"/>
  <c r="AP16" i="1"/>
  <c r="F22" i="11" s="1"/>
  <c r="J1" i="65"/>
  <c r="C36" i="59"/>
  <c r="D35" i="59"/>
  <c r="C65" i="59"/>
  <c r="D64" i="59"/>
  <c r="AZ268" i="3"/>
  <c r="AZ236" i="3"/>
  <c r="AB14" i="39"/>
  <c r="U14" i="39"/>
  <c r="W24" i="36"/>
  <c r="AC24" i="36"/>
  <c r="AC24" i="35"/>
  <c r="W24" i="35"/>
  <c r="AB14" i="34"/>
  <c r="U14" i="34"/>
  <c r="U46" i="21"/>
  <c r="AB46" i="21"/>
  <c r="W14" i="21"/>
  <c r="AC14" i="21"/>
  <c r="O66" i="59"/>
  <c r="D67" i="59"/>
  <c r="S25" i="37"/>
  <c r="AA25" i="37"/>
  <c r="AA12" i="36"/>
  <c r="S12" i="36"/>
  <c r="W9" i="37"/>
  <c r="AC9" i="37"/>
  <c r="AC32" i="34"/>
  <c r="W32" i="34"/>
  <c r="S14" i="34"/>
  <c r="AA14" i="34"/>
  <c r="W30" i="21"/>
  <c r="AC30" i="21"/>
  <c r="AA14" i="21"/>
  <c r="S14" i="21"/>
  <c r="T61" i="59"/>
  <c r="D61" i="59"/>
  <c r="AZ276" i="3"/>
  <c r="AZ264" i="3"/>
  <c r="AZ232" i="3"/>
  <c r="C57" i="59"/>
  <c r="D56" i="59"/>
  <c r="AZ292" i="3"/>
  <c r="AZ284" i="3"/>
  <c r="AZ239" i="3"/>
  <c r="AC32" i="36"/>
  <c r="W32" i="36"/>
  <c r="AB24" i="36"/>
  <c r="U24" i="36"/>
  <c r="AC13" i="37"/>
  <c r="W13" i="37"/>
  <c r="AB24" i="35"/>
  <c r="U24" i="35"/>
  <c r="AA32" i="34"/>
  <c r="S32" i="34"/>
  <c r="AA45" i="33"/>
  <c r="S45" i="33"/>
  <c r="AA46" i="21"/>
  <c r="S46" i="21"/>
  <c r="S30" i="21"/>
  <c r="AA30" i="21"/>
  <c r="S13" i="37"/>
  <c r="AA13" i="37"/>
  <c r="U12" i="36"/>
  <c r="AB12" i="36"/>
  <c r="AB9" i="37"/>
  <c r="U9" i="37"/>
  <c r="AA24" i="36"/>
  <c r="S24" i="36"/>
  <c r="AA24" i="35"/>
  <c r="S24" i="35"/>
  <c r="AC14" i="34"/>
  <c r="W14" i="34"/>
  <c r="U45" i="33"/>
  <c r="AB45" i="33"/>
  <c r="W46" i="21"/>
  <c r="AC46" i="2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E28" i="6"/>
  <c r="G5" i="3"/>
  <c r="B3" i="3" s="1"/>
  <c r="F21" i="43"/>
  <c r="F33" i="12"/>
  <c r="C34" i="12" s="1"/>
  <c r="D33" i="12" s="1"/>
  <c r="E66" i="39"/>
  <c r="E61" i="40"/>
  <c r="K14" i="1"/>
  <c r="H7" i="34"/>
  <c r="U7" i="34" s="1"/>
  <c r="F7" i="34"/>
  <c r="AA7" i="34" s="1"/>
  <c r="R49" i="34" s="1"/>
  <c r="J7" i="34"/>
  <c r="W7" i="34" s="1"/>
  <c r="G16" i="1"/>
  <c r="J12" i="40" s="1"/>
  <c r="F7" i="21"/>
  <c r="AA7" i="21" s="1"/>
  <c r="H7" i="21"/>
  <c r="AB7" i="21" s="1"/>
  <c r="B12" i="59"/>
  <c r="F58" i="15"/>
  <c r="H7" i="35"/>
  <c r="U7" i="35" s="1"/>
  <c r="B40" i="1"/>
  <c r="L36" i="46" s="1"/>
  <c r="E64" i="40"/>
  <c r="D66" i="40"/>
  <c r="AC7" i="33"/>
  <c r="V48" i="33" s="1"/>
  <c r="I48" i="33" s="1"/>
  <c r="W7" i="33"/>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M26" i="15"/>
  <c r="L48" i="15"/>
  <c r="F43" i="44"/>
  <c r="F26" i="15"/>
  <c r="M10" i="44"/>
  <c r="M28" i="44"/>
  <c r="F9" i="15"/>
  <c r="M8" i="15"/>
  <c r="M24" i="15"/>
  <c r="F6" i="15"/>
  <c r="F42" i="15"/>
  <c r="F36" i="15"/>
  <c r="F7" i="15"/>
  <c r="F28" i="44"/>
  <c r="F13" i="15"/>
  <c r="F43" i="15"/>
  <c r="M22" i="15"/>
  <c r="C18" i="44"/>
  <c r="F41" i="15"/>
  <c r="J36" i="15"/>
  <c r="M28" i="15"/>
  <c r="F37" i="15"/>
  <c r="M26" i="44"/>
  <c r="F16" i="15"/>
  <c r="F38" i="15"/>
  <c r="M29" i="15"/>
  <c r="F40" i="15"/>
  <c r="J15" i="15"/>
  <c r="F8" i="15"/>
  <c r="E3" i="65"/>
  <c r="M23" i="15"/>
  <c r="F46" i="44"/>
  <c r="F67" i="15" l="1"/>
  <c r="L58" i="15"/>
  <c r="Q61" i="15" s="1"/>
  <c r="L56" i="15"/>
  <c r="J53" i="15"/>
  <c r="Q53" i="15" s="1"/>
  <c r="J57" i="15"/>
  <c r="J55" i="15" s="1"/>
  <c r="J58" i="15" s="1"/>
  <c r="Q51" i="15" s="1"/>
  <c r="F64" i="15"/>
  <c r="Q73" i="44"/>
  <c r="C29" i="44"/>
  <c r="Q72" i="15"/>
  <c r="S32" i="21"/>
  <c r="E29" i="6"/>
  <c r="J8" i="44"/>
  <c r="J20" i="44" s="1"/>
  <c r="C27" i="15"/>
  <c r="F63" i="15"/>
  <c r="F65" i="15"/>
  <c r="M7" i="15"/>
  <c r="M17" i="15" s="1"/>
  <c r="F49" i="15"/>
  <c r="C6" i="15"/>
  <c r="C32" i="15" s="1"/>
  <c r="F70" i="15"/>
  <c r="F50" i="15"/>
  <c r="C11" i="21"/>
  <c r="F13" i="39"/>
  <c r="J13" i="39"/>
  <c r="H13" i="39"/>
  <c r="Z7" i="46"/>
  <c r="G26" i="46"/>
  <c r="E26" i="46"/>
  <c r="B117" i="46"/>
  <c r="H26" i="46"/>
  <c r="J26" i="46"/>
  <c r="F26" i="46"/>
  <c r="AZ5" i="3"/>
  <c r="E3" i="6" s="1"/>
  <c r="D16" i="43" s="1"/>
  <c r="C16" i="43" s="1"/>
  <c r="AA27" i="39"/>
  <c r="S27" i="39"/>
  <c r="O6" i="1"/>
  <c r="P6" i="1" s="1"/>
  <c r="C15" i="12" s="1"/>
  <c r="C15" i="43"/>
  <c r="AC23" i="39"/>
  <c r="W23" i="39"/>
  <c r="AB23" i="39"/>
  <c r="U23" i="39"/>
  <c r="F1" i="44"/>
  <c r="J60" i="44"/>
  <c r="J61" i="44" s="1"/>
  <c r="Q50" i="44" s="1"/>
  <c r="C7" i="44"/>
  <c r="C40" i="44" s="1"/>
  <c r="Q75" i="44"/>
  <c r="Q75" i="15"/>
  <c r="Q63" i="44"/>
  <c r="U26" i="35"/>
  <c r="AB26" i="35"/>
  <c r="AA26" i="35"/>
  <c r="S26" i="35"/>
  <c r="M44" i="9"/>
  <c r="V21" i="59"/>
  <c r="F20" i="59"/>
  <c r="F19" i="59" s="1"/>
  <c r="F18" i="59" s="1"/>
  <c r="F17" i="59" s="1"/>
  <c r="E58" i="40"/>
  <c r="W7" i="21"/>
  <c r="F17" i="11"/>
  <c r="C17" i="11" s="1"/>
  <c r="C19" i="11" s="1"/>
  <c r="C20" i="11" s="1"/>
  <c r="C21" i="11" s="1"/>
  <c r="C22" i="11" s="1"/>
  <c r="C23" i="11" s="1"/>
  <c r="B2" i="11" s="1"/>
  <c r="S7" i="34"/>
  <c r="T65" i="59"/>
  <c r="D65" i="59"/>
  <c r="C37" i="59"/>
  <c r="D36" i="59"/>
  <c r="D57" i="59"/>
  <c r="T57" i="59"/>
  <c r="N66" i="59"/>
  <c r="N67"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E6" i="6"/>
  <c r="D13" i="11" s="1"/>
  <c r="C13" i="11" s="1"/>
  <c r="AC7" i="34"/>
  <c r="V49" i="34" s="1"/>
  <c r="I49" i="34" s="1"/>
  <c r="J10" i="15"/>
  <c r="AG8" i="1"/>
  <c r="AG9" i="1"/>
  <c r="AG11" i="1"/>
  <c r="AG12" i="1"/>
  <c r="AG10" i="1"/>
  <c r="AG7" i="1"/>
  <c r="AG6" i="1"/>
  <c r="F68" i="15"/>
  <c r="D5" i="46"/>
  <c r="C5" i="46"/>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M29" i="44"/>
  <c r="C16" i="15"/>
  <c r="M27" i="15"/>
  <c r="Q74" i="15" l="1"/>
  <c r="J7" i="44"/>
  <c r="J26" i="44" s="1"/>
  <c r="F1" i="15"/>
  <c r="K15" i="1"/>
  <c r="K16" i="1" s="1"/>
  <c r="L19" i="6"/>
  <c r="L27" i="6" s="1"/>
  <c r="D22" i="12"/>
  <c r="C22" i="12" s="1"/>
  <c r="C20" i="12" s="1"/>
  <c r="D16" i="12"/>
  <c r="D19" i="12" s="1"/>
  <c r="C19" i="12" s="1"/>
  <c r="C48" i="15"/>
  <c r="C47" i="15" s="1"/>
  <c r="C59" i="15" s="1"/>
  <c r="J6" i="15"/>
  <c r="J18" i="15" s="1"/>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1" i="46"/>
  <c r="C121" i="46" s="1"/>
  <c r="H11" i="21"/>
  <c r="F11" i="21"/>
  <c r="J11" i="21"/>
  <c r="D26" i="46"/>
  <c r="C25" i="46" s="1"/>
  <c r="C33" i="46" s="1"/>
  <c r="U13" i="39"/>
  <c r="AB13" i="39"/>
  <c r="B1" i="66"/>
  <c r="C7" i="66" s="1"/>
  <c r="B14" i="66"/>
  <c r="D46" i="9"/>
  <c r="AC13" i="39"/>
  <c r="W13" i="39"/>
  <c r="G54" i="34"/>
  <c r="H54" i="34" s="1"/>
  <c r="AA13" i="39"/>
  <c r="S13" i="39"/>
  <c r="F16" i="59"/>
  <c r="F15" i="59" s="1"/>
  <c r="F14" i="59" s="1"/>
  <c r="F13" i="59" s="1"/>
  <c r="V17" i="59"/>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7" i="6" s="1"/>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C16" i="12" l="1"/>
  <c r="J5" i="15"/>
  <c r="J24" i="15" s="1"/>
  <c r="E33" i="46"/>
  <c r="C34" i="46"/>
  <c r="E34" i="46" s="1"/>
  <c r="S11" i="21"/>
  <c r="AA11" i="21"/>
  <c r="R48" i="21" s="1"/>
  <c r="M21" i="6"/>
  <c r="I21" i="6" s="1"/>
  <c r="S21" i="6" s="1"/>
  <c r="C8" i="66"/>
  <c r="U11" i="21"/>
  <c r="AB11" i="21"/>
  <c r="T48" i="21" s="1"/>
  <c r="G48" i="21" s="1"/>
  <c r="B5" i="11"/>
  <c r="C40" i="39"/>
  <c r="W11" i="21"/>
  <c r="AC11" i="21"/>
  <c r="V48" i="21" s="1"/>
  <c r="I48" i="21" s="1"/>
  <c r="C65" i="15"/>
  <c r="V13" i="59"/>
  <c r="F12" i="59"/>
  <c r="F11" i="59" s="1"/>
  <c r="F10" i="59" s="1"/>
  <c r="F9" i="59" s="1"/>
  <c r="V9" i="59"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14" i="66" l="1"/>
  <c r="B2" i="66" s="1"/>
  <c r="I52" i="21"/>
  <c r="J52" i="21" s="1"/>
  <c r="G52" i="21"/>
  <c r="H52" i="21" s="1"/>
  <c r="G53" i="21"/>
  <c r="H53" i="21" s="1"/>
  <c r="R49" i="21"/>
  <c r="E48" i="21"/>
  <c r="F40" i="39"/>
  <c r="H40" i="39"/>
  <c r="J40" i="39"/>
  <c r="B2" i="35"/>
  <c r="L3" i="35" s="1"/>
  <c r="D8" i="12"/>
  <c r="D10" i="12" s="1"/>
  <c r="S16" i="1"/>
  <c r="M27" i="6"/>
  <c r="D30" i="6"/>
  <c r="H24" i="6"/>
  <c r="R24" i="6" s="1"/>
  <c r="R11" i="1" s="1"/>
  <c r="H23" i="6"/>
  <c r="R23" i="6" s="1"/>
  <c r="R10" i="1" s="1"/>
  <c r="H22" i="6"/>
  <c r="R22" i="6" s="1"/>
  <c r="R9" i="1" s="1"/>
  <c r="D16" i="59"/>
  <c r="C15" i="59"/>
  <c r="C31" i="46"/>
  <c r="C30" i="46"/>
  <c r="B2" i="46" s="1"/>
  <c r="D4" i="46" s="1"/>
  <c r="T11" i="1"/>
  <c r="T9" i="1"/>
  <c r="T10" i="1"/>
  <c r="T13" i="1"/>
  <c r="T6" i="1"/>
  <c r="T8"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0" i="6"/>
  <c r="R7" i="1" s="1"/>
  <c r="C17" i="43"/>
  <c r="C14" i="43"/>
  <c r="C14" i="12"/>
  <c r="C17" i="12"/>
  <c r="I64" i="40"/>
  <c r="H66" i="40"/>
  <c r="H71" i="39"/>
  <c r="I69" i="39"/>
  <c r="N46" i="36"/>
  <c r="E3" i="67"/>
  <c r="B2" i="67"/>
  <c r="F35" i="15"/>
  <c r="F37" i="44"/>
  <c r="C14" i="15"/>
  <c r="C16" i="44"/>
  <c r="M23" i="44"/>
  <c r="M21" i="15"/>
  <c r="D8" i="66" l="1"/>
  <c r="D7" i="66"/>
  <c r="E53" i="21"/>
  <c r="F53" i="21" s="1"/>
  <c r="E52" i="21"/>
  <c r="F52" i="21" s="1"/>
  <c r="I53" i="21"/>
  <c r="J53" i="21" s="1"/>
  <c r="AC40" i="39"/>
  <c r="W40" i="39"/>
  <c r="C49" i="21"/>
  <c r="B3" i="21" s="1"/>
  <c r="B2" i="21" s="1"/>
  <c r="C48" i="21"/>
  <c r="C8" i="12" s="1"/>
  <c r="C10" i="12" s="1"/>
  <c r="C6" i="12" s="1"/>
  <c r="AB40" i="39"/>
  <c r="U40" i="39"/>
  <c r="AA40" i="39"/>
  <c r="S40" i="39"/>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24" i="12" l="1"/>
  <c r="C35" i="12" s="1"/>
  <c r="C33" i="12" s="1"/>
  <c r="C29" i="12"/>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39"/>
  <c r="B4" i="39"/>
  <c r="B3" i="39"/>
  <c r="B5" i="40"/>
  <c r="B4" i="40"/>
  <c r="B3" i="40"/>
  <c r="C21" i="9"/>
  <c r="C19" i="9"/>
  <c r="C20" i="9"/>
  <c r="L43" i="9" l="1"/>
  <c r="F20" i="43"/>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34" i="9" l="1"/>
  <c r="C35" i="9"/>
  <c r="F42" i="9" s="1"/>
  <c r="O38" i="9"/>
  <c r="D14" i="66" s="1"/>
  <c r="C33" i="9"/>
  <c r="O43" i="9"/>
  <c r="C4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E14" i="66" l="1"/>
  <c r="F14" i="66"/>
  <c r="C44" i="9"/>
  <c r="R5" i="54"/>
  <c r="B48" i="63" s="1"/>
  <c r="D63" i="9"/>
  <c r="N68" i="9"/>
  <c r="K25" i="9"/>
  <c r="K26" i="9"/>
  <c r="D42" i="9"/>
  <c r="Q5" i="54" s="1"/>
  <c r="B47" i="63" s="1"/>
  <c r="N38" i="9"/>
  <c r="K28" i="9" s="1"/>
  <c r="E42" i="9"/>
  <c r="P5" i="54" s="1"/>
  <c r="B46" i="63" s="1"/>
  <c r="M38" i="9"/>
  <c r="K27" i="9" s="1"/>
  <c r="Q57" i="15"/>
  <c r="L57" i="15"/>
  <c r="L60" i="15" s="1"/>
  <c r="Q67" i="15" s="1"/>
  <c r="Q68" i="15"/>
  <c r="C46" i="15"/>
  <c r="Q66" i="15"/>
  <c r="J42" i="15"/>
  <c r="J43" i="15" s="1"/>
  <c r="B2" i="15"/>
  <c r="B3" i="15" s="1"/>
  <c r="C43" i="15"/>
  <c r="Q48" i="15"/>
  <c r="Q54" i="15" s="1"/>
  <c r="L52" i="44"/>
  <c r="L58" i="44" s="1"/>
  <c r="L61" i="44" s="1"/>
  <c r="L47" i="44" s="1"/>
  <c r="B3" i="44"/>
  <c r="B5" i="44"/>
  <c r="B4" i="44"/>
  <c r="C96" i="9" l="1"/>
  <c r="C91" i="9" s="1"/>
  <c r="C82" i="9"/>
  <c r="C81" i="9" s="1"/>
  <c r="C85" i="9" s="1"/>
  <c r="C86" i="9" s="1"/>
  <c r="D72" i="9" s="1"/>
  <c r="C111" i="9"/>
  <c r="C104" i="9" s="1"/>
  <c r="D70" i="9"/>
  <c r="C103" i="9"/>
  <c r="C90" i="9"/>
  <c r="D73" i="9"/>
  <c r="N73" i="9" s="1"/>
  <c r="D71" i="9"/>
  <c r="D66" i="9" s="1"/>
  <c r="N72" i="9" s="1"/>
  <c r="N69" i="9"/>
  <c r="O39" i="9"/>
  <c r="D44" i="9"/>
  <c r="F44" i="9"/>
  <c r="E44" i="9"/>
  <c r="Q58" i="15"/>
  <c r="Q63" i="15" s="1"/>
  <c r="Q76" i="15"/>
  <c r="Q69" i="44"/>
  <c r="Q59" i="44"/>
  <c r="Q64" i="44" s="1"/>
  <c r="Q68" i="44"/>
  <c r="Q77" i="44" s="1"/>
  <c r="G14" i="66" l="1"/>
  <c r="C97" i="9"/>
  <c r="C98" i="9" s="1"/>
  <c r="E98" i="9" s="1"/>
  <c r="E99" i="9" s="1"/>
  <c r="C113" i="9"/>
  <c r="C114" i="9" s="1"/>
  <c r="K29" i="9"/>
  <c r="K30" i="9" s="1"/>
  <c r="R6" i="54"/>
  <c r="B50" i="63" s="1"/>
  <c r="M83" i="9"/>
  <c r="N83" i="9" s="1"/>
  <c r="M88" i="9"/>
  <c r="N88" i="9" s="1"/>
  <c r="M85" i="9"/>
  <c r="N85" i="9" s="1"/>
  <c r="M84" i="9"/>
  <c r="N84" i="9" s="1"/>
  <c r="M87" i="9"/>
  <c r="N87" i="9" s="1"/>
  <c r="M86" i="9"/>
  <c r="N86" i="9" s="1"/>
  <c r="C99" i="9" l="1"/>
  <c r="E114" i="9"/>
  <c r="E115" i="9" s="1"/>
  <c r="C115" i="9"/>
  <c r="D76" i="9" s="1"/>
  <c r="D74" i="9" s="1"/>
  <c r="N74" i="9" s="1"/>
  <c r="O77" i="9" s="1"/>
  <c r="O79" i="9" s="1"/>
  <c r="O81" i="9" s="1"/>
  <c r="N89" i="9"/>
  <c r="O89" i="9" s="1"/>
  <c r="Q77" i="9" l="1"/>
  <c r="O78" i="9"/>
  <c r="O80" i="9"/>
  <c r="F15" i="66" l="1"/>
  <c r="E15" i="66"/>
  <c r="B5" i="66"/>
  <c r="D5" i="66" l="1"/>
  <c r="C5" i="66"/>
  <c r="B6"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a</author>
  </authors>
  <commentList>
    <comment ref="Q9" authorId="0">
      <text>
        <r>
          <rPr>
            <b/>
            <sz val="9"/>
            <color indexed="81"/>
            <rFont val="宋体"/>
            <family val="3"/>
            <charset val="134"/>
          </rPr>
          <t>a:</t>
        </r>
        <r>
          <rPr>
            <sz val="9"/>
            <color indexed="81"/>
            <rFont val="宋体"/>
            <family val="3"/>
            <charset val="134"/>
          </rPr>
          <t xml:space="preserve">
规证附件放到地上，附图在地下，依据附图调整</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<sst xmlns="http://schemas.openxmlformats.org/spreadsheetml/2006/main" count="7813" uniqueCount="3545">
  <si>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</si>
  <si>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</si>
  <si>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</si>
  <si>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</si>
  <si>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</si>
  <si>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</si>
  <si>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</si>
  <si>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</si>
  <si>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</si>
  <si>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</si>
  <si>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</si>
  <si>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</si>
  <si>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</si>
  <si>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</si>
  <si>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</si>
  <si>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</si>
  <si>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</si>
  <si>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</si>
  <si>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</si>
  <si>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</si>
  <si>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</si>
  <si>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</si>
  <si>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</si>
  <si>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</si>
  <si>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</si>
  <si>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</si>
  <si>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</si>
  <si>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</si>
  <si>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</si>
  <si>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</si>
  <si>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</si>
  <si>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</si>
  <si>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</si>
  <si>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</si>
  <si>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</si>
  <si>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</si>
  <si>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</si>
  <si>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</si>
  <si>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</si>
  <si>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</si>
  <si>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</si>
  <si>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</si>
  <si>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</si>
  <si>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</si>
  <si>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</si>
  <si>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</si>
  <si>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</si>
  <si>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</si>
  <si>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</si>
  <si>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</si>
  <si>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</si>
  <si>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</si>
  <si>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</si>
  <si>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</si>
  <si>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</si>
  <si>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</si>
  <si>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</si>
  <si>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</si>
  <si>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</si>
  <si>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</si>
  <si>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</si>
  <si>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</si>
  <si>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</si>
  <si>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</si>
  <si>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</si>
  <si>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</si>
  <si>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</si>
  <si>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</si>
  <si>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</si>
  <si>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</si>
  <si>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</si>
  <si>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</si>
  <si>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</si>
  <si>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</si>
  <si>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</si>
  <si>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</si>
  <si>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</si>
  <si>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</si>
  <si>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</si>
  <si>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</si>
  <si>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</si>
  <si>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</si>
  <si>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</si>
  <si>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</si>
  <si>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</si>
  <si>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</si>
  <si>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</si>
  <si>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</si>
  <si>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</si>
  <si>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</si>
  <si>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</si>
  <si>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</si>
  <si>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</si>
  <si>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</si>
  <si>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</si>
  <si>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</si>
  <si>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</si>
  <si>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</si>
  <si>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</si>
  <si>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</si>
  <si>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</si>
  <si>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</si>
  <si>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</si>
  <si>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</si>
  <si>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</si>
  <si>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</si>
  <si>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</si>
  <si>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</si>
  <si>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</si>
  <si>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</si>
  <si>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</si>
  <si>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</si>
  <si>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</si>
  <si>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</si>
  <si>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</si>
  <si>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</si>
  <si>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</si>
  <si>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</si>
  <si>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</si>
  <si>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</si>
  <si>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</si>
  <si>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</si>
  <si>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</si>
  <si>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</si>
  <si>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</si>
  <si>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</si>
  <si>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</si>
  <si>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</si>
  <si>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</si>
  <si>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</si>
  <si>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</si>
  <si>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</si>
  <si>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</si>
  <si>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</si>
  <si>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</si>
  <si>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</si>
  <si>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</si>
  <si>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</si>
  <si>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</si>
  <si>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</si>
  <si>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</si>
  <si>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</si>
  <si>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</si>
  <si>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</si>
  <si>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</si>
  <si>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</si>
  <si>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</si>
  <si>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</si>
  <si>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</si>
  <si>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</si>
  <si>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</si>
  <si>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</si>
  <si>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</si>
  <si>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</si>
  <si>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</si>
  <si>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</si>
  <si>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</si>
  <si>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</si>
  <si>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</si>
  <si>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</si>
  <si>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</si>
  <si>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</si>
  <si>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</si>
  <si>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</si>
  <si>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</si>
  <si>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</si>
  <si>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</si>
  <si>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</si>
  <si>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</si>
  <si>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</si>
  <si>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</si>
  <si>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</si>
  <si>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</si>
  <si>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</si>
  <si>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</si>
  <si>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</si>
  <si>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</si>
  <si>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</si>
  <si>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</si>
  <si>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</si>
  <si>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</si>
  <si>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</si>
  <si>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</si>
  <si>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</si>
  <si>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</si>
  <si>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</si>
  <si>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</si>
  <si>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</si>
  <si>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</si>
  <si>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</si>
  <si>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</si>
  <si>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</si>
  <si>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</si>
  <si>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</si>
  <si>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</si>
  <si>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</si>
  <si>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</si>
  <si>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</si>
  <si>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</si>
  <si>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</si>
  <si>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</si>
  <si>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</si>
  <si>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</si>
  <si>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</si>
  <si>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</si>
  <si>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</si>
  <si>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</si>
  <si>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</si>
  <si>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</si>
  <si>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</si>
  <si>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</si>
  <si>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</si>
  <si>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</si>
  <si>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</si>
  <si>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</si>
  <si>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</si>
  <si>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</si>
  <si>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</si>
  <si>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</si>
  <si>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</si>
  <si>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</si>
  <si>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</si>
  <si>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</si>
  <si>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</si>
  <si>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</si>
  <si>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</si>
  <si>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</si>
  <si>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</si>
  <si>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</si>
  <si>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</si>
  <si>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</si>
  <si>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</si>
  <si>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</si>
  <si>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</si>
  <si>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</si>
  <si>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</si>
  <si>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</si>
  <si>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</si>
  <si>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</si>
  <si>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</si>
  <si>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</si>
  <si>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</si>
  <si>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</si>
  <si>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</si>
  <si>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</si>
  <si>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</si>
  <si>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</si>
  <si>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</si>
  <si>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</si>
  <si>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</si>
  <si>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</si>
  <si>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</si>
  <si>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</si>
  <si>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</si>
  <si>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</si>
  <si>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</si>
  <si>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</si>
  <si>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</si>
  <si>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</si>
  <si>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</si>
  <si>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</si>
  <si>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</si>
  <si>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</si>
  <si>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</si>
  <si>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</si>
  <si>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</si>
  <si>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</si>
  <si>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</si>
  <si>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</si>
  <si>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</si>
  <si>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</si>
  <si>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</si>
  <si>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</si>
  <si>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</si>
  <si>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</si>
  <si>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</si>
  <si>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</si>
  <si>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</si>
  <si>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</si>
  <si>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</si>
  <si>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</si>
  <si>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</si>
  <si>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</si>
  <si>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</si>
  <si>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</si>
  <si>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</si>
  <si>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</si>
  <si>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</si>
  <si>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</si>
  <si>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</si>
  <si>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</si>
  <si>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</si>
  <si>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</si>
  <si>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</si>
  <si>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</si>
  <si>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</si>
  <si>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</si>
  <si>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</si>
  <si>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</si>
  <si>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</si>
  <si>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</si>
  <si>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</si>
  <si>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</si>
  <si>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</si>
  <si>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</si>
  <si>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</si>
  <si>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</si>
  <si>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</si>
  <si>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</si>
  <si>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</si>
  <si>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</si>
  <si>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</si>
  <si>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</si>
  <si>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</si>
  <si>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</si>
  <si>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</si>
  <si>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</si>
  <si>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</si>
  <si>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</si>
  <si>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</si>
  <si>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</si>
  <si>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</si>
  <si>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</si>
  <si>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</si>
  <si>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</si>
  <si>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</si>
  <si>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</si>
  <si>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</si>
  <si>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</si>
  <si>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</si>
  <si>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</si>
  <si>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</si>
  <si>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</si>
  <si>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</si>
  <si>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</si>
  <si>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</si>
  <si>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</si>
  <si>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</si>
  <si>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</si>
  <si>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</si>
  <si>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</si>
  <si>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</si>
  <si>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</si>
  <si>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</si>
  <si>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</si>
  <si>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</si>
  <si>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</si>
  <si>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</si>
  <si>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</si>
  <si>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</si>
  <si>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</si>
  <si>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</si>
  <si>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</si>
  <si>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</si>
  <si>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</si>
  <si>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</si>
  <si>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</si>
  <si>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</si>
  <si>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</si>
  <si>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</si>
  <si>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</si>
  <si>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</si>
  <si>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</si>
  <si>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</si>
  <si>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</si>
  <si>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</si>
  <si>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</si>
  <si>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</si>
  <si>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</si>
  <si>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</si>
  <si>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</si>
  <si>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</si>
  <si>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</si>
  <si>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</si>
  <si>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</si>
  <si>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</si>
  <si>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</si>
  <si>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</si>
  <si>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</si>
  <si>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</si>
  <si>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</si>
  <si>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</si>
  <si>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</si>
  <si>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</si>
  <si>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</si>
  <si>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</si>
  <si>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</si>
  <si>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</si>
  <si>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</si>
  <si>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</si>
  <si>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</si>
  <si>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</si>
  <si>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</si>
  <si>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</si>
  <si>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</si>
  <si>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</si>
  <si>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</si>
  <si>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</si>
  <si>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</si>
  <si>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</si>
  <si>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</si>
  <si>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</si>
  <si>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</si>
  <si>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</si>
  <si>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</si>
  <si>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</si>
  <si>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</si>
  <si>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</si>
  <si>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</si>
  <si>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</si>
  <si>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</si>
  <si>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</si>
  <si>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</si>
  <si>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</si>
  <si>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</si>
  <si>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</si>
  <si>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</si>
  <si>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</si>
  <si>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</si>
  <si>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</si>
  <si>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</si>
  <si>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</si>
  <si>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</si>
  <si>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</si>
  <si>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</si>
  <si>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</si>
  <si>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</si>
  <si>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</si>
  <si>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</si>
  <si>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</si>
  <si>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</si>
  <si>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</si>
  <si>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</si>
  <si>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</si>
  <si>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</si>
  <si>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</si>
  <si>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</si>
  <si>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</si>
  <si>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</si>
  <si>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</si>
  <si>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</si>
  <si>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</si>
  <si>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</si>
  <si>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</si>
  <si>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</si>
  <si>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</si>
  <si>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</si>
  <si>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</si>
  <si>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</si>
  <si>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</si>
  <si>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</si>
  <si>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</si>
  <si>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</si>
  <si>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</si>
  <si>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</si>
  <si>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</si>
  <si>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</si>
  <si>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</si>
  <si>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</si>
  <si>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</si>
  <si>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</si>
  <si>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</si>
  <si>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</si>
  <si>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</si>
  <si>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</si>
  <si>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</si>
  <si>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</si>
  <si>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</si>
  <si>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</si>
  <si>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</si>
  <si>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</si>
  <si>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</si>
  <si>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</si>
  <si>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</si>
  <si>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</si>
  <si>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</si>
  <si>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</si>
  <si>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</si>
  <si>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</si>
  <si>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</si>
  <si>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</si>
  <si>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</si>
  <si>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</si>
  <si>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</si>
  <si>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</si>
  <si>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</si>
  <si>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</si>
  <si>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</si>
  <si>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</si>
  <si>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</si>
  <si>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</si>
  <si>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</si>
  <si>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</si>
  <si>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</si>
  <si>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</si>
  <si>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</si>
  <si>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</si>
  <si>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</si>
  <si>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</si>
  <si>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</si>
  <si>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</si>
  <si>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</si>
  <si>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</si>
  <si>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</si>
  <si>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</si>
  <si>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</si>
  <si>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</si>
  <si>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</si>
  <si>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</si>
  <si>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</si>
  <si>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</si>
  <si>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</si>
  <si>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</si>
  <si>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</si>
  <si>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</si>
  <si>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</si>
  <si>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</si>
  <si>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</si>
  <si>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</si>
  <si>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</si>
  <si>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</si>
  <si>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</si>
  <si>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</si>
  <si>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</si>
  <si>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</si>
  <si>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</si>
  <si>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</si>
  <si>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</si>
  <si>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</si>
  <si>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</si>
  <si>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</si>
  <si>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</si>
  <si>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</si>
  <si>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</si>
  <si>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</si>
  <si>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</si>
  <si>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</si>
  <si>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</si>
  <si>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</si>
  <si>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</si>
  <si>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</si>
  <si>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</si>
  <si>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</si>
  <si>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</si>
  <si>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</si>
  <si>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</si>
  <si>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</si>
  <si>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</si>
  <si>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</si>
  <si>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</si>
  <si>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</si>
  <si>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</si>
  <si>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</si>
  <si>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</si>
  <si>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</si>
  <si>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</si>
  <si>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</si>
  <si>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</si>
  <si>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</si>
  <si>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</si>
  <si>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</si>
  <si>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</si>
  <si>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</si>
  <si>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</si>
  <si>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</si>
  <si>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</si>
  <si>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</si>
  <si>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</si>
  <si>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</si>
  <si>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</si>
  <si>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</si>
  <si>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</si>
  <si>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</si>
  <si>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</si>
  <si>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</si>
  <si>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</si>
  <si>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</si>
  <si>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</si>
  <si>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</si>
  <si>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</si>
  <si>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</si>
  <si>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</si>
  <si>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</si>
  <si>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</si>
  <si>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</si>
  <si>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</si>
  <si>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</si>
  <si>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</si>
  <si>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</si>
  <si>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</si>
  <si>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</si>
  <si>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</si>
  <si>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</si>
  <si>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</si>
  <si>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</si>
  <si>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</si>
  <si>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</si>
  <si>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</si>
  <si>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</si>
  <si>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</si>
  <si>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</si>
  <si>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</si>
  <si>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</si>
  <si>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</si>
  <si>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</si>
  <si>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</si>
  <si>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</si>
  <si>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</si>
  <si>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</si>
  <si>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</si>
  <si>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</si>
  <si>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</si>
  <si>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</si>
  <si>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</si>
  <si>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</si>
  <si>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</si>
  <si>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</si>
  <si>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</si>
  <si>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</si>
  <si>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</si>
  <si>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</si>
  <si>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</si>
  <si>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</si>
  <si>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</si>
  <si>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</si>
  <si>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</si>
  <si>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</si>
  <si>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</si>
  <si>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</si>
  <si>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</si>
  <si>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</si>
  <si>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</si>
  <si>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</si>
  <si>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</si>
  <si>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</si>
  <si>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</si>
  <si>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</si>
  <si>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</si>
  <si>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</si>
  <si>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</si>
  <si>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</si>
  <si>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</si>
  <si>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</si>
  <si>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</si>
  <si>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</si>
  <si>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</si>
  <si>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</si>
  <si>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</si>
  <si>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</si>
  <si>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</si>
  <si>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</si>
  <si>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</si>
  <si>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</si>
  <si>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</si>
  <si>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</si>
  <si>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</si>
  <si>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</si>
  <si>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</si>
  <si>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</si>
  <si>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</si>
  <si>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</si>
  <si>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</si>
  <si>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</si>
  <si>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</si>
  <si>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</si>
  <si>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</si>
  <si>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</si>
  <si>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</si>
  <si>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</si>
  <si>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</si>
  <si>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</si>
  <si>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</si>
  <si>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</si>
  <si>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</si>
  <si>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</si>
  <si>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</si>
  <si>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</si>
  <si>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</si>
  <si>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</si>
  <si>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</si>
  <si>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</si>
  <si>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</si>
  <si>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</si>
  <si>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</si>
  <si>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</si>
  <si>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</si>
  <si>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</si>
  <si>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</si>
  <si>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</si>
  <si>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</si>
  <si>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</si>
  <si>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</si>
  <si>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</si>
  <si>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</si>
  <si>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</si>
  <si>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</si>
  <si>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</si>
  <si>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</si>
  <si>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</si>
  <si>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</si>
  <si>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</si>
  <si>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</si>
  <si>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</si>
  <si>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</si>
  <si>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</si>
  <si>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</si>
  <si>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</si>
  <si>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</si>
  <si>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</si>
  <si>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</si>
  <si>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</si>
  <si>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</si>
  <si>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</si>
  <si>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</si>
  <si>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</si>
  <si>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</si>
  <si>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</si>
  <si>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</si>
  <si>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</si>
  <si>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</si>
  <si>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</si>
  <si>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</si>
  <si>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</si>
  <si>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</si>
  <si>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</si>
  <si>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</si>
  <si>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</si>
  <si>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</si>
  <si>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</si>
  <si>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</si>
  <si>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</si>
  <si>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</si>
  <si>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</si>
  <si>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</si>
  <si>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</si>
  <si>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</si>
  <si>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</si>
  <si>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</si>
  <si>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</si>
  <si>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</si>
  <si>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</si>
  <si>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</si>
  <si>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</si>
  <si>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</si>
  <si>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</si>
  <si>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</si>
  <si>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</si>
  <si>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</si>
  <si>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</si>
  <si>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</si>
  <si>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</si>
  <si>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</si>
  <si>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</si>
  <si>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</si>
  <si>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</si>
  <si>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</si>
  <si>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</si>
  <si>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</si>
  <si>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</si>
  <si>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</si>
  <si>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</si>
  <si>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</si>
  <si>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</si>
  <si>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</si>
  <si>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</si>
  <si>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</si>
  <si>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</si>
  <si>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</si>
  <si>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</si>
  <si>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</si>
  <si>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</si>
  <si>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</si>
  <si>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</si>
  <si>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</si>
  <si>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</si>
  <si>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</si>
  <si>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</si>
  <si>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</si>
  <si>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</si>
  <si>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</si>
  <si>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</si>
  <si>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</si>
  <si>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</si>
  <si>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</si>
  <si>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</si>
  <si>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</si>
  <si>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</si>
  <si>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</si>
  <si>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</si>
  <si>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</si>
  <si>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</si>
  <si>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</si>
  <si>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</si>
  <si>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</si>
  <si>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</si>
  <si>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</si>
  <si>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</si>
  <si>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</si>
  <si>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</si>
  <si>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</si>
  <si>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</si>
  <si>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</si>
  <si>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</si>
  <si>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</si>
  <si>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</si>
  <si>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</si>
  <si>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</si>
  <si>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</si>
  <si>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</si>
  <si>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</si>
  <si>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</si>
  <si>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</si>
  <si>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</si>
  <si>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</si>
  <si>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</si>
  <si>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</si>
  <si>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</si>
  <si>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</si>
  <si>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</si>
  <si>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</si>
  <si>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</si>
  <si>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</si>
  <si>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</si>
  <si>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</si>
  <si>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</si>
  <si>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</si>
  <si>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</si>
  <si>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</si>
  <si>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</si>
  <si>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</si>
  <si>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</si>
  <si>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</si>
  <si>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</si>
  <si>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</si>
  <si>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</si>
  <si>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</si>
  <si>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</si>
  <si>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</si>
  <si>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</si>
  <si>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</si>
  <si>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</si>
  <si>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</si>
  <si>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</si>
  <si>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</si>
  <si>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</si>
  <si>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</si>
  <si>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</si>
  <si>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</si>
  <si>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</si>
  <si>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</si>
  <si>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</si>
  <si>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</si>
  <si>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</si>
  <si>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</si>
  <si>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</si>
  <si>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</si>
  <si>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</si>
  <si>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</si>
  <si>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</si>
  <si>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</si>
  <si>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</si>
  <si>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</si>
  <si>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</si>
  <si>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</si>
  <si>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</si>
  <si>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</si>
  <si>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</si>
  <si>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</si>
  <si>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</si>
  <si>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</si>
  <si>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</si>
  <si>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</si>
  <si>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</si>
  <si>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</si>
  <si>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</si>
  <si>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</si>
  <si>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</si>
  <si>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</si>
  <si>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</si>
  <si>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</si>
  <si>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</si>
  <si>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</si>
  <si>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</si>
  <si>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</si>
  <si>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</si>
  <si>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</si>
  <si>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</si>
  <si>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</si>
  <si>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</si>
  <si>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</si>
  <si>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</si>
  <si>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</si>
  <si>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</si>
  <si>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</si>
  <si>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</si>
  <si>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</si>
  <si>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</si>
  <si>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</si>
  <si>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</si>
  <si>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</si>
  <si>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</si>
  <si>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</si>
  <si>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</si>
  <si>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</si>
  <si>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</si>
  <si>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</si>
  <si>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</si>
  <si>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</si>
  <si>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</si>
  <si>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</si>
  <si>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</si>
  <si>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</si>
  <si>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</si>
  <si>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</si>
  <si>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</si>
  <si>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</si>
  <si>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</si>
  <si>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</si>
  <si>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</si>
  <si>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</si>
  <si>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</si>
  <si>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</si>
  <si>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</si>
  <si>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</si>
  <si>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</si>
  <si>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</si>
  <si>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</si>
  <si>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</si>
  <si>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</si>
  <si>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</si>
  <si>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</si>
  <si>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</si>
  <si>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</si>
  <si>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</si>
  <si>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</si>
  <si>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</si>
  <si>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</si>
  <si>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</si>
  <si>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</si>
  <si>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</si>
  <si>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</si>
  <si>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</si>
  <si>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</si>
  <si>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</si>
  <si>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</si>
  <si>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</si>
  <si>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</si>
  <si>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</si>
  <si>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</si>
  <si>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</si>
  <si>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</si>
  <si>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</si>
  <si>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</si>
  <si>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</si>
  <si>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</si>
  <si>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</si>
  <si>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</si>
  <si>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</si>
  <si>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</si>
  <si>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</si>
  <si>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</si>
  <si>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</si>
  <si>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</si>
  <si>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</si>
  <si>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</si>
  <si>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</si>
  <si>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</si>
  <si>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</si>
  <si>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</si>
  <si>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</si>
  <si>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</si>
  <si>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</si>
  <si>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</si>
  <si>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</si>
  <si>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</si>
  <si>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</si>
  <si>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</si>
  <si>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</si>
  <si>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</si>
  <si>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</si>
  <si>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</si>
  <si>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</si>
  <si>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</si>
  <si>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</si>
  <si>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</si>
  <si>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</si>
  <si>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</si>
  <si>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</si>
  <si>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</si>
  <si>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</si>
  <si>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</si>
  <si>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</si>
  <si>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</si>
  <si>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</si>
  <si>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</si>
  <si>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</si>
  <si>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</si>
  <si>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</si>
  <si>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</si>
  <si>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</si>
  <si>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</si>
  <si>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</si>
  <si>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</si>
  <si>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</si>
  <si>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</si>
  <si>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</si>
  <si>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</si>
  <si>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</si>
  <si>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</si>
  <si>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</si>
  <si>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</si>
  <si>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</si>
  <si>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</si>
  <si>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</si>
  <si>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</si>
  <si>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</si>
  <si>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</si>
  <si>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</si>
  <si>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</si>
  <si>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</si>
  <si>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</si>
  <si>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</si>
  <si>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</si>
  <si>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</si>
  <si>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</si>
  <si>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</si>
  <si>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</si>
  <si>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</si>
  <si>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</si>
  <si>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</si>
  <si>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</si>
  <si>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</si>
  <si>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</si>
  <si>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</si>
  <si>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</si>
  <si>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</si>
  <si>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</si>
  <si>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</si>
  <si>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</si>
  <si>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</si>
  <si>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</si>
  <si>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</si>
  <si>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</si>
  <si>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</si>
  <si>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</si>
  <si>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</si>
  <si>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</si>
  <si>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</si>
  <si>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</si>
  <si>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</si>
  <si>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</si>
  <si>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</si>
  <si>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</si>
  <si>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</si>
  <si>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</si>
  <si>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</si>
  <si>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</si>
  <si>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</si>
  <si>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</si>
  <si>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</si>
  <si>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</si>
  <si>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</si>
  <si>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</si>
  <si>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</si>
  <si>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</si>
  <si>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</si>
  <si>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</si>
  <si>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</si>
  <si>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</si>
  <si>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</si>
  <si>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</si>
  <si>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</si>
  <si>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</si>
  <si>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</si>
  <si>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</si>
  <si>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</si>
  <si>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</si>
  <si>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</si>
  <si>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</si>
  <si>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</si>
  <si>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</si>
  <si>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</si>
  <si>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</si>
  <si>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</si>
  <si>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</si>
  <si>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</si>
  <si>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</si>
  <si>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</si>
  <si>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</si>
  <si>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</si>
  <si>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</si>
  <si>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</si>
  <si>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</si>
  <si>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</si>
  <si>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</si>
  <si>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</si>
  <si>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</si>
  <si>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</si>
  <si>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</si>
  <si>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</si>
  <si>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</si>
  <si>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</si>
  <si>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</si>
  <si>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</si>
  <si>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</si>
  <si>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</si>
  <si>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</si>
  <si>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</si>
  <si>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</si>
  <si>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</si>
  <si>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</si>
  <si>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</si>
  <si>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</si>
  <si>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</si>
  <si>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</si>
  <si>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</si>
  <si>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</si>
  <si>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</si>
  <si>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</si>
  <si>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</si>
  <si>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</si>
  <si>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</si>
  <si>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</si>
  <si>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</si>
  <si>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</si>
  <si>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</si>
  <si>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</si>
  <si>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</si>
  <si>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</si>
  <si>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</si>
  <si>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</si>
  <si>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</si>
  <si>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</si>
  <si>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</si>
  <si>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</si>
  <si>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</si>
  <si>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</si>
  <si>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</si>
  <si>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</si>
  <si>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</si>
  <si>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</si>
  <si>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</si>
  <si>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</si>
  <si>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</si>
  <si>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</si>
  <si>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</si>
  <si>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</si>
  <si>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</si>
  <si>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</si>
  <si>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</si>
  <si>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</si>
  <si>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</si>
  <si>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</si>
  <si>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</si>
  <si>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</si>
  <si>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</si>
  <si>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</si>
  <si>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</si>
  <si>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</si>
  <si>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</si>
  <si>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</si>
  <si>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</si>
  <si>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</si>
  <si>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</si>
  <si>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</si>
  <si>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</si>
  <si>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</si>
  <si>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</si>
  <si>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</si>
  <si>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</si>
  <si>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</si>
  <si>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</si>
  <si>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</si>
  <si>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</si>
  <si>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</si>
  <si>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</si>
  <si>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</si>
  <si>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</si>
  <si>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</si>
  <si>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</si>
  <si>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</si>
  <si>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</si>
  <si>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</si>
  <si>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</si>
  <si>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</si>
  <si>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</si>
  <si>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</si>
  <si>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</si>
  <si>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</si>
  <si>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</si>
  <si>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</si>
  <si>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</si>
  <si>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</si>
  <si>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</si>
  <si>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</si>
  <si>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</si>
  <si>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</si>
  <si>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</si>
  <si>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</si>
  <si>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</si>
  <si>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</si>
  <si>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</si>
  <si>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</si>
  <si>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</si>
  <si>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</si>
  <si>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</si>
  <si>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</si>
  <si>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</si>
  <si>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</si>
  <si>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</si>
  <si>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</si>
  <si>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</si>
  <si>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</si>
  <si>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</si>
  <si>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</si>
  <si>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</si>
  <si>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</si>
  <si>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</si>
  <si>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</si>
  <si>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</si>
  <si>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</si>
  <si>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</si>
  <si>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</si>
  <si>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</si>
  <si>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</si>
  <si>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</si>
  <si>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</si>
  <si>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</si>
  <si>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</si>
  <si>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</si>
  <si>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</si>
  <si>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</si>
  <si>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</si>
  <si>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</si>
  <si>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</si>
  <si>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</si>
  <si>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</si>
  <si>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</si>
  <si>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</si>
  <si>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</si>
  <si>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</si>
  <si>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</si>
  <si>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</si>
  <si>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</si>
  <si>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</si>
  <si>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</si>
  <si>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</si>
  <si>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</si>
  <si>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</si>
  <si>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</si>
  <si>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</si>
  <si>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</si>
  <si>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</si>
  <si>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</si>
  <si>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</si>
  <si>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</si>
  <si>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</si>
  <si>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</si>
  <si>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</si>
  <si>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</si>
  <si>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</si>
  <si>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</si>
  <si>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</si>
  <si>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</si>
  <si>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</si>
  <si>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</si>
  <si>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</si>
  <si>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</si>
  <si>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</si>
  <si>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</si>
  <si>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</si>
  <si>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</si>
  <si>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</si>
  <si>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</si>
  <si>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</si>
  <si>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</si>
  <si>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</si>
  <si>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</si>
  <si>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</si>
  <si>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</si>
  <si>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</si>
  <si>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</si>
  <si>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</si>
  <si>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</si>
  <si>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</si>
  <si>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</si>
  <si>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</si>
  <si>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</si>
  <si>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</si>
  <si>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</si>
  <si>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</si>
  <si>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</si>
  <si>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</si>
  <si>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</si>
  <si>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</si>
  <si>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</si>
  <si>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</si>
  <si>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</si>
  <si>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</si>
  <si>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</si>
  <si>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</si>
  <si>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</si>
  <si>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</si>
  <si>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</si>
  <si>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</si>
  <si>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</si>
  <si>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</si>
  <si>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</si>
  <si>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</si>
  <si>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</si>
  <si>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</si>
  <si>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</si>
  <si>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</si>
  <si>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</si>
  <si>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</si>
  <si>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</si>
  <si>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</si>
  <si>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</si>
  <si>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</si>
  <si>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</si>
  <si>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</si>
  <si>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</si>
  <si>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</si>
  <si>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</si>
  <si>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</si>
  <si>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</si>
  <si>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</si>
  <si>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</si>
  <si>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</si>
  <si>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</si>
  <si>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</si>
  <si>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</si>
  <si>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</si>
  <si>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</si>
  <si>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</si>
  <si>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</si>
  <si>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</si>
  <si>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</si>
  <si>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</si>
  <si>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</si>
  <si>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</si>
  <si>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</si>
  <si>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</si>
  <si>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</si>
  <si>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</si>
  <si>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</si>
  <si>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</si>
  <si>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</si>
  <si>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</si>
  <si>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</si>
  <si>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</si>
  <si>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</si>
  <si>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</si>
  <si>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</si>
  <si>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</si>
  <si>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</si>
  <si>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</si>
  <si>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</si>
  <si>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</si>
  <si>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</si>
  <si>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</si>
  <si>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</si>
  <si>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</si>
  <si>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</si>
  <si>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</si>
  <si>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</si>
  <si>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</si>
  <si>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</si>
  <si>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</si>
  <si>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</si>
  <si>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</si>
  <si>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</si>
  <si>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</si>
  <si>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</si>
  <si>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</si>
  <si>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</si>
  <si>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</si>
  <si>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</si>
  <si>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</si>
  <si>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</si>
  <si>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</si>
  <si>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</si>
  <si>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</si>
  <si>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</si>
  <si>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</si>
  <si>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</si>
  <si>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</si>
  <si>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</si>
  <si>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</si>
  <si>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</si>
  <si>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</si>
  <si>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</si>
  <si>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</si>
  <si>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</si>
  <si>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</si>
  <si>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</si>
  <si>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</si>
  <si>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</si>
  <si>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</si>
  <si>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</si>
  <si>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</si>
  <si>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</si>
  <si>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</si>
  <si>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</si>
  <si>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</si>
  <si>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</si>
  <si>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</si>
  <si>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</si>
  <si>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</si>
  <si>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</si>
  <si>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</si>
  <si>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</si>
  <si>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</si>
  <si>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</si>
  <si>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</si>
  <si>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</si>
  <si>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</si>
  <si>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</si>
  <si>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</si>
  <si>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</si>
  <si>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</si>
  <si>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</si>
  <si>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</si>
  <si>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</si>
  <si>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</si>
  <si>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</si>
  <si>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</si>
  <si>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</si>
  <si>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</si>
  <si>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</si>
  <si>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</si>
  <si>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</si>
  <si>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</si>
  <si>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</si>
  <si>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</si>
  <si>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</si>
  <si>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</si>
  <si>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</si>
  <si>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</si>
  <si>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</si>
  <si>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</si>
  <si>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</si>
  <si>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</si>
  <si>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</si>
  <si>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</si>
  <si>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</si>
  <si>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</si>
  <si>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</si>
  <si>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</si>
  <si>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</si>
  <si>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</si>
  <si>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</si>
  <si>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</si>
  <si>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</si>
  <si>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</si>
  <si>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</si>
  <si>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</si>
  <si>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</si>
  <si>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</si>
  <si>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</si>
  <si>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</si>
  <si>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</si>
  <si>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</si>
  <si>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</si>
  <si>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</si>
  <si>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</si>
  <si>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</si>
  <si>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</si>
  <si>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</si>
  <si>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</si>
  <si>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</si>
  <si>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</si>
  <si>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</si>
  <si>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</si>
  <si>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</si>
  <si>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</si>
  <si>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</si>
  <si>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</si>
  <si>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</si>
  <si>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</si>
  <si>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</si>
  <si>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</si>
  <si>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</si>
  <si>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</si>
  <si>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</si>
  <si>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</si>
  <si>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</si>
  <si>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</si>
  <si>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</si>
  <si>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</si>
  <si>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</si>
  <si>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</si>
  <si>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</si>
  <si>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</si>
  <si>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</si>
  <si>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</si>
  <si>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</si>
  <si>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</si>
  <si>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</si>
  <si>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</si>
  <si>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</si>
  <si>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</si>
  <si>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</si>
  <si>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</si>
  <si>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</si>
  <si>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</si>
  <si>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</si>
  <si>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</si>
  <si>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</si>
  <si>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</si>
  <si>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</si>
  <si>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</si>
  <si>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</si>
  <si>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</si>
  <si>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</si>
  <si>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</si>
  <si>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</si>
  <si>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</si>
  <si>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</si>
  <si>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</si>
  <si>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</si>
  <si>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</si>
  <si>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</si>
  <si>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</si>
  <si>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</si>
  <si>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</si>
  <si>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</si>
  <si>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</si>
  <si>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</si>
  <si>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</si>
  <si>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</si>
  <si>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</si>
  <si>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</si>
  <si>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</si>
  <si>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</si>
  <si>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</si>
  <si>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</si>
  <si>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</si>
  <si>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</si>
  <si>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</si>
  <si>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</si>
  <si>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</si>
  <si>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</si>
  <si>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</si>
  <si>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</si>
  <si>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</si>
  <si>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</si>
  <si>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</si>
  <si>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</si>
  <si>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</si>
  <si>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</si>
  <si>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</si>
  <si>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</si>
  <si>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</si>
  <si>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</si>
  <si>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</si>
  <si>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</si>
  <si>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</si>
  <si>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</si>
  <si>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</si>
  <si>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</si>
  <si>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</si>
  <si>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</si>
  <si>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</si>
  <si>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</si>
  <si>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</si>
  <si>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</si>
  <si>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</si>
  <si>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</si>
  <si>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</si>
  <si>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</si>
  <si>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</si>
  <si>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</si>
  <si>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</si>
  <si>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</si>
  <si>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</si>
  <si>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</si>
  <si>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</si>
  <si>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</si>
  <si>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</si>
  <si>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</si>
  <si>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</si>
  <si>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</si>
  <si>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</si>
  <si>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</si>
  <si>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</si>
  <si>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</si>
  <si>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</si>
  <si>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</si>
  <si>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</si>
  <si>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</si>
  <si>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</si>
  <si>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</si>
  <si>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</si>
  <si>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</si>
  <si>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</si>
  <si>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</si>
  <si>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</si>
  <si>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</si>
  <si>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</si>
  <si>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</si>
  <si>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</si>
  <si>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</si>
  <si>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</si>
  <si>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</si>
  <si>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</si>
  <si>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</si>
  <si>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</si>
  <si>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</si>
  <si>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</si>
  <si>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</si>
  <si>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</si>
  <si>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</si>
  <si>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</si>
  <si>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</si>
  <si>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</si>
  <si>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</si>
  <si>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</si>
  <si>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</si>
  <si>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</si>
  <si>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</si>
  <si>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</si>
  <si>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</si>
  <si>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</si>
  <si>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</si>
  <si>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</si>
  <si>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</si>
  <si>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</si>
  <si>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</si>
  <si>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</si>
  <si>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</si>
  <si>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</si>
  <si>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</si>
  <si>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</si>
  <si>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</si>
  <si>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</si>
  <si>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</si>
  <si>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</si>
  <si>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</si>
  <si>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</si>
  <si>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</si>
  <si>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</si>
  <si>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</si>
  <si>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</si>
  <si>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</si>
  <si>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</si>
  <si>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</si>
  <si>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</si>
  <si>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</si>
  <si>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</si>
  <si>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</si>
  <si>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</si>
  <si>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</si>
  <si>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</si>
  <si>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</si>
  <si>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</si>
  <si>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</si>
  <si>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</si>
  <si>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</si>
  <si>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</si>
  <si>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</si>
  <si>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</si>
  <si>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</si>
  <si>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</si>
  <si>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</si>
  <si>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</si>
  <si>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</si>
  <si>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</si>
  <si>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</si>
  <si>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</si>
  <si>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</si>
  <si>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</si>
  <si>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</si>
  <si>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</si>
  <si>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</si>
  <si>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</si>
  <si>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</si>
  <si>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</si>
  <si>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</si>
  <si>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</si>
  <si>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</si>
  <si>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</si>
  <si>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</si>
  <si>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</si>
  <si>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</si>
  <si>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</si>
  <si>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</si>
  <si>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</si>
  <si>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</si>
  <si>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</si>
  <si>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</si>
  <si>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</si>
  <si>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</si>
  <si>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</si>
  <si>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</si>
  <si>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</si>
  <si>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</si>
  <si>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</si>
  <si>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</si>
  <si>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</si>
  <si>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</si>
  <si>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</si>
  <si>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</si>
  <si>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</si>
  <si>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</si>
  <si>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</si>
  <si>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</si>
  <si>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</si>
  <si>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</si>
  <si>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</si>
  <si>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</si>
  <si>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</si>
  <si>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</si>
  <si>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</si>
  <si>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</si>
  <si>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</si>
  <si>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</si>
  <si>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</si>
  <si>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</si>
  <si>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</si>
  <si>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</si>
  <si>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</si>
  <si>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</si>
  <si>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</si>
  <si>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</si>
  <si>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</si>
  <si>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</si>
  <si>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</si>
  <si>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</si>
  <si>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</si>
  <si>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</si>
  <si>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</si>
  <si>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</si>
  <si>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</si>
  <si>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</si>
  <si>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</si>
  <si>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</si>
  <si>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</si>
  <si>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</si>
  <si>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</si>
  <si>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</si>
  <si>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</si>
  <si>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</si>
  <si>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</si>
  <si>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</si>
  <si>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</si>
  <si>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</si>
  <si>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</si>
  <si>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</si>
  <si>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</si>
  <si>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</si>
  <si>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</si>
  <si>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</si>
  <si>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</si>
  <si>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</si>
  <si>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</si>
  <si>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</si>
  <si>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</si>
  <si>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</si>
  <si>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</si>
  <si>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</si>
  <si>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</si>
  <si>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</si>
  <si>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</si>
  <si>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</si>
  <si>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</si>
  <si>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</si>
  <si>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</si>
  <si>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</si>
  <si>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</si>
  <si>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</si>
  <si>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</si>
  <si>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</si>
  <si>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</si>
  <si>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</si>
  <si>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</si>
  <si>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</si>
  <si>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</si>
  <si>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</si>
  <si>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</si>
  <si>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</si>
  <si>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</si>
  <si>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</si>
  <si>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</si>
  <si>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</si>
  <si>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</si>
  <si>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</si>
  <si>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</si>
  <si>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</si>
  <si>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</si>
  <si>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</si>
  <si>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</si>
  <si>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</si>
  <si>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</si>
  <si>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</si>
  <si>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</si>
  <si>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</si>
  <si>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</si>
  <si>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</si>
  <si>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</si>
  <si>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</si>
  <si>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</si>
  <si>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</si>
  <si>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</si>
  <si>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</si>
  <si>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</si>
  <si>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</si>
  <si>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</si>
  <si>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</si>
  <si>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</si>
  <si>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</si>
  <si>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</si>
  <si>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</si>
  <si>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</si>
  <si>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</si>
  <si>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</si>
  <si>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</si>
  <si>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</si>
  <si>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</si>
  <si>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</si>
  <si>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</si>
  <si>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</si>
  <si>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</si>
  <si>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</si>
  <si>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</si>
  <si>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</si>
  <si>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</si>
  <si>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</si>
  <si>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</si>
  <si>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</si>
  <si>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</si>
  <si>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</si>
  <si>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</si>
  <si>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</si>
  <si>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</si>
  <si>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</si>
  <si>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</si>
  <si>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</si>
  <si>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</si>
  <si>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</si>
  <si>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</si>
  <si>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</si>
  <si>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</si>
  <si>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</si>
  <si>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</si>
  <si>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</si>
  <si>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</si>
  <si>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</si>
  <si>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</si>
  <si>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</si>
  <si>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</si>
  <si>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</si>
  <si>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</si>
  <si>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</si>
  <si>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</si>
  <si>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</si>
  <si>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</si>
  <si>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</si>
  <si>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</si>
  <si>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</si>
  <si>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</si>
  <si>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</si>
  <si>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</si>
  <si>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</si>
  <si>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</si>
  <si>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</si>
  <si>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</si>
  <si>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</si>
  <si>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</si>
  <si>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</si>
  <si>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</si>
  <si>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</si>
  <si>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</si>
  <si>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</si>
  <si>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</si>
  <si>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</si>
  <si>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</si>
  <si>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</si>
  <si>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</si>
  <si>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</si>
  <si>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</si>
  <si>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</si>
  <si>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</si>
  <si>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</si>
  <si>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</si>
  <si>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</si>
  <si>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</si>
  <si>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</si>
  <si>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</si>
  <si>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</si>
  <si>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</si>
  <si>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</si>
  <si>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</si>
  <si>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</si>
  <si>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</si>
  <si>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</si>
  <si>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</si>
  <si>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</si>
  <si>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</si>
  <si>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</si>
  <si>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</si>
  <si>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</si>
  <si>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</si>
  <si>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</si>
  <si>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</si>
  <si>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</si>
  <si>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</si>
  <si>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</si>
  <si>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</si>
  <si>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</si>
  <si>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</si>
  <si>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</si>
  <si>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</si>
  <si>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</si>
  <si>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</si>
  <si>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</si>
  <si>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</si>
  <si>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</si>
  <si>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</si>
  <si>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</si>
  <si>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</si>
  <si>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</si>
  <si>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</si>
  <si>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</si>
  <si>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</si>
  <si>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</si>
  <si>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</si>
  <si>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</si>
  <si>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</si>
  <si>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</si>
  <si>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</si>
  <si>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</si>
  <si>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</si>
  <si>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</si>
  <si>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</si>
  <si>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</si>
  <si>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</si>
  <si>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</si>
  <si>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</si>
  <si>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</si>
  <si>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</si>
  <si>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</si>
  <si>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</si>
  <si>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</si>
  <si>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</si>
  <si>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</si>
  <si>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</si>
  <si>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</si>
  <si>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</si>
  <si>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</si>
  <si>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</si>
  <si>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</si>
  <si>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</si>
  <si>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</si>
  <si>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</si>
  <si>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</si>
  <si>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</si>
  <si>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</si>
  <si>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</si>
  <si>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</si>
  <si>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</si>
  <si>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</si>
  <si>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</si>
  <si>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</si>
  <si>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</si>
  <si>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</si>
  <si>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</si>
  <si>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</si>
  <si>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</si>
  <si>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</si>
  <si>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</si>
  <si>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</si>
  <si>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</si>
  <si>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</si>
  <si>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</si>
  <si>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</si>
  <si>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</si>
  <si>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</si>
  <si>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</si>
  <si>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</si>
  <si>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</si>
  <si>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</si>
  <si>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</si>
  <si>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</si>
  <si>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</si>
  <si>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</si>
  <si>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</si>
  <si>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</si>
  <si>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</si>
  <si>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</si>
  <si>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</si>
  <si>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</si>
  <si>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</si>
  <si>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</si>
  <si>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</si>
  <si>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</si>
  <si>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</si>
  <si>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</si>
  <si>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</si>
  <si>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</si>
  <si>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</si>
  <si>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</si>
  <si>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</si>
  <si>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</si>
  <si>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</si>
  <si>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</si>
  <si>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</si>
  <si>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</si>
  <si>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</si>
  <si>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</si>
  <si>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</si>
  <si>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</si>
  <si>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</si>
  <si>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</si>
  <si>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</si>
  <si>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</si>
  <si>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</si>
  <si>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</si>
  <si>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</si>
  <si>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</si>
  <si>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</si>
  <si>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</si>
  <si>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</si>
  <si>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</si>
  <si>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</si>
  <si>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</si>
  <si>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</si>
  <si>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</si>
  <si>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</si>
  <si>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</si>
  <si>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</si>
  <si>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</si>
  <si>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</si>
  <si>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</si>
  <si>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</si>
  <si>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</si>
  <si>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</si>
  <si>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</si>
  <si>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</si>
  <si>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</si>
  <si>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</si>
  <si>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</si>
  <si>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</si>
  <si>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</si>
  <si>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</si>
  <si>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</si>
  <si>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</si>
  <si>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</si>
  <si>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</si>
  <si>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</si>
  <si>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</si>
  <si>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</si>
  <si>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</si>
  <si>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</si>
  <si>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</si>
  <si>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</si>
  <si>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</si>
  <si>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</si>
  <si>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</si>
  <si>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</si>
  <si>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</si>
  <si>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</si>
  <si>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</si>
  <si>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</si>
  <si>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</si>
  <si>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</si>
  <si>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</si>
  <si>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</si>
  <si>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</si>
  <si>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</si>
  <si>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</si>
  <si>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</si>
  <si>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</si>
  <si>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</si>
  <si>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</si>
  <si>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</si>
  <si>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</si>
  <si>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</si>
  <si>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</si>
  <si>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</si>
  <si>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</si>
  <si>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</si>
  <si>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</si>
  <si>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</si>
  <si>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</si>
  <si>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</si>
  <si>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</si>
  <si>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</si>
  <si>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</si>
  <si>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</si>
  <si>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</si>
  <si>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</si>
  <si>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</si>
  <si>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</si>
  <si>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</si>
  <si>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</si>
  <si>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</si>
  <si>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</si>
  <si>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</si>
  <si>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</si>
  <si>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</si>
  <si>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</si>
  <si>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</si>
  <si>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</si>
  <si>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</si>
  <si>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</si>
  <si>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</si>
  <si>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</si>
  <si>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</si>
  <si>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</si>
  <si>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</si>
  <si>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</si>
  <si>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</si>
  <si>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</si>
  <si>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</si>
  <si>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</si>
  <si>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</si>
  <si>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</si>
  <si>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</si>
  <si>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</si>
  <si>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</si>
  <si>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</si>
  <si>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</si>
  <si>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</si>
  <si>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</si>
  <si>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</si>
  <si>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</si>
  <si>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</si>
  <si>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</si>
  <si>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</si>
  <si>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</si>
  <si>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</si>
  <si>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</si>
  <si>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</si>
  <si>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</si>
  <si>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</si>
  <si>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</si>
  <si>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</si>
  <si>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</si>
  <si>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</si>
  <si>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</si>
  <si>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</si>
  <si>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</si>
  <si>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</si>
  <si>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</si>
  <si>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</si>
  <si>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</si>
  <si>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</si>
  <si>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</si>
  <si>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</si>
  <si>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</si>
  <si>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</si>
  <si>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</si>
  <si>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</si>
  <si>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</si>
  <si>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</si>
  <si>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</si>
  <si>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</si>
  <si>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</si>
  <si>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</si>
  <si>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</si>
  <si>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</si>
  <si>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</si>
  <si>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</si>
  <si>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</si>
  <si>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</si>
  <si>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</si>
  <si>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</si>
  <si>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</si>
  <si>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</si>
  <si>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</si>
  <si>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</si>
  <si>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</si>
  <si>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</si>
  <si>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</si>
  <si>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</si>
  <si>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</si>
  <si>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</si>
  <si>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</si>
  <si>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</si>
  <si>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</si>
  <si>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</si>
  <si>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</si>
  <si>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</si>
  <si>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</si>
  <si>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</si>
  <si>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</si>
  <si>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</si>
  <si>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</si>
  <si>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</si>
  <si>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</si>
  <si>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</si>
  <si>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</si>
  <si>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</si>
  <si>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</si>
  <si>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</si>
  <si>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</si>
  <si>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</si>
  <si>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</si>
  <si>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</si>
  <si>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</si>
  <si>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</si>
  <si>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</si>
  <si>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</si>
  <si>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</si>
  <si>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</si>
  <si>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</si>
  <si>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</si>
  <si>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</si>
  <si>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</si>
  <si>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</si>
  <si>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</si>
  <si>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</si>
  <si>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</si>
  <si>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</si>
  <si>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</si>
  <si>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</si>
  <si>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</si>
  <si>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</si>
  <si>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</si>
  <si>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</si>
  <si>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</si>
  <si>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</si>
  <si>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</si>
  <si>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</si>
  <si>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</si>
  <si>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</si>
  <si>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</si>
  <si>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</si>
  <si>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</si>
  <si>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</si>
  <si>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</si>
  <si>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</si>
  <si>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</si>
  <si>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</si>
  <si>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</si>
  <si>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</si>
  <si>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</si>
  <si>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</si>
  <si>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</si>
  <si>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</si>
  <si>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</si>
  <si>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</si>
  <si>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</si>
  <si>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</si>
  <si>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</si>
  <si>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</si>
  <si>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</si>
  <si>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</si>
  <si>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</si>
  <si>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</si>
  <si>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</si>
  <si>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</si>
  <si>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</si>
  <si>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</si>
  <si>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</si>
  <si>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</si>
  <si>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</si>
  <si>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</si>
  <si>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</si>
  <si>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</si>
  <si>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</si>
  <si>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</si>
  <si>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</si>
  <si>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</si>
  <si>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</si>
  <si>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</si>
  <si>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</si>
  <si>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</si>
  <si>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</si>
  <si>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</si>
  <si>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</si>
  <si>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</si>
  <si>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</si>
  <si>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</si>
  <si>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</si>
  <si>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</si>
  <si>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</si>
  <si>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</si>
  <si>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</si>
  <si>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</si>
  <si>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</si>
  <si>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</si>
  <si>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</si>
  <si>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</si>
  <si>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</si>
  <si>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</si>
  <si>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</si>
  <si>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</si>
  <si>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</si>
  <si>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</si>
  <si>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</si>
  <si>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</si>
  <si>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</si>
  <si>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</si>
  <si>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</si>
  <si>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</si>
  <si>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</si>
  <si>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</si>
  <si>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</si>
  <si>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</si>
  <si>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</si>
  <si>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</si>
  <si>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</si>
  <si>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</si>
  <si>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</si>
  <si>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</si>
  <si>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</si>
  <si>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</si>
  <si>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</si>
  <si>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</si>
  <si>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</si>
  <si>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</si>
  <si>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</si>
  <si>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</si>
  <si>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</si>
  <si>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</si>
  <si>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</si>
  <si>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</si>
  <si>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</si>
  <si>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</si>
  <si>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</si>
  <si>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</si>
  <si>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</si>
  <si>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</si>
  <si>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</si>
  <si>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</si>
  <si>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</si>
  <si>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</si>
  <si>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</si>
  <si>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</si>
  <si>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</si>
  <si>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</si>
  <si>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</si>
  <si>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</si>
  <si>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</si>
  <si>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</si>
  <si>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</si>
  <si>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</si>
  <si>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</si>
  <si>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</si>
  <si>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</si>
  <si>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</si>
  <si>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</si>
  <si>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</si>
  <si>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</si>
  <si>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</si>
  <si>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</si>
  <si>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</si>
  <si>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</si>
  <si>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</si>
  <si>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</si>
  <si>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</si>
  <si>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</si>
  <si>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</si>
  <si>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</si>
  <si>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</si>
  <si>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</si>
  <si>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</si>
  <si>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</si>
  <si>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</si>
  <si>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</si>
  <si>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</si>
  <si>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</si>
  <si>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</si>
  <si>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</si>
  <si>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</si>
  <si>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</si>
  <si>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</si>
  <si>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</si>
  <si>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</si>
  <si>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</si>
  <si>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</si>
  <si>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</si>
  <si>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</si>
  <si>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</si>
  <si>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</si>
  <si>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</si>
  <si>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</si>
  <si>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</si>
  <si>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</si>
  <si>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</si>
  <si>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</si>
  <si>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</si>
  <si>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</si>
  <si>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</si>
  <si>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</si>
  <si>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</si>
  <si>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</si>
  <si>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</si>
  <si>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</si>
  <si>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</si>
  <si>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</si>
  <si>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</si>
  <si>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</si>
  <si>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</si>
  <si>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</si>
  <si>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</si>
  <si>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</si>
  <si>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</si>
  <si>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</si>
  <si>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</si>
  <si>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</si>
  <si>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</si>
  <si>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</si>
  <si>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</si>
  <si>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</si>
  <si>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</si>
  <si>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</si>
  <si>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</si>
  <si>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</si>
  <si>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</si>
  <si>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</si>
  <si>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</si>
  <si>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</si>
  <si>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</si>
  <si>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</si>
  <si>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</si>
  <si>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</si>
  <si>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</si>
  <si>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</si>
  <si>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</si>
  <si>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</si>
  <si>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</si>
  <si>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</si>
  <si>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</si>
  <si>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</si>
  <si>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</si>
  <si>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</si>
  <si>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</si>
  <si>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</si>
  <si>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</si>
  <si>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</si>
  <si>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</si>
  <si>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</si>
  <si>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</si>
  <si>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</si>
  <si>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</si>
  <si>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</si>
  <si>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</si>
  <si>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</si>
  <si>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</si>
  <si>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</si>
  <si>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</si>
  <si>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</si>
  <si>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</si>
  <si>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</si>
  <si>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</si>
  <si>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</si>
  <si>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</si>
  <si>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</si>
  <si>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</si>
  <si>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</si>
  <si>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</si>
  <si>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</si>
  <si>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</si>
  <si>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</si>
  <si>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</si>
  <si>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</si>
  <si>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</si>
  <si>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</si>
  <si>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</si>
  <si>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</si>
  <si>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</si>
  <si>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</si>
  <si>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</si>
  <si>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</si>
  <si>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</si>
  <si>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</si>
  <si>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</si>
  <si>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</si>
  <si>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</si>
  <si>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</si>
  <si>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</si>
  <si>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</si>
  <si>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</si>
  <si>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</si>
  <si>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</si>
  <si>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</si>
  <si>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</si>
  <si>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</si>
  <si>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</si>
  <si>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</si>
  <si>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</si>
  <si>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</si>
  <si>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</si>
  <si>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</si>
  <si>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</si>
  <si>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</si>
  <si>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</si>
  <si>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</si>
  <si>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</si>
  <si>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</si>
  <si>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</si>
  <si>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</si>
  <si>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</si>
  <si>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</si>
  <si>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</si>
  <si>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</si>
  <si>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</si>
  <si>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</si>
  <si>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</si>
  <si>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</si>
  <si>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</si>
  <si>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</si>
  <si>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</si>
  <si>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</si>
  <si>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</si>
  <si>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</si>
  <si>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</si>
  <si>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</si>
  <si>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</si>
  <si>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</si>
  <si>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</si>
  <si>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</si>
  <si>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</si>
  <si>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</si>
  <si>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</si>
  <si>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</si>
  <si>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</si>
  <si>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</si>
  <si>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</si>
  <si>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</si>
  <si>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</si>
  <si>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</si>
  <si>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</si>
  <si>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</si>
  <si>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</si>
  <si>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</si>
  <si>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</si>
  <si>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</si>
  <si>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</si>
  <si>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</si>
  <si>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</si>
  <si>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</si>
  <si>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</si>
  <si>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</si>
  <si>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</si>
  <si>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</si>
  <si>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</si>
  <si>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</si>
  <si>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</si>
  <si>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</si>
  <si>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</si>
  <si>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</si>
  <si>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</si>
  <si>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</si>
  <si>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</si>
  <si>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</si>
  <si>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</si>
  <si>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</si>
  <si>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</si>
  <si>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</si>
  <si>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</si>
  <si>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</si>
  <si>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</si>
  <si>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</si>
  <si>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</si>
  <si>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</si>
  <si>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</si>
  <si>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</si>
  <si>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</si>
  <si>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</si>
  <si>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</si>
  <si>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</si>
  <si>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</si>
  <si>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</si>
  <si>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</si>
  <si>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</si>
  <si>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</si>
  <si>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</si>
  <si>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</si>
  <si>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</si>
  <si>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</si>
  <si>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</si>
  <si>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</si>
  <si>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</si>
  <si>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</si>
  <si>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</si>
  <si>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</si>
  <si>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</si>
  <si>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</si>
  <si>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</si>
  <si>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</si>
  <si>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</si>
  <si>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</si>
  <si>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</si>
  <si>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</si>
  <si>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</si>
  <si>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</si>
  <si>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</si>
  <si>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</si>
  <si>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</si>
  <si>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</si>
  <si>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</si>
  <si>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</si>
  <si>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</si>
  <si>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</si>
  <si>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</si>
  <si>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</si>
  <si>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</si>
  <si>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</si>
  <si>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</si>
  <si>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</si>
  <si>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</si>
  <si>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</si>
  <si>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</si>
  <si>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</si>
  <si>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</si>
  <si>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</si>
  <si>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</si>
  <si>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</si>
  <si>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</si>
  <si>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</si>
  <si>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</si>
  <si>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</si>
  <si>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</si>
  <si>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</si>
  <si>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</si>
  <si>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</si>
  <si>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</si>
  <si>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</si>
  <si>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</si>
  <si>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</si>
  <si>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</si>
  <si>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</si>
  <si>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</si>
  <si>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</si>
  <si>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</si>
  <si>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</si>
  <si>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</si>
  <si>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</si>
  <si>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</si>
  <si>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</si>
  <si>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</si>
  <si>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</si>
  <si>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</si>
  <si>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</si>
  <si>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</si>
  <si>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</si>
  <si>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</si>
  <si>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</si>
  <si>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</si>
  <si>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</si>
  <si>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</si>
  <si>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</si>
  <si>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</si>
  <si>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</si>
  <si>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</si>
  <si>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</si>
  <si>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</si>
  <si>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</si>
  <si>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</si>
  <si>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</si>
  <si>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</si>
  <si>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</si>
  <si>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</si>
  <si>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</si>
  <si>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</si>
  <si>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</si>
  <si>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</si>
  <si>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</si>
  <si>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</si>
  <si>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</si>
  <si>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</si>
  <si>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</si>
  <si>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</si>
  <si>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</si>
  <si>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</si>
  <si>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</si>
  <si>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</si>
  <si>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</si>
  <si>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</si>
  <si>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</si>
  <si>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</si>
  <si>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</si>
  <si>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</si>
  <si>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</si>
  <si>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</si>
  <si>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</si>
  <si>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</si>
  <si>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</si>
  <si>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</si>
  <si>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</si>
  <si>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</si>
  <si>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</si>
  <si>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</si>
  <si>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</si>
  <si>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</si>
  <si>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</si>
  <si>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</si>
  <si>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</si>
  <si>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</si>
  <si>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</si>
  <si>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</si>
  <si>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</si>
  <si>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</si>
  <si>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</si>
  <si>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</si>
  <si>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</si>
  <si>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</si>
  <si>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</si>
  <si>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</si>
  <si>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</si>
  <si>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</si>
  <si>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</si>
  <si>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</si>
  <si>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</si>
  <si>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</si>
  <si>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</si>
  <si>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</si>
  <si>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</si>
  <si>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</si>
  <si>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</si>
  <si>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</si>
  <si>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</si>
  <si>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</si>
  <si>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</si>
  <si>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</si>
  <si>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</si>
  <si>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</si>
  <si>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</si>
  <si>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</si>
  <si>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</si>
  <si>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</si>
  <si>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</si>
  <si>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</si>
  <si>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</si>
  <si>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</si>
  <si>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</si>
  <si>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</si>
  <si>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</si>
  <si>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</si>
  <si>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</si>
  <si>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</si>
  <si>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</si>
  <si>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</si>
  <si>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</si>
  <si>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</si>
  <si>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</si>
  <si>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</si>
  <si>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</si>
  <si>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</si>
  <si>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</si>
  <si>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</si>
  <si>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</si>
  <si>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</si>
  <si>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</si>
  <si>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</si>
  <si>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</si>
  <si>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</si>
  <si>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</si>
  <si>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</si>
  <si>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</si>
  <si>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</si>
  <si>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</si>
  <si>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</si>
  <si>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</si>
  <si>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</si>
  <si>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</si>
  <si>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</si>
  <si>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</si>
  <si>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</si>
  <si>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</si>
  <si>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</si>
  <si>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</si>
  <si>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</si>
  <si>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</si>
  <si>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</si>
  <si>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</si>
  <si>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</si>
  <si>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</si>
  <si>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</si>
  <si>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</si>
  <si>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</si>
  <si>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</si>
  <si>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</si>
  <si>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</si>
  <si>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</si>
  <si>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</si>
  <si>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</si>
  <si>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</si>
  <si>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</si>
  <si>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</si>
  <si>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</si>
  <si>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</si>
  <si>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</si>
  <si>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</si>
  <si>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</si>
  <si>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</si>
  <si>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</si>
  <si>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</si>
  <si>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</si>
  <si>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</si>
  <si>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</si>
  <si>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</si>
  <si>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</si>
  <si>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</si>
  <si>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</si>
  <si>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</si>
  <si>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</si>
  <si>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</si>
  <si>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</si>
  <si>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</si>
  <si>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</si>
  <si>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</si>
  <si>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</si>
  <si>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</si>
  <si>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</si>
  <si>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</si>
  <si>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</si>
  <si>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</si>
  <si>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</si>
  <si>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</si>
  <si>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</si>
  <si>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</si>
  <si>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</si>
  <si>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</si>
  <si>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</si>
  <si>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</si>
  <si>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</si>
  <si>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</si>
  <si>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</si>
  <si>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</si>
  <si>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</si>
  <si>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</si>
  <si>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</si>
  <si>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</si>
  <si>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</si>
  <si>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</si>
  <si>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</si>
  <si>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</si>
  <si>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</si>
  <si>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</si>
  <si>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</si>
  <si>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</si>
  <si>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</si>
  <si>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</si>
  <si>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</si>
  <si>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</si>
  <si>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</si>
  <si>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</si>
  <si>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</si>
  <si>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</si>
  <si>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</si>
  <si>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</si>
  <si>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</si>
  <si>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</si>
  <si>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</si>
  <si>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</si>
  <si>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</si>
  <si>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</si>
  <si>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</si>
  <si>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</si>
  <si>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</si>
  <si>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</si>
  <si>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</si>
  <si>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</si>
  <si>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</si>
  <si>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</si>
  <si>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</si>
  <si>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</si>
  <si>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</si>
  <si>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</si>
  <si>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</si>
  <si>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</si>
  <si>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</si>
  <si>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</si>
  <si>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</si>
  <si>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</si>
  <si>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</si>
  <si>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</si>
  <si>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</si>
  <si>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</si>
  <si>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</si>
  <si>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</si>
  <si>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</si>
  <si>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</si>
  <si>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</si>
  <si>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</si>
  <si>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</si>
  <si>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</si>
  <si>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</si>
  <si>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</si>
  <si>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</si>
  <si>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</si>
  <si>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</si>
  <si>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</si>
  <si>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</si>
  <si>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</si>
  <si>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</si>
  <si>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</si>
  <si>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</si>
  <si>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</si>
  <si>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</si>
  <si>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</si>
  <si>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</si>
  <si>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</si>
  <si>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</si>
  <si>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</si>
  <si>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</si>
  <si>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</si>
  <si>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</si>
  <si>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</si>
  <si>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</si>
  <si>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</si>
  <si>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</si>
  <si>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</si>
  <si>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</si>
  <si>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</si>
  <si>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</si>
  <si>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</si>
  <si>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</si>
  <si>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</si>
  <si>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</si>
  <si>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</si>
  <si>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</si>
  <si>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</si>
  <si>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</si>
  <si>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</si>
  <si>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</si>
  <si>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</si>
  <si>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</si>
  <si>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</si>
  <si>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</si>
  <si>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</si>
  <si>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</si>
  <si>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</si>
  <si>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</si>
  <si>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</si>
  <si>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</si>
  <si>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</si>
  <si>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</si>
  <si>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</si>
  <si>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</si>
  <si>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</si>
  <si>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</si>
  <si>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</si>
  <si>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</si>
  <si>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</si>
  <si>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</si>
  <si>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</si>
  <si>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</si>
  <si>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</si>
  <si>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</si>
  <si>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</si>
  <si>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</si>
  <si>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</si>
  <si>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</si>
  <si>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</si>
  <si>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</si>
  <si>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</si>
  <si>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</si>
  <si>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</si>
  <si>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</si>
  <si>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</si>
  <si>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</si>
  <si>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</si>
  <si>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</si>
  <si>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</si>
  <si>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</si>
  <si>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</si>
  <si>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</si>
  <si>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</si>
  <si>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</si>
  <si>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</si>
  <si>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</si>
  <si>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</si>
  <si>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</si>
  <si>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</si>
  <si>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</si>
  <si>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</si>
  <si>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</si>
  <si>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</si>
  <si>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</si>
  <si>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</si>
  <si>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</si>
  <si>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</si>
  <si>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</si>
  <si>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</si>
  <si>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</si>
  <si>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</si>
  <si>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</si>
  <si>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</si>
  <si>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</si>
  <si>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</si>
  <si>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</si>
  <si>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</si>
  <si>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</si>
  <si>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</si>
  <si>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</si>
  <si>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</si>
  <si>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</si>
  <si>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</si>
  <si>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</si>
  <si>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</si>
  <si>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</si>
  <si>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</si>
  <si>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</si>
  <si>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</si>
  <si>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</si>
  <si>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</si>
  <si>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</si>
  <si>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</si>
  <si>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</si>
  <si>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</si>
  <si>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</si>
  <si>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</si>
  <si>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</si>
  <si>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</si>
  <si>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</si>
  <si>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</si>
  <si>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</si>
  <si>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</si>
  <si>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</si>
  <si>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</si>
  <si>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</si>
  <si>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</si>
  <si>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</si>
  <si>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</si>
  <si>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</si>
  <si>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</si>
  <si>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</si>
  <si>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</si>
  <si>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</si>
  <si>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</si>
  <si>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</si>
  <si>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</si>
  <si>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</si>
  <si>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</si>
  <si>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</si>
  <si>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</si>
  <si>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</si>
  <si>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</si>
  <si>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</si>
  <si>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</si>
  <si>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</si>
  <si>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</si>
  <si>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</si>
  <si>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</si>
  <si>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</si>
  <si>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</si>
  <si>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</si>
  <si>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</si>
  <si>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</si>
  <si>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</si>
  <si>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</si>
  <si>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</si>
  <si>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</si>
  <si>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</si>
  <si>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</si>
  <si>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</si>
  <si>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</si>
  <si>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</si>
  <si>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</si>
  <si>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</si>
  <si>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</si>
  <si>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</si>
  <si>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</si>
  <si>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</si>
  <si>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</si>
  <si>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</si>
  <si>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</si>
  <si>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</si>
  <si>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</si>
  <si>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</si>
  <si>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</si>
  <si>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</si>
  <si>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</si>
  <si>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</si>
  <si>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</si>
  <si>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</si>
  <si>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</si>
  <si>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</si>
  <si>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</si>
  <si>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</si>
  <si>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</si>
  <si>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</si>
  <si>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</si>
  <si>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</si>
  <si>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</si>
  <si>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</si>
  <si>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</si>
  <si>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</si>
  <si>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</si>
  <si>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</si>
  <si>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</si>
  <si>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</si>
  <si>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</si>
  <si>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</si>
  <si>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</si>
  <si>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</si>
  <si>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</si>
  <si>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</si>
  <si>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</si>
  <si>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</si>
  <si>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</si>
  <si>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</si>
  <si>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</si>
  <si>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</si>
  <si>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</si>
  <si>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</si>
  <si>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</si>
  <si>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</si>
  <si>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</si>
  <si>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</si>
  <si>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</si>
  <si>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</si>
  <si>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</si>
  <si>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</si>
  <si>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</si>
  <si>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</si>
  <si>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</si>
  <si>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</si>
  <si>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</si>
  <si>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</si>
  <si>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</si>
  <si>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</si>
  <si>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</si>
  <si>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</si>
  <si>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</si>
  <si>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</si>
  <si>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</si>
  <si>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</si>
  <si>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</si>
  <si>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</si>
  <si>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</si>
  <si>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</si>
  <si>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</si>
  <si>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</si>
  <si>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</si>
  <si>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</si>
  <si>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</si>
  <si>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</si>
  <si>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</si>
  <si>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</si>
  <si>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</si>
  <si>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</si>
  <si>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</si>
  <si>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</si>
  <si>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</si>
  <si>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</si>
  <si>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</si>
  <si>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</si>
  <si>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</si>
  <si>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</si>
  <si>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</si>
  <si>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</si>
  <si>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</si>
  <si>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</si>
  <si>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</si>
  <si>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</si>
  <si>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</si>
  <si>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</si>
  <si>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</si>
  <si>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</si>
  <si>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</si>
  <si>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</si>
  <si>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</si>
  <si>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</si>
  <si>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</si>
  <si>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</si>
  <si>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</si>
  <si>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</si>
  <si>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</si>
  <si>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</si>
  <si>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</si>
  <si>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</si>
  <si>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</si>
  <si>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</si>
  <si>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</si>
  <si>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</si>
  <si>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</si>
  <si>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</si>
  <si>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</si>
  <si>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</si>
  <si>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</si>
  <si>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</si>
  <si>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</si>
  <si>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</si>
  <si>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</si>
  <si>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</si>
  <si>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</si>
  <si>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</si>
  <si>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</si>
  <si>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</si>
  <si>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</si>
  <si>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</si>
  <si>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</si>
  <si>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</si>
  <si>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</si>
  <si>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</si>
  <si>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</si>
  <si>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</si>
  <si>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</si>
  <si>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</si>
  <si>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</si>
  <si>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</si>
  <si>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</si>
  <si>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</si>
  <si>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</si>
  <si>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</si>
  <si>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</si>
  <si>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</si>
  <si>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</si>
  <si>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</si>
  <si>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</si>
  <si>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</si>
  <si>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</si>
  <si>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</si>
  <si>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</si>
  <si>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</si>
  <si>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</si>
  <si>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</si>
  <si>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</si>
  <si>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</si>
  <si>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</si>
  <si>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</si>
  <si>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</si>
  <si>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</si>
  <si>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</si>
  <si>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</si>
  <si>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</si>
  <si>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</si>
  <si>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</si>
  <si>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</si>
  <si>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</si>
  <si>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</si>
  <si>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</si>
  <si>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</si>
  <si>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</si>
  <si>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</si>
  <si>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</si>
  <si>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</si>
  <si>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</si>
  <si>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</si>
  <si>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</si>
  <si>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</si>
  <si>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</si>
  <si>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</si>
  <si>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</si>
  <si>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</si>
  <si>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</si>
  <si>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</si>
  <si>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</si>
  <si>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</si>
  <si>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</si>
  <si>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</si>
  <si>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</si>
  <si>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</si>
  <si>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</si>
  <si>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</si>
  <si>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</si>
  <si>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</si>
  <si>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</si>
  <si>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</si>
  <si>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</si>
  <si>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</si>
  <si>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</si>
  <si>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</si>
  <si>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</si>
  <si>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</si>
  <si>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</si>
  <si>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</si>
  <si>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</si>
  <si>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15地块</t>
    <phoneticPr fontId="224" type="noConversion"/>
  </si>
  <si>
    <r>
      <t>2</t>
    </r>
    <r>
      <rPr>
        <sz val="11"/>
        <color theme="1"/>
        <rFont val="宋体"/>
        <family val="3"/>
        <charset val="134"/>
        <scheme val="minor"/>
      </rPr>
      <t>024规自（顺）建字0030号</t>
    </r>
    <phoneticPr fontId="224" type="noConversion"/>
  </si>
  <si>
    <t>楼层</t>
    <phoneticPr fontId="224" type="noConversion"/>
  </si>
  <si>
    <t>楼号</t>
    <phoneticPr fontId="224" type="noConversion"/>
  </si>
  <si>
    <t>合计</t>
    <phoneticPr fontId="224" type="noConversion"/>
  </si>
  <si>
    <t>地上</t>
    <phoneticPr fontId="224" type="noConversion"/>
  </si>
  <si>
    <t>地下</t>
    <phoneticPr fontId="224" type="noConversion"/>
  </si>
  <si>
    <t>小计</t>
    <phoneticPr fontId="224" type="noConversion"/>
  </si>
  <si>
    <t>商业</t>
    <phoneticPr fontId="224" type="noConversion"/>
  </si>
  <si>
    <t>物业</t>
    <phoneticPr fontId="224" type="noConversion"/>
  </si>
  <si>
    <t>配套</t>
    <phoneticPr fontId="224" type="noConversion"/>
  </si>
  <si>
    <t>设备</t>
    <phoneticPr fontId="224" type="noConversion"/>
  </si>
  <si>
    <t>人防</t>
    <phoneticPr fontId="224" type="noConversion"/>
  </si>
  <si>
    <t>仓储</t>
    <phoneticPr fontId="224" type="noConversion"/>
  </si>
  <si>
    <t>车库</t>
    <phoneticPr fontId="224" type="noConversion"/>
  </si>
  <si>
    <t>15-1#住宅楼</t>
    <phoneticPr fontId="224" type="noConversion"/>
  </si>
  <si>
    <t>15-2#住宅楼</t>
  </si>
  <si>
    <t>15-3#住宅楼</t>
  </si>
  <si>
    <t>15-4#住宅楼</t>
  </si>
  <si>
    <t>15-5#住宅楼</t>
  </si>
  <si>
    <t>15-6#住宅楼</t>
  </si>
  <si>
    <t>15-7#住宅楼</t>
  </si>
  <si>
    <t>15-8#住宅楼</t>
  </si>
  <si>
    <t>15-9#住宅楼</t>
  </si>
  <si>
    <t>15-10#住宅楼</t>
  </si>
  <si>
    <t>15-11#住宅楼</t>
  </si>
  <si>
    <t>15-12#配电楼</t>
    <phoneticPr fontId="224" type="noConversion"/>
  </si>
  <si>
    <t>15-地下车库</t>
    <phoneticPr fontId="224" type="noConversion"/>
  </si>
  <si>
    <t>个数</t>
    <phoneticPr fontId="224" type="noConversion"/>
  </si>
  <si>
    <t>单个面积</t>
    <phoneticPr fontId="224" type="noConversion"/>
  </si>
  <si>
    <t>0026地块</t>
    <phoneticPr fontId="224" type="noConversion"/>
  </si>
  <si>
    <t>26-1#住宅楼</t>
    <phoneticPr fontId="224" type="noConversion"/>
  </si>
  <si>
    <t>26-2#住宅楼</t>
  </si>
  <si>
    <t>26-3#住宅楼</t>
  </si>
  <si>
    <t>26-4#住宅楼</t>
  </si>
  <si>
    <t>26-5#住宅楼</t>
  </si>
  <si>
    <t>26-6#住宅楼</t>
  </si>
  <si>
    <t>26-7#住宅楼</t>
  </si>
  <si>
    <t>26-8#住宅楼</t>
  </si>
  <si>
    <t>26-9#住宅楼</t>
  </si>
  <si>
    <t>26-10#住宅楼</t>
  </si>
  <si>
    <t>26-11#住宅楼</t>
  </si>
  <si>
    <t>26-12#住宅楼</t>
  </si>
  <si>
    <t>26-13#配套楼</t>
    <phoneticPr fontId="224" type="noConversion"/>
  </si>
  <si>
    <t>26-14#配套楼</t>
  </si>
  <si>
    <t>26-地下车库</t>
    <phoneticPr fontId="224" type="noConversion"/>
  </si>
  <si>
    <t>电子监管号</t>
    <phoneticPr fontId="224" type="noConversion"/>
  </si>
  <si>
    <t>受让人</t>
    <phoneticPr fontId="224" type="noConversion"/>
  </si>
  <si>
    <t>宗地用途</t>
    <phoneticPr fontId="224" type="noConversion"/>
  </si>
  <si>
    <r>
      <t>R</t>
    </r>
    <r>
      <rPr>
        <sz val="11"/>
        <color theme="1"/>
        <rFont val="宋体"/>
        <family val="3"/>
        <charset val="134"/>
        <scheme val="minor"/>
      </rPr>
      <t>2二类居住用地</t>
    </r>
    <phoneticPr fontId="224" type="noConversion"/>
  </si>
  <si>
    <t>地价款</t>
    <phoneticPr fontId="224" type="noConversion"/>
  </si>
  <si>
    <t>成交单价</t>
    <phoneticPr fontId="224" type="noConversion"/>
  </si>
  <si>
    <t>2024年2月签署文件</t>
    <phoneticPr fontId="224" type="noConversion"/>
  </si>
  <si>
    <r>
      <t>R</t>
    </r>
    <r>
      <rPr>
        <sz val="11"/>
        <color theme="1"/>
        <rFont val="宋体"/>
        <family val="3"/>
        <charset val="134"/>
        <scheme val="minor"/>
      </rPr>
      <t>2</t>
    </r>
    <phoneticPr fontId="224" type="noConversion"/>
  </si>
  <si>
    <r>
      <t>A</t>
    </r>
    <r>
      <rPr>
        <sz val="11"/>
        <color theme="1"/>
        <rFont val="宋体"/>
        <family val="3"/>
        <charset val="134"/>
        <scheme val="minor"/>
      </rPr>
      <t>33</t>
    </r>
    <phoneticPr fontId="224" type="noConversion"/>
  </si>
  <si>
    <t>供地</t>
    <phoneticPr fontId="224" type="noConversion"/>
  </si>
  <si>
    <t>六通一平</t>
    <phoneticPr fontId="224" type="noConversion"/>
  </si>
  <si>
    <t>没有通讯</t>
    <phoneticPr fontId="224" type="noConversion"/>
  </si>
  <si>
    <t>名称变更</t>
    <phoneticPr fontId="224" type="noConversion"/>
  </si>
  <si>
    <t>地价款已缴清</t>
    <phoneticPr fontId="224" type="noConversion"/>
  </si>
  <si>
    <t>契税</t>
    <phoneticPr fontId="224" type="noConversion"/>
  </si>
  <si>
    <t>印花税</t>
    <phoneticPr fontId="224" type="noConversion"/>
  </si>
  <si>
    <t>有税费优惠嘛？</t>
    <phoneticPr fontId="224" type="noConversion"/>
  </si>
  <si>
    <t>15地块土地证</t>
    <phoneticPr fontId="224" type="noConversion"/>
  </si>
  <si>
    <t>京（2024）顺不动产权第0027384号</t>
    <phoneticPr fontId="224" type="noConversion"/>
  </si>
  <si>
    <t>110113003002GB01152W00000000</t>
    <phoneticPr fontId="224" type="noConversion"/>
  </si>
  <si>
    <t>城镇住宅用地</t>
    <phoneticPr fontId="224" type="noConversion"/>
  </si>
  <si>
    <t>2094.6.26</t>
    <phoneticPr fontId="224" type="noConversion"/>
  </si>
  <si>
    <t>京（2024）顺不动产权第0027386号</t>
    <phoneticPr fontId="224" type="noConversion"/>
  </si>
  <si>
    <t>26地块</t>
    <phoneticPr fontId="224" type="noConversion"/>
  </si>
  <si>
    <t>110113003002GB01154W00000000</t>
    <phoneticPr fontId="224" type="noConversion"/>
  </si>
  <si>
    <t>抵押</t>
  </si>
  <si>
    <t>抵押价格</t>
  </si>
  <si>
    <t>企业</t>
  </si>
  <si>
    <t>顺义区仁和镇临河村棚户区改造土地开发A片区项目SY00-0702-15、16地块</t>
    <phoneticPr fontId="6" type="noConversion"/>
  </si>
  <si>
    <t>是</t>
  </si>
  <si>
    <t>1101002024B000509</t>
    <phoneticPr fontId="224" type="noConversion"/>
  </si>
  <si>
    <t>北京城建投资发展股份有限公司、苏州南山新吴房地产开发有限公司</t>
    <phoneticPr fontId="224" type="noConversion"/>
  </si>
  <si>
    <t>另有4000平方米不在范围内</t>
    <phoneticPr fontId="224" type="noConversion"/>
  </si>
  <si>
    <t>0702-16</t>
    <phoneticPr fontId="224" type="noConversion"/>
  </si>
  <si>
    <t>0702-15</t>
    <phoneticPr fontId="224" type="noConversion"/>
  </si>
  <si>
    <t>0702-26</t>
    <phoneticPr fontId="224" type="noConversion"/>
  </si>
  <si>
    <t>7级地价区</t>
    <phoneticPr fontId="224" type="noConversion"/>
  </si>
  <si>
    <t>出让合同</t>
    <phoneticPr fontId="224" type="noConversion"/>
  </si>
  <si>
    <t>地上</t>
  </si>
  <si>
    <t>地下</t>
  </si>
  <si>
    <t>住宅</t>
    <phoneticPr fontId="7" type="noConversion"/>
  </si>
  <si>
    <t>车库</t>
    <phoneticPr fontId="7" type="noConversion"/>
  </si>
  <si>
    <t>否</t>
  </si>
  <si>
    <t>一般</t>
    <phoneticPr fontId="3" type="noConversion"/>
  </si>
  <si>
    <t>一般</t>
  </si>
  <si>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</si>
  <si>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</si>
  <si>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</si>
  <si>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</si>
  <si>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</si>
  <si>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</si>
  <si>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</si>
  <si>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</si>
  <si>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</si>
  <si>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</si>
  <si>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</si>
  <si>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</si>
  <si>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</si>
  <si>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</si>
  <si>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</si>
  <si>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</si>
  <si>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</si>
  <si>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</si>
  <si>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</si>
  <si>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</si>
  <si>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</si>
  <si>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</si>
  <si>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</si>
  <si>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</si>
  <si>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</si>
  <si>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</si>
  <si>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</si>
  <si>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</si>
  <si>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</si>
  <si>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</si>
  <si>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</si>
  <si>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</si>
  <si>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</si>
  <si>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</si>
  <si>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</si>
  <si>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</si>
  <si>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</si>
  <si>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</si>
  <si>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</si>
  <si>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</si>
  <si>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</si>
  <si>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</si>
  <si>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</si>
  <si>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</si>
  <si>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</si>
  <si>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</si>
  <si>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</si>
  <si>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</si>
  <si>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</si>
  <si>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</si>
  <si>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</si>
  <si>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</si>
  <si>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</si>
  <si>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</si>
  <si>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</si>
  <si>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</si>
  <si>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</si>
  <si>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</si>
  <si>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</si>
  <si>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</si>
  <si>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</si>
  <si>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北京市顺义区仁和镇临河村棚户区改造土地开发A片区项目SY00-0702-15、26地块R2二类居住用地、SY00-0702-16地块A334托幼用地</t>
  </si>
  <si>
    <t xml:space="preserve"> 北京 </t>
  </si>
  <si>
    <t xml:space="preserve"> 顺义区 </t>
  </si>
  <si>
    <t xml:space="preserve"> 仁和 </t>
  </si>
  <si>
    <t xml:space="preserve"> 京土储挂(顺)[2024]020号 </t>
  </si>
  <si>
    <t>京土储挂(顺)[2024]020号</t>
  </si>
  <si>
    <t xml:space="preserve"> 顺义区仁和镇 </t>
  </si>
  <si>
    <t xml:space="preserve"> 综合用地(含住宅) </t>
  </si>
  <si>
    <t xml:space="preserve"> R2二类居住用地、A334托幼用地 </t>
  </si>
  <si>
    <t xml:space="preserve"> A33基础教育用地、R2二类居住用地 </t>
  </si>
  <si>
    <t xml:space="preserve"> 居住 70 年 商业 40 年 办公 50 年 </t>
  </si>
  <si>
    <t xml:space="preserve"> 15:1.6、16:0.8、26:1.6 </t>
  </si>
  <si>
    <t xml:space="preserve"> -- </t>
  </si>
  <si>
    <t xml:space="preserve"> 15:45、16:18、26:45 </t>
  </si>
  <si>
    <t xml:space="preserve"> 挂牌 </t>
  </si>
  <si>
    <t xml:space="preserve">-- </t>
  </si>
  <si>
    <t xml:space="preserve"> 限地价,摇号/摇珠/抽签 </t>
  </si>
  <si>
    <t xml:space="preserve"> 限地价 </t>
  </si>
  <si>
    <t xml:space="preserve"> 已成交 </t>
  </si>
  <si>
    <t xml:space="preserve"> 未开工 </t>
  </si>
  <si>
    <t xml:space="preserve"> 北京城建投资发展股份有限公司 、苏州南山新吴房地产开发有限公司  </t>
  </si>
  <si>
    <t xml:space="preserve"> 北京城建,南山控股 </t>
  </si>
  <si>
    <t xml:space="preserve"> 地方国有企业，地方国有企业 </t>
  </si>
  <si>
    <t xml:space="preserve"> 城投企业，-- </t>
  </si>
  <si>
    <t>2024-06-27 15:00</t>
  </si>
  <si>
    <t xml:space="preserve"> 未触达 </t>
  </si>
  <si>
    <t xml:space="preserve"> 否 </t>
  </si>
  <si>
    <t xml:space="preserve"> --</t>
  </si>
  <si>
    <t>北京市顺义区顺义新城第31街区SY00-3101- 0808、SY00-3101-0809地块R2二类居住用地、A334托幼用地</t>
  </si>
  <si>
    <t xml:space="preserve"> 俸伯 </t>
  </si>
  <si>
    <t xml:space="preserve"> 京土储挂(顺)[2024]009号 </t>
  </si>
  <si>
    <t>京土储挂(顺)[2024]009号</t>
  </si>
  <si>
    <t xml:space="preserve"> 顺义区南彩镇 </t>
  </si>
  <si>
    <t xml:space="preserve"> 二类居住用地、托幼用地 </t>
  </si>
  <si>
    <t xml:space="preserve"> R2二类居住用地 </t>
  </si>
  <si>
    <t xml:space="preserve"> 住宅70年 教育50年 </t>
  </si>
  <si>
    <t xml:space="preserve"> 0808:1.5、0809:0.8 </t>
  </si>
  <si>
    <t xml:space="preserve"> 0808:36、0809:18 </t>
  </si>
  <si>
    <t xml:space="preserve"> 北京祥业房地产有限公司  </t>
  </si>
  <si>
    <t xml:space="preserve"> 北京住总集团 </t>
  </si>
  <si>
    <t xml:space="preserve"> 地方国有企业 </t>
  </si>
  <si>
    <t xml:space="preserve"> 城投企业 </t>
  </si>
  <si>
    <t>2024-03-15 15:00</t>
  </si>
  <si>
    <t>北京市顺义区顺义新城土地一级开发项目SY00-1101-0601、0603地块R2二类居住用地、SY00-1101-6002地块A334托幼用地</t>
  </si>
  <si>
    <t xml:space="preserve"> 双丰 </t>
  </si>
  <si>
    <t xml:space="preserve"> 京土储挂(顺)[2023]066号 </t>
  </si>
  <si>
    <t>京土储挂(顺)[2023]066号</t>
  </si>
  <si>
    <t xml:space="preserve"> 顺义区马坡镇 </t>
  </si>
  <si>
    <t xml:space="preserve"> 二类城镇住宅用地、幼儿园用地 </t>
  </si>
  <si>
    <t xml:space="preserve"> R居住用地 </t>
  </si>
  <si>
    <t xml:space="preserve"> 居住70、幼儿园50 </t>
  </si>
  <si>
    <t xml:space="preserve"> 0601:1.7,6002:0.8,0603:1.2 </t>
  </si>
  <si>
    <t xml:space="preserve"> 0601,0603:35;6002:30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</si>
  <si>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</si>
  <si>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</si>
  <si>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</si>
  <si>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</si>
  <si>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</si>
  <si>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</si>
  <si>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北京市顺义区顺义新城第5街区平各庄旧村改造项目SY00-0005-6046地块R2二类居住用地、SY00-0005-6045地块A334托幼用地</t>
  </si>
  <si>
    <t xml:space="preserve"> 石园 </t>
  </si>
  <si>
    <t xml:space="preserve"> 京土储挂(顺)[2022]012号 </t>
  </si>
  <si>
    <t>京土储挂(顺)[2022]012号</t>
  </si>
  <si>
    <t xml:space="preserve"> 顺义区顺义新城第5街区 </t>
  </si>
  <si>
    <t xml:space="preserve"> 居住70年、教育50年 </t>
  </si>
  <si>
    <t xml:space="preserve"> sy00-0005-6046地块容积率2.0,sy00-0005-6045地块容积率0.8 </t>
  </si>
  <si>
    <t xml:space="preserve"> SY00-0005-6046地块建筑高度45米,SY00-0005-6045地块建筑高度16米, </t>
  </si>
  <si>
    <t xml:space="preserve">2022年第1批次 </t>
  </si>
  <si>
    <t xml:space="preserve"> 限房价,限地价,报高标准商品住宅建设方案,90/70,摇号/摇珠/抽签,现房销售 </t>
  </si>
  <si>
    <t xml:space="preserve"> 限房价,限地价,90/70 </t>
  </si>
  <si>
    <t xml:space="preserve"> 已开工 </t>
  </si>
  <si>
    <t xml:space="preserve"> 北京旭科置业有限公司  </t>
  </si>
  <si>
    <t xml:space="preserve"> 旭辉集团 </t>
  </si>
  <si>
    <t xml:space="preserve"> 民营企业 </t>
  </si>
  <si>
    <t>2022-02-15 15:00</t>
  </si>
  <si>
    <t>住宅</t>
    <phoneticPr fontId="26" type="noConversion"/>
  </si>
  <si>
    <t>基础教育</t>
    <phoneticPr fontId="26" type="noConversion"/>
  </si>
  <si>
    <t>基础教育</t>
    <phoneticPr fontId="3" type="noConversion"/>
  </si>
  <si>
    <t>无</t>
    <phoneticPr fontId="3" type="noConversion"/>
  </si>
  <si>
    <t>规则</t>
    <phoneticPr fontId="3" type="noConversion"/>
  </si>
  <si>
    <t>较规则</t>
    <phoneticPr fontId="3" type="noConversion"/>
  </si>
  <si>
    <t>较不规则</t>
    <phoneticPr fontId="3" type="noConversion"/>
  </si>
  <si>
    <t>不规则</t>
    <phoneticPr fontId="3" type="noConversion"/>
  </si>
  <si>
    <t>较好</t>
  </si>
  <si>
    <t>六通</t>
  </si>
  <si>
    <t>七通</t>
  </si>
  <si>
    <t>较规则</t>
  </si>
  <si>
    <t>地铁俸伯</t>
    <phoneticPr fontId="26" type="noConversion"/>
  </si>
  <si>
    <t>较不规则</t>
  </si>
  <si>
    <t>比较法-住宅、综合</t>
  </si>
  <si>
    <t>剩余法-待开发</t>
  </si>
  <si>
    <t>北京城建星誉</t>
    <phoneticPr fontId="3" type="noConversion"/>
  </si>
  <si>
    <t>住宅</t>
    <phoneticPr fontId="21" type="noConversion"/>
  </si>
  <si>
    <t>多层、小高层</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</si>
  <si>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</si>
  <si>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</si>
  <si>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</si>
  <si>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</si>
  <si>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</si>
  <si>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</si>
  <si>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</si>
  <si>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</si>
  <si>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</si>
  <si>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多层、小高层</t>
  </si>
  <si>
    <t>精装修</t>
  </si>
  <si>
    <t>钢混</t>
  </si>
  <si>
    <t>中档</t>
  </si>
  <si>
    <t>普通装修</t>
  </si>
  <si>
    <t>专业物业</t>
  </si>
  <si>
    <t>路劲御和府</t>
    <phoneticPr fontId="3" type="noConversion"/>
  </si>
  <si>
    <t>公园和御</t>
    <phoneticPr fontId="3" type="noConversion"/>
  </si>
  <si>
    <t>小高层</t>
  </si>
  <si>
    <t>售价</t>
  </si>
  <si>
    <r>
      <rPr>
        <sz val="11"/>
        <color theme="9" tint="-0.249977111117893"/>
        <rFont val="宋体"/>
        <family val="3"/>
        <charset val="134"/>
      </rPr>
      <t>龙湖</t>
    </r>
    <r>
      <rPr>
        <sz val="11"/>
        <color theme="9" tint="-0.249977111117893"/>
        <rFont val="Arial"/>
        <family val="3"/>
      </rPr>
      <t>·</t>
    </r>
    <r>
      <rPr>
        <sz val="11"/>
        <color theme="9" tint="-0.249977111117893"/>
        <rFont val="宋体"/>
        <family val="3"/>
        <charset val="134"/>
      </rPr>
      <t>云河砚</t>
    </r>
    <phoneticPr fontId="3" type="noConversion"/>
  </si>
  <si>
    <t>车库</t>
    <phoneticPr fontId="27" type="noConversion"/>
  </si>
  <si>
    <t>平面</t>
    <phoneticPr fontId="3" type="noConversion"/>
  </si>
  <si>
    <t>正常</t>
  </si>
  <si>
    <t>平面</t>
  </si>
  <si>
    <t>是</t>
    <phoneticPr fontId="27" type="noConversion"/>
  </si>
  <si>
    <t>否</t>
    <phoneticPr fontId="27" type="noConversion"/>
  </si>
  <si>
    <t>项目全部</t>
  </si>
  <si>
    <t>土地</t>
  </si>
  <si>
    <t>26地块</t>
    <phoneticPr fontId="224" type="noConversion"/>
  </si>
  <si>
    <t>四通</t>
  </si>
  <si>
    <t>楼面地价</t>
  </si>
  <si>
    <t>1:1.2</t>
    <phoneticPr fontId="27" type="noConversion"/>
  </si>
  <si>
    <t>北京城建南山置业有限公司</t>
    <phoneticPr fontId="224" type="noConversion"/>
  </si>
  <si>
    <t>规则</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</si>
</sst>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9" tint="-0.249977111117893"/>
      <name val="宋体"/>
      <family val="3"/>
      <charset val="134"/>
    </font>
    <font>
      <sz val="11"/>
      <color theme="9" tint="-0.249977111117893"/>
      <name val="宋体"/>
      <family val="2"/>
      <charset val="134"/>
    </font>
    <font>
      <sz val="11"/>
      <color theme="9" tint="-0.249977111117893"/>
      <name val="Arial"/>
      <family val="3"/>
      <charset val="134"/>
    </font>
    <font>
      <sz val="11"/>
      <color theme="9" tint="-0.249977111117893"/>
      <name val="Arial"/>
      <family val="3"/>
    </font>
    <font>
      <sz val="11"/>
      <name val="宋体"/>
      <family val="2"/>
      <charset val="134"/>
    </font>
    <font>
      <sz val="11"/>
      <color rgb="FF000000"/>
      <name val="宋体"/>
      <family val="3"/>
      <charset val="134"/>
    </font>
    <font>
      <sz val="11"/>
      <color rgb="FF000000"/>
      <name val="宋体"/>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3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1">
      <alignment vertical="center"/>
    </xf>
    <xf numFmtId="0" fontId="141" fillId="0" borderId="2" xfId="1" applyBorder="1" applyAlignment="1">
      <alignment horizontal="center" vertical="center"/>
    </xf>
    <xf numFmtId="0" fontId="141" fillId="0" borderId="3" xfId="1" applyBorder="1" applyAlignment="1">
      <alignment horizontal="center" vertical="center"/>
    </xf>
    <xf numFmtId="49" fontId="141" fillId="6" borderId="0" xfId="1" applyNumberFormat="1" applyFill="1">
      <alignment vertical="center"/>
    </xf>
    <xf numFmtId="0" fontId="141" fillId="6" borderId="0" xfId="1" applyFill="1">
      <alignment vertical="center"/>
    </xf>
    <xf numFmtId="49" fontId="141" fillId="0" borderId="0" xfId="1" applyNumberFormat="1">
      <alignment vertical="center"/>
    </xf>
    <xf numFmtId="0" fontId="141" fillId="24" borderId="0" xfId="1" applyFill="1">
      <alignment vertical="center"/>
    </xf>
    <xf numFmtId="14" fontId="141" fillId="24" borderId="0" xfId="1" applyNumberFormat="1" applyFill="1">
      <alignment vertical="center"/>
    </xf>
    <xf numFmtId="178" fontId="148" fillId="0" borderId="2" xfId="2" applyNumberFormat="1" applyFont="1" applyBorder="1" applyAlignment="1" applyProtection="1">
      <alignment horizontal="center" vertical="center"/>
      <protection locked="0"/>
    </xf>
    <xf numFmtId="0" fontId="300" fillId="0" borderId="12" xfId="0" applyFont="1" applyBorder="1" applyAlignment="1" applyProtection="1">
      <alignment horizontal="left" vertical="center" wrapText="1"/>
      <protection locked="0"/>
    </xf>
    <xf numFmtId="49" fontId="300" fillId="0" borderId="12" xfId="0" applyNumberFormat="1" applyFont="1" applyBorder="1" applyAlignment="1" applyProtection="1">
      <alignment horizontal="left" vertical="center" wrapText="1"/>
      <protection locked="0"/>
    </xf>
    <xf numFmtId="0" fontId="302" fillId="0" borderId="46" xfId="0" applyFont="1" applyBorder="1" applyAlignment="1" applyProtection="1">
      <alignment horizontal="left" vertical="center"/>
      <protection locked="0"/>
    </xf>
    <xf numFmtId="0" fontId="0" fillId="9" borderId="0" xfId="0" applyFill="1" applyAlignment="1"/>
    <xf numFmtId="14" fontId="0" fillId="9" borderId="0" xfId="0" applyNumberFormat="1" applyFill="1" applyAlignment="1"/>
    <xf numFmtId="0" fontId="0" fillId="6" borderId="0" xfId="0" applyFill="1" applyAlignment="1"/>
    <xf numFmtId="14" fontId="0" fillId="6" borderId="0" xfId="0" applyNumberFormat="1" applyFill="1" applyAlignment="1"/>
    <xf numFmtId="0" fontId="304"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305" fillId="0" borderId="20" xfId="0" applyFont="1" applyBorder="1" applyAlignment="1" applyProtection="1">
      <alignment horizontal="center" vertical="center" wrapText="1"/>
      <protection locked="0"/>
    </xf>
    <xf numFmtId="49" fontId="304" fillId="0" borderId="24" xfId="0" applyNumberFormat="1" applyFont="1" applyBorder="1" applyAlignment="1" applyProtection="1">
      <alignment horizontal="center" vertical="center" wrapText="1"/>
      <protection locked="0"/>
    </xf>
    <xf numFmtId="0" fontId="306"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10" fontId="149" fillId="0" borderId="2" xfId="0" applyNumberFormat="1" applyFont="1" applyBorder="1" applyAlignment="1" applyProtection="1">
      <alignment horizontal="center" vertical="center"/>
      <protection locked="0"/>
    </xf>
    <xf numFmtId="178" fontId="67" fillId="25" borderId="2" xfId="2" applyNumberFormat="1" applyFont="1" applyFill="1" applyBorder="1" applyAlignment="1" applyProtection="1">
      <alignment horizontal="center" vertical="center"/>
      <protection locked="0"/>
    </xf>
    <xf numFmtId="0" fontId="149" fillId="25" borderId="11" xfId="0" applyFont="1" applyFill="1" applyBorder="1" applyAlignment="1" applyProtection="1">
      <alignment horizontal="center" vertical="center"/>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43" fillId="0" borderId="0" xfId="1" applyFont="1" applyAlignment="1">
      <alignment horizontal="center" vertical="center"/>
    </xf>
    <xf numFmtId="0" fontId="141" fillId="0" borderId="2" xfId="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0" fillId="0" borderId="11" xfId="0" applyFont="1" applyBorder="1" applyAlignment="1" applyProtection="1">
      <alignment horizontal="center" vertical="center" wrapText="1"/>
      <protection locked="0"/>
    </xf>
    <xf numFmtId="0" fontId="300"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302" fillId="0" borderId="11"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024-1-0774-&#39034;&#20041;&#20161;&#21644;&#22303;&#22320;26&#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58916.682000000001</v>
          </cell>
          <cell r="C14">
            <v>25774.37</v>
          </cell>
          <cell r="D14">
            <v>68340</v>
          </cell>
          <cell r="G14">
            <v>67345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北京市顺义区仁和镇临河村棚户区改造土地开发A片区项目SY00-0702-15、16地块出让国有建设用地使用权抵押价格预评估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受贵公司委托，我公司对北京市顺义区仁和镇临河村棚户区改造土地开发A片区项目SY00-0702-15、16地块出让国有建设用地使用权抵押价格进行了预评估。</v>
      </c>
      <c r="AM6" s="2202"/>
    </row>
    <row r="7" spans="1:55">
      <c r="A7" s="2182" t="s">
        <v>1939</v>
      </c>
      <c r="B7" s="2183" t="str">
        <f>'预评函-1'!A6</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2024年9月6日（评估专业人员勘察现场之日）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根据《国有土地使用证》[]，估价对象（分摊）出让国有建设用地使用权面积为20362.47平方米。根据《建设工程规划许可证》[]、《出让合同》[]，估价对象规划建筑面积为46690.582平方米。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估价期日：2024年9月6日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20362.47</v>
      </c>
    </row>
    <row r="44" spans="1:2">
      <c r="A44" s="2182" t="s">
        <v>2022</v>
      </c>
      <c r="B44" s="2183" t="str">
        <f>'预评函-2'!O3</f>
        <v>规划建筑面积/㎡</v>
      </c>
    </row>
    <row r="45" spans="1:2">
      <c r="A45" s="2182" t="s">
        <v>2004</v>
      </c>
      <c r="B45" s="2183">
        <f>'预评函-2'!O5</f>
        <v>46690.582000000002</v>
      </c>
    </row>
    <row r="46" spans="1:2">
      <c r="A46" s="2182" t="s">
        <v>2005</v>
      </c>
      <c r="B46" s="2183">
        <f ca="1">'预评函-2'!P5</f>
        <v>26026</v>
      </c>
    </row>
    <row r="47" spans="1:2">
      <c r="A47" s="2182" t="s">
        <v>2006</v>
      </c>
      <c r="B47" s="2183">
        <f ca="1">'预评函-2'!Q5</f>
        <v>11350</v>
      </c>
    </row>
    <row r="48" spans="1:2">
      <c r="A48" s="2182" t="s">
        <v>2007</v>
      </c>
      <c r="B48" s="2183">
        <f ca="1">'预评函-2'!R5</f>
        <v>52995</v>
      </c>
    </row>
    <row r="49" spans="1:2">
      <c r="A49" s="2182" t="s">
        <v>2023</v>
      </c>
      <c r="B49" s="2183" t="str">
        <f>'预评函-2'!A6</f>
        <v>抵押价格</v>
      </c>
    </row>
    <row r="50" spans="1:2">
      <c r="A50" s="2182" t="s">
        <v>2008</v>
      </c>
      <c r="B50" s="2183">
        <f ca="1">'预评函-2'!R6</f>
        <v>52451</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综上，本次评估估价师知悉的法定优先受偿款为人民币544万元整。</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2669</v>
      </c>
      <c r="B1" s="3030"/>
      <c r="C1" s="3030"/>
      <c r="D1" s="3030"/>
      <c r="E1" s="3030"/>
      <c r="F1" s="3031"/>
    </row>
    <row r="2" spans="1:6">
      <c r="A2" s="3032"/>
      <c r="B2" s="3033"/>
      <c r="C2" s="3033"/>
      <c r="D2" s="3033"/>
      <c r="E2" s="3033"/>
      <c r="F2" s="3034"/>
    </row>
    <row r="3" spans="1:6">
      <c r="A3" s="2986" t="s">
        <v>2670</v>
      </c>
      <c r="B3" s="3035">
        <f>项目基本情况!D3</f>
        <v>45541</v>
      </c>
      <c r="C3" s="3036"/>
      <c r="D3" s="3036"/>
      <c r="E3" s="3036"/>
      <c r="F3" s="3034"/>
    </row>
    <row r="4" spans="1:6">
      <c r="A4" s="2986" t="s">
        <v>2671</v>
      </c>
      <c r="B4" s="3037" t="s">
        <v>2672</v>
      </c>
      <c r="C4" s="3037" t="s">
        <v>2673</v>
      </c>
      <c r="D4" s="3037" t="s">
        <v>2674</v>
      </c>
      <c r="E4" s="3037" t="s">
        <v>2675</v>
      </c>
      <c r="F4" s="3034"/>
    </row>
    <row r="5" spans="1:6">
      <c r="A5" s="3038"/>
      <c r="B5" s="3035"/>
      <c r="C5" s="3037">
        <f>ROUNDDOWN(MIN((B5-B3)/365,A5),2)</f>
        <v>-124.76</v>
      </c>
      <c r="D5" s="3039">
        <f>IF(ISERROR(ROUND(POWER(1+E5,A5-C5)*(POWER(1+E5,C5)-1)/(POWER(1+E5,A5)-1),3)),0,ROUND(POWER(1+E5,A5-C5)*(POWER(1+E5,C5)-1)/(POWER(1+E5,A5)-1),4))</f>
        <v>0</v>
      </c>
      <c r="E5" s="3040"/>
      <c r="F5" s="3034"/>
    </row>
    <row r="6" spans="1:6">
      <c r="A6" s="3038"/>
      <c r="B6" s="3035"/>
      <c r="C6" s="3037">
        <f>ROUNDDOWN(MIN((B6-B3)/365,A6),2)</f>
        <v>-124.76</v>
      </c>
      <c r="D6" s="3039">
        <f>IF(ISERROR(ROUND(POWER(1+E6,A6-C6)*(POWER(1+E6,C6)-1)/(POWER(1+E6,A6)-1),3)),0,ROUND(POWER(1+E6,A6-C6)*(POWER(1+E6,C6)-1)/(POWER(1+E6,A6)-1),4))</f>
        <v>0</v>
      </c>
      <c r="E6" s="3040"/>
      <c r="F6" s="3034"/>
    </row>
    <row r="7" spans="1:6">
      <c r="A7" s="3038"/>
      <c r="B7" s="3035"/>
      <c r="C7" s="3037">
        <f>ROUNDDOWN(MIN((B7-B3)/365,A7),2)</f>
        <v>-124.76</v>
      </c>
      <c r="D7" s="3039">
        <f>IF(ISERROR(ROUND(POWER(1+E7,A7-C7)*(POWER(1+E7,C7)-1)/(POWER(1+E7,A7)-1),3)),0,ROUND(POWER(1+E7,A7-C7)*(POWER(1+E7,C7)-1)/(POWER(1+E7,A7)-1),4))</f>
        <v>0</v>
      </c>
      <c r="E7" s="3040"/>
      <c r="F7" s="3034"/>
    </row>
    <row r="8" spans="1:6">
      <c r="A8" s="3032"/>
      <c r="B8" s="3033"/>
      <c r="C8" s="3033"/>
      <c r="D8" s="3033"/>
      <c r="E8" s="3033"/>
      <c r="F8" s="3034"/>
    </row>
    <row r="9" spans="1:6">
      <c r="A9" s="2986" t="s">
        <v>2676</v>
      </c>
      <c r="B9" s="3037"/>
      <c r="C9" s="3037"/>
      <c r="D9" s="3037"/>
      <c r="E9" s="3037"/>
      <c r="F9" s="3041"/>
    </row>
    <row r="10" spans="1:6">
      <c r="A10" s="2986" t="s">
        <v>2677</v>
      </c>
      <c r="B10" s="3037"/>
      <c r="C10" s="3037"/>
      <c r="D10" s="3037" t="s">
        <v>2675</v>
      </c>
      <c r="E10" s="3037"/>
      <c r="F10" s="3041" t="s">
        <v>2674</v>
      </c>
    </row>
    <row r="11" spans="1:6">
      <c r="A11" s="2986" t="s">
        <v>2678</v>
      </c>
      <c r="B11" s="3042"/>
      <c r="C11" s="3037" t="s">
        <v>2679</v>
      </c>
      <c r="D11" s="3042"/>
      <c r="E11" s="3037" t="s">
        <v>2680</v>
      </c>
      <c r="F11" s="3043">
        <f>ROUND(1-(1/(POWER(1+D11,B11))),4)</f>
        <v>0</v>
      </c>
    </row>
    <row r="12" spans="1:6">
      <c r="A12" s="2986" t="s">
        <v>2681</v>
      </c>
      <c r="B12" s="3042"/>
      <c r="C12" s="3037" t="s">
        <v>2682</v>
      </c>
      <c r="D12" s="3042"/>
      <c r="E12" s="3037" t="s">
        <v>2683</v>
      </c>
      <c r="F12" s="3043">
        <f>ROUND(1-(1/(POWER(1+D12,B12))),4)</f>
        <v>0</v>
      </c>
    </row>
    <row r="13" spans="1:6">
      <c r="A13" s="2986" t="s">
        <v>2684</v>
      </c>
      <c r="B13" s="3037"/>
      <c r="C13" s="3036"/>
      <c r="D13" s="3033"/>
      <c r="E13" s="3033"/>
      <c r="F13" s="3034"/>
    </row>
    <row r="14" spans="1:6">
      <c r="A14" s="2986" t="s">
        <v>2685</v>
      </c>
      <c r="B14" s="3042"/>
      <c r="C14" s="3036"/>
      <c r="D14" s="3033"/>
      <c r="E14" s="3033"/>
      <c r="F14" s="3034"/>
    </row>
    <row r="15" spans="1:6">
      <c r="A15" s="2986" t="s">
        <v>2686</v>
      </c>
      <c r="B15" s="3037" t="e">
        <f>ROUND(B14*F12/F11,2)</f>
        <v>#DIV/0!</v>
      </c>
      <c r="C15" s="3037" t="e">
        <f>ROUND(F12/F11,4)</f>
        <v>#DIV/0!</v>
      </c>
      <c r="D15" s="3033"/>
      <c r="E15" s="3033"/>
      <c r="F15" s="3034"/>
    </row>
    <row r="16" spans="1:6">
      <c r="A16" s="2986" t="s">
        <v>2687</v>
      </c>
      <c r="B16" s="3037"/>
      <c r="C16" s="3036"/>
      <c r="D16" s="3033"/>
      <c r="E16" s="3033"/>
      <c r="F16" s="3034"/>
    </row>
    <row r="17" spans="1:7">
      <c r="A17" s="2986" t="s">
        <v>2686</v>
      </c>
      <c r="B17" s="3042"/>
      <c r="C17" s="3036"/>
      <c r="D17" s="3033"/>
      <c r="E17" s="3033"/>
      <c r="F17" s="3034"/>
    </row>
    <row r="18" spans="1:7" ht="14.25" thickBot="1">
      <c r="A18" s="3044" t="s">
        <v>2685</v>
      </c>
      <c r="B18" s="3045" t="e">
        <f>ROUND(B17*F11/F12,2)</f>
        <v>#DIV/0!</v>
      </c>
      <c r="C18" s="3045" t="e">
        <f>ROUND(F11/F12,4)</f>
        <v>#DIV/0!</v>
      </c>
      <c r="D18" s="3046"/>
      <c r="E18" s="3046"/>
      <c r="F18" s="3047"/>
    </row>
    <row r="19" spans="1:7" ht="14.25" thickBot="1"/>
    <row r="20" spans="1:7">
      <c r="A20" s="3048" t="s">
        <v>2688</v>
      </c>
      <c r="B20" s="3049"/>
      <c r="C20" s="3049"/>
      <c r="D20" s="3049"/>
      <c r="E20" s="3049"/>
      <c r="F20" s="3049"/>
      <c r="G20" s="3050"/>
    </row>
    <row r="21" spans="1:7">
      <c r="A21" s="3051"/>
      <c r="B21" s="3052" t="s">
        <v>2689</v>
      </c>
      <c r="C21" s="3052" t="s">
        <v>2690</v>
      </c>
      <c r="D21" s="3052" t="s">
        <v>2691</v>
      </c>
      <c r="E21" s="3052" t="s">
        <v>2692</v>
      </c>
      <c r="F21" s="3052" t="s">
        <v>2693</v>
      </c>
      <c r="G21" s="3053" t="s">
        <v>2694</v>
      </c>
    </row>
    <row r="22" spans="1:7">
      <c r="A22" s="3051" t="s">
        <v>2695</v>
      </c>
      <c r="B22" s="3054">
        <v>50</v>
      </c>
      <c r="C22" s="3054">
        <v>32</v>
      </c>
      <c r="D22" s="3055">
        <v>0.05</v>
      </c>
      <c r="E22" s="3052">
        <f>ROUND(POWER(1+D22,B22-C22)*(POWER(1+D22,C22)-1)/(POWER(1+D22,B22)-1),3)</f>
        <v>0.86599999999999999</v>
      </c>
      <c r="F22" s="3055">
        <v>0.6</v>
      </c>
      <c r="G22" s="3053">
        <f>ROUND(100*(1-(1-E22)*F22),1)</f>
        <v>92</v>
      </c>
    </row>
    <row r="23" spans="1:7">
      <c r="A23" s="3056" t="s">
        <v>2696</v>
      </c>
      <c r="B23" s="3054">
        <v>50</v>
      </c>
      <c r="C23" s="3054">
        <v>35</v>
      </c>
      <c r="D23" s="3055">
        <v>0.05</v>
      </c>
      <c r="E23" s="3052">
        <f>ROUND(POWER(1+D23,B23-C23)*(POWER(1+D23,C23)-1)/(POWER(1+D23,B23)-1),3)</f>
        <v>0.89700000000000002</v>
      </c>
      <c r="F23" s="3055">
        <f>F22</f>
        <v>0.6</v>
      </c>
      <c r="G23" s="3053">
        <f>ROUND(100*(1-(1-E23)*F23),1)</f>
        <v>93.8</v>
      </c>
    </row>
    <row r="24" spans="1:7">
      <c r="A24" s="3056" t="s">
        <v>2697</v>
      </c>
      <c r="B24" s="3054">
        <v>50</v>
      </c>
      <c r="C24" s="3054">
        <v>25</v>
      </c>
      <c r="D24" s="3055">
        <v>0.05</v>
      </c>
      <c r="E24" s="3052">
        <f>ROUND(POWER(1+D24,B24-C24)*(POWER(1+D24,C24)-1)/(POWER(1+D24,B24)-1),3)</f>
        <v>0.77200000000000002</v>
      </c>
      <c r="F24" s="3055">
        <f>F23</f>
        <v>0.6</v>
      </c>
      <c r="G24" s="3053">
        <f>ROUND(100*(1-(1-E24)*F24),1)</f>
        <v>86.3</v>
      </c>
    </row>
    <row r="25" spans="1:7">
      <c r="A25" s="3056" t="s">
        <v>2698</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2699</v>
      </c>
      <c r="B27" s="3061"/>
      <c r="C27" s="3061"/>
      <c r="D27" s="3061"/>
      <c r="E27" s="3061"/>
      <c r="F27" s="3061"/>
      <c r="G27" s="3062"/>
    </row>
    <row r="28" spans="1:7">
      <c r="A28" s="3060" t="s">
        <v>2700</v>
      </c>
      <c r="B28" s="3061"/>
      <c r="C28" s="3061"/>
      <c r="D28" s="3061"/>
      <c r="E28" s="3061"/>
      <c r="F28" s="3061"/>
      <c r="G28" s="3062"/>
    </row>
    <row r="29" spans="1:7">
      <c r="A29" s="3060" t="s">
        <v>2701</v>
      </c>
      <c r="B29" s="3061"/>
      <c r="C29" s="3061"/>
      <c r="D29" s="3061"/>
      <c r="E29" s="3061"/>
      <c r="F29" s="3061"/>
      <c r="G29" s="3062"/>
    </row>
    <row r="30" spans="1:7">
      <c r="A30" s="3060" t="s">
        <v>2702</v>
      </c>
      <c r="B30" s="3061"/>
      <c r="C30" s="3061"/>
      <c r="D30" s="3061"/>
      <c r="E30" s="3061"/>
      <c r="F30" s="3061"/>
      <c r="G30" s="3062"/>
    </row>
    <row r="31" spans="1:7">
      <c r="A31" s="3060" t="s">
        <v>2703</v>
      </c>
      <c r="B31" s="3061"/>
      <c r="C31" s="3061"/>
      <c r="D31" s="3061"/>
      <c r="E31" s="3061"/>
      <c r="F31" s="3061"/>
      <c r="G31" s="3062"/>
    </row>
    <row r="32" spans="1:7">
      <c r="A32" s="3060" t="s">
        <v>2704</v>
      </c>
      <c r="B32" s="3061"/>
      <c r="C32" s="3061"/>
      <c r="D32" s="3061"/>
      <c r="E32" s="3061"/>
      <c r="F32" s="3061"/>
      <c r="G32" s="3062"/>
    </row>
    <row r="33" spans="1:7">
      <c r="A33" s="3060" t="s">
        <v>2705</v>
      </c>
      <c r="B33" s="3061"/>
      <c r="C33" s="3061"/>
      <c r="D33" s="3061"/>
      <c r="E33" s="3061"/>
      <c r="F33" s="3061"/>
      <c r="G33" s="3062"/>
    </row>
    <row r="34" spans="1:7">
      <c r="A34" s="3060" t="s">
        <v>2706</v>
      </c>
      <c r="B34" s="3061"/>
      <c r="C34" s="3061"/>
      <c r="D34" s="3061"/>
      <c r="E34" s="3061"/>
      <c r="F34" s="3061"/>
      <c r="G34" s="3062"/>
    </row>
    <row r="35" spans="1:7">
      <c r="A35" s="3060" t="s">
        <v>2707</v>
      </c>
      <c r="B35" s="3061"/>
      <c r="C35" s="3061"/>
      <c r="D35" s="3061"/>
      <c r="E35" s="3061"/>
      <c r="F35" s="3061"/>
      <c r="G35" s="3062"/>
    </row>
    <row r="36" spans="1:7">
      <c r="A36" s="3060" t="s">
        <v>2708</v>
      </c>
      <c r="B36" s="3061"/>
      <c r="C36" s="3061"/>
      <c r="D36" s="3061"/>
      <c r="E36" s="3061"/>
      <c r="F36" s="3061"/>
      <c r="G36" s="3062"/>
    </row>
    <row r="37" spans="1:7">
      <c r="A37" s="3060" t="s">
        <v>2709</v>
      </c>
      <c r="B37" s="3061"/>
      <c r="C37" s="3061"/>
      <c r="D37" s="3061"/>
      <c r="E37" s="3061"/>
      <c r="F37" s="3061"/>
      <c r="G37" s="3062"/>
    </row>
    <row r="38" spans="1:7">
      <c r="A38" s="3060" t="s">
        <v>2710</v>
      </c>
      <c r="B38" s="3061"/>
      <c r="C38" s="3061"/>
      <c r="D38" s="3061"/>
      <c r="E38" s="3061"/>
      <c r="F38" s="3061"/>
      <c r="G38" s="3062"/>
    </row>
    <row r="39" spans="1:7">
      <c r="A39" s="3060"/>
      <c r="B39" s="3061"/>
      <c r="C39" s="3061"/>
      <c r="D39" s="3061"/>
      <c r="E39" s="3061"/>
      <c r="F39" s="3061"/>
      <c r="G39" s="3062"/>
    </row>
    <row r="40" spans="1:7">
      <c r="A40" s="3063" t="s">
        <v>2711</v>
      </c>
      <c r="B40" s="3064"/>
      <c r="C40" s="3064"/>
      <c r="D40" s="3064"/>
      <c r="E40" s="3064"/>
      <c r="F40" s="3064"/>
      <c r="G40" s="3065"/>
    </row>
    <row r="41" spans="1:7">
      <c r="A41" s="3066" t="s">
        <v>2712</v>
      </c>
      <c r="B41" s="3067" t="s">
        <v>2713</v>
      </c>
      <c r="C41" s="3068" t="s">
        <v>2714</v>
      </c>
      <c r="D41" s="3068" t="s">
        <v>2715</v>
      </c>
      <c r="E41" s="3069"/>
      <c r="F41" s="3070"/>
      <c r="G41" s="3071"/>
    </row>
    <row r="42" spans="1:7">
      <c r="A42" s="3066" t="s">
        <v>2716</v>
      </c>
      <c r="B42" s="3067" t="s">
        <v>2717</v>
      </c>
      <c r="C42" s="3068" t="s">
        <v>2717</v>
      </c>
      <c r="D42" s="3072" t="s">
        <v>2718</v>
      </c>
      <c r="E42" s="3064" t="s">
        <v>2719</v>
      </c>
      <c r="F42" s="3064"/>
      <c r="G42" s="3065"/>
    </row>
    <row r="43" spans="1:7">
      <c r="A43" s="3066" t="s">
        <v>2720</v>
      </c>
      <c r="B43" s="3067" t="s">
        <v>2721</v>
      </c>
      <c r="C43" s="3068" t="s">
        <v>2722</v>
      </c>
      <c r="D43" s="3068" t="s">
        <v>2723</v>
      </c>
      <c r="E43" s="3069" t="s">
        <v>2724</v>
      </c>
      <c r="F43" s="3070"/>
      <c r="G43" s="3071"/>
    </row>
    <row r="44" spans="1:7">
      <c r="A44" s="3066" t="s">
        <v>2725</v>
      </c>
      <c r="B44" s="3067" t="s">
        <v>2726</v>
      </c>
      <c r="C44" s="3068" t="s">
        <v>2727</v>
      </c>
      <c r="D44" s="3072">
        <v>0.5</v>
      </c>
      <c r="E44" s="3069" t="s">
        <v>2728</v>
      </c>
      <c r="F44" s="3070"/>
      <c r="G44" s="3071"/>
    </row>
    <row r="45" spans="1:7" ht="14.25" thickBot="1">
      <c r="A45" s="3073" t="s">
        <v>2729</v>
      </c>
      <c r="B45" s="3074" t="s">
        <v>2717</v>
      </c>
      <c r="C45" s="3075" t="s">
        <v>2717</v>
      </c>
      <c r="D45" s="3075" t="s">
        <v>2730</v>
      </c>
      <c r="E45" s="3076" t="s">
        <v>2731</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Normal="100" zoomScaleSheetLayoutView="100" workbookViewId="0">
      <selection activeCell="F53" sqref="F53"/>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58" t="str">
        <f>IF(B10="北京市","北京市",C10)&amp;F10&amp;A17&amp;"国有建设用地使用权"&amp;B9&amp;"预评估"</f>
        <v>北京市顺义区仁和镇临河村棚户区改造土地开发A片区项目SY00-0702-15、16地块出让国有建设用地使用权抵押价格预评估</v>
      </c>
      <c r="C1" s="3459"/>
      <c r="D1" s="3459"/>
      <c r="E1" s="3459"/>
      <c r="F1" s="3459"/>
      <c r="G1" s="3459"/>
      <c r="H1" s="3459"/>
      <c r="I1" s="3460"/>
      <c r="J1" s="2602"/>
      <c r="K1" s="1971" t="str">
        <f>IF(B10="北京市","北京市",C10)&amp;F10&amp;A17&amp;"国有建设用地使用权"&amp;B9</f>
        <v>北京市顺义区仁和镇临河村棚户区改造土地开发A片区项目SY00-0702-15、16地块出让国有建设用地使用权抵押价格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北京市顺义区仁和镇临河村棚户区改造土地开发A片区项目SY00-0702-15、16地块出让国有建设用地使用权</v>
      </c>
      <c r="L2" s="2582"/>
      <c r="M2" s="2582"/>
      <c r="N2" s="2583"/>
      <c r="O2" s="2584"/>
      <c r="P2" s="2583"/>
      <c r="Q2" s="2583"/>
      <c r="R2" s="2583"/>
      <c r="S2" s="2583"/>
      <c r="T2" s="2583"/>
      <c r="U2" s="2583"/>
    </row>
    <row r="3" spans="1:21">
      <c r="A3" s="1378" t="s">
        <v>1459</v>
      </c>
      <c r="B3" s="1379">
        <v>45541</v>
      </c>
      <c r="C3" s="2531" t="s">
        <v>1513</v>
      </c>
      <c r="D3" s="1379">
        <f>B3</f>
        <v>45541</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2160</v>
      </c>
      <c r="C4" s="1534">
        <f>SUMIF(土地估价师,B4,估价师及机构信息!E3:E17)</f>
        <v>0</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土地估价师、土地估价师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3336</v>
      </c>
      <c r="C8" s="1388"/>
      <c r="D8" s="3464" t="s">
        <v>1464</v>
      </c>
      <c r="E8" s="1532" t="s">
        <v>3337</v>
      </c>
      <c r="F8" s="1389"/>
      <c r="G8" s="2602"/>
      <c r="H8" s="2602"/>
      <c r="I8" s="2603"/>
      <c r="J8" s="2602"/>
      <c r="K8" s="2586"/>
      <c r="L8" s="2582"/>
      <c r="M8" s="2582"/>
      <c r="N8" s="2583"/>
      <c r="O8" s="2584"/>
      <c r="P8" s="2583"/>
      <c r="Q8" s="2583"/>
      <c r="R8" s="2583"/>
      <c r="S8" s="2583"/>
      <c r="T8" s="2583"/>
      <c r="U8" s="2583"/>
    </row>
    <row r="9" spans="1:21" ht="15" thickBot="1">
      <c r="A9" s="2533" t="s">
        <v>1463</v>
      </c>
      <c r="B9" s="1390" t="s">
        <v>3337</v>
      </c>
      <c r="C9" s="1391"/>
      <c r="D9" s="3465"/>
      <c r="E9" s="1390" t="s">
        <v>877</v>
      </c>
      <c r="F9" s="1447"/>
      <c r="G9" s="2605"/>
      <c r="H9" s="2605"/>
      <c r="I9" s="2606"/>
      <c r="J9" s="2602"/>
      <c r="K9" s="2586"/>
      <c r="L9" s="2582"/>
      <c r="M9" s="2582"/>
      <c r="N9" s="2583"/>
      <c r="O9" s="2584"/>
      <c r="P9" s="2583"/>
      <c r="Q9" s="2583"/>
      <c r="R9" s="2583"/>
      <c r="S9" s="2583"/>
      <c r="T9" s="2583"/>
      <c r="U9" s="2583"/>
    </row>
    <row r="10" spans="1:21" ht="15" thickTop="1">
      <c r="A10" s="2534" t="s">
        <v>1517</v>
      </c>
      <c r="B10" s="1425" t="s">
        <v>1465</v>
      </c>
      <c r="C10" s="1392"/>
      <c r="D10" s="1384"/>
      <c r="E10" s="1393" t="s">
        <v>1466</v>
      </c>
      <c r="F10" s="1394" t="s">
        <v>3339</v>
      </c>
      <c r="G10" s="1445"/>
      <c r="H10" s="1446"/>
      <c r="I10" s="1384"/>
      <c r="J10" s="2602"/>
      <c r="K10" s="2586"/>
      <c r="L10" s="2582"/>
      <c r="M10" s="2582"/>
      <c r="N10" s="2583"/>
      <c r="O10" s="2584"/>
      <c r="P10" s="2583"/>
      <c r="Q10" s="2583"/>
      <c r="R10" s="2583"/>
      <c r="S10" s="2583"/>
      <c r="T10" s="2583"/>
      <c r="U10" s="2583"/>
    </row>
    <row r="11" spans="1:21">
      <c r="A11" s="2535" t="s">
        <v>1518</v>
      </c>
      <c r="B11" s="1406" t="s">
        <v>3338</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461"/>
      <c r="C12" s="3462"/>
      <c r="D12" s="3463"/>
      <c r="E12" s="1407" t="s">
        <v>1579</v>
      </c>
      <c r="F12" s="3479" t="s">
        <v>2161</v>
      </c>
      <c r="G12" s="3480"/>
      <c r="H12" s="3480"/>
      <c r="I12" s="3481"/>
      <c r="J12" s="2602"/>
      <c r="K12" s="2586"/>
      <c r="L12" s="2582"/>
      <c r="M12" s="2582"/>
      <c r="N12" s="2583"/>
      <c r="O12" s="2584"/>
      <c r="P12" s="2583"/>
      <c r="Q12" s="2583"/>
      <c r="R12" s="2583"/>
      <c r="S12" s="2583"/>
      <c r="T12" s="2583"/>
      <c r="U12" s="2583"/>
    </row>
    <row r="13" spans="1:21">
      <c r="A13" s="1399" t="s">
        <v>1577</v>
      </c>
      <c r="B13" s="3461"/>
      <c r="C13" s="3462"/>
      <c r="D13" s="3463"/>
      <c r="E13" s="1407" t="s">
        <v>1579</v>
      </c>
      <c r="F13" s="3479" t="s">
        <v>2162</v>
      </c>
      <c r="G13" s="3480"/>
      <c r="H13" s="3480"/>
      <c r="I13" s="3481"/>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2733</v>
      </c>
      <c r="J15" s="2602"/>
      <c r="K15" s="2586"/>
      <c r="L15" s="2582"/>
      <c r="M15" s="2582"/>
      <c r="N15" s="2583"/>
      <c r="O15" s="2584"/>
      <c r="P15" s="2583"/>
      <c r="Q15" s="2583"/>
      <c r="R15" s="2583"/>
      <c r="S15" s="2583"/>
      <c r="T15" s="2583"/>
      <c r="U15" s="2583"/>
    </row>
    <row r="16" spans="1:21" ht="28.5">
      <c r="A16" s="2536" t="s">
        <v>1467</v>
      </c>
      <c r="B16" s="1407" t="s">
        <v>1468</v>
      </c>
      <c r="C16" s="1466" t="s">
        <v>1469</v>
      </c>
      <c r="D16" s="1428" t="s">
        <v>2734</v>
      </c>
      <c r="E16" s="1428" t="s">
        <v>1212</v>
      </c>
      <c r="F16" s="1428" t="s">
        <v>2735</v>
      </c>
      <c r="G16" s="1428" t="s">
        <v>2736</v>
      </c>
      <c r="H16" s="1398" t="s">
        <v>776</v>
      </c>
      <c r="I16" s="1398" t="s">
        <v>2733</v>
      </c>
      <c r="J16" s="2602"/>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2737</v>
      </c>
      <c r="B17" s="2537" t="s">
        <v>1473</v>
      </c>
      <c r="C17" s="3078">
        <v>71036</v>
      </c>
      <c r="D17" s="3078">
        <v>60079</v>
      </c>
      <c r="E17" s="3078">
        <v>63731</v>
      </c>
      <c r="F17" s="3078">
        <v>63731</v>
      </c>
      <c r="G17" s="3078">
        <v>63731</v>
      </c>
      <c r="H17" s="3078"/>
      <c r="I17" s="3078"/>
      <c r="J17" s="2602"/>
      <c r="K17" s="2581" t="str">
        <f>CONCATENATE(K16,L16,M16,N16,O16,P16,Q16,R16,S16,T16,,U16)</f>
        <v>商业2064年6月26日、办公2074年6月26日、车库2074年6月26日、仓储2074年6月26日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c r="I18" s="1396"/>
      <c r="J18" s="2602"/>
      <c r="K18" s="2586"/>
      <c r="L18" s="2582"/>
      <c r="M18" s="2582"/>
      <c r="N18" s="2583"/>
      <c r="O18" s="2584"/>
      <c r="P18" s="2583"/>
      <c r="Q18" s="2583"/>
      <c r="R18" s="2583"/>
      <c r="S18" s="2583"/>
      <c r="T18" s="2583"/>
      <c r="U18" s="2583"/>
    </row>
    <row r="19" spans="1:21">
      <c r="A19" s="1463"/>
      <c r="B19" s="1377" t="s">
        <v>1475</v>
      </c>
      <c r="C19" s="1458">
        <f>IF(A17="出让",IF(C17="","",ROUNDDOWN(MIN((C17-$D$3)/365,C18),2)),C18)</f>
        <v>69.84</v>
      </c>
      <c r="D19" s="1458">
        <f>IF(A17="出让",IF(D17="","",ROUNDDOWN(MIN((D17-$D$3)/365,D18),2)),D18)</f>
        <v>39.83</v>
      </c>
      <c r="E19" s="1397">
        <f>IF(A17="出让",IF(E17="","",ROUNDDOWN(MIN((E17-$D$3)/365,E18),2)),E18)</f>
        <v>49.83</v>
      </c>
      <c r="F19" s="1397">
        <f>IF(A17="出让",IF(F17="","",ROUNDDOWN(MIN((F17-$D$3)/365,F18),2)),F18)</f>
        <v>49.83</v>
      </c>
      <c r="G19" s="1397">
        <f>IF(A17="出让",IF(G17="","",ROUNDDOWN(MIN((G17-$D$3)/365,G18),2)),G18)</f>
        <v>49.83</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476"/>
      <c r="E20" s="3477"/>
      <c r="F20" s="3477"/>
      <c r="G20" s="3477"/>
      <c r="H20" s="3477"/>
      <c r="I20" s="3478"/>
      <c r="J20" s="2602"/>
      <c r="K20" s="2586"/>
      <c r="L20" s="2582"/>
      <c r="M20" s="2582"/>
      <c r="N20" s="2583"/>
      <c r="O20" s="2584"/>
      <c r="P20" s="2583"/>
      <c r="Q20" s="2583"/>
      <c r="R20" s="2583"/>
      <c r="S20" s="2583"/>
      <c r="T20" s="2583"/>
      <c r="U20" s="2583"/>
    </row>
    <row r="21" spans="1:21">
      <c r="A21" s="1463" t="s">
        <v>1476</v>
      </c>
      <c r="B21" s="1464" t="s">
        <v>1477</v>
      </c>
      <c r="C21" s="1459">
        <f>'数据-汇总表'!E3</f>
        <v>46690.582000000002</v>
      </c>
      <c r="D21" s="1460" t="s">
        <v>1478</v>
      </c>
      <c r="E21" s="3466" t="s">
        <v>1516</v>
      </c>
      <c r="F21" s="3467"/>
      <c r="G21" s="3467"/>
      <c r="H21" s="3467"/>
      <c r="I21" s="3468"/>
      <c r="J21" s="2602"/>
      <c r="K21" s="2586"/>
      <c r="L21" s="2582"/>
      <c r="M21" s="2582"/>
      <c r="N21" s="2583"/>
      <c r="O21" s="2584"/>
      <c r="P21" s="2583"/>
      <c r="Q21" s="2583"/>
      <c r="R21" s="2583"/>
      <c r="S21" s="2583"/>
      <c r="T21" s="2583"/>
      <c r="U21" s="2583"/>
    </row>
    <row r="22" spans="1:21">
      <c r="A22" s="2365" t="s">
        <v>877</v>
      </c>
      <c r="B22" s="1378" t="s">
        <v>1479</v>
      </c>
      <c r="C22" s="1398">
        <f>'数据-汇总表'!D3</f>
        <v>20362.47</v>
      </c>
      <c r="D22" s="1399" t="s">
        <v>1478</v>
      </c>
      <c r="E22" s="3466" t="s">
        <v>2163</v>
      </c>
      <c r="F22" s="3467"/>
      <c r="G22" s="3467"/>
      <c r="H22" s="3467"/>
      <c r="I22" s="3468"/>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69" t="s">
        <v>1484</v>
      </c>
      <c r="C24" s="3470"/>
      <c r="D24" s="3471" t="s">
        <v>1485</v>
      </c>
      <c r="E24" s="3472"/>
      <c r="F24" s="1414" t="s">
        <v>1486</v>
      </c>
      <c r="G24" s="2602"/>
      <c r="H24" s="2602"/>
      <c r="I24" s="2603"/>
      <c r="J24" s="2602"/>
      <c r="K24" s="3457"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457"/>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457"/>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443" t="s">
        <v>1519</v>
      </c>
      <c r="B31" s="1464" t="s">
        <v>1520</v>
      </c>
      <c r="C31" s="3482"/>
      <c r="D31" s="3483"/>
      <c r="E31" s="2602"/>
      <c r="F31" s="2602"/>
      <c r="G31" s="2602"/>
      <c r="H31" s="2602"/>
      <c r="I31" s="2603"/>
      <c r="J31" s="2602"/>
      <c r="K31" s="2589"/>
      <c r="L31" s="2583"/>
      <c r="M31" s="2583"/>
      <c r="N31" s="2583"/>
      <c r="O31" s="2583"/>
      <c r="P31" s="2583"/>
      <c r="Q31" s="2583"/>
      <c r="R31" s="2583"/>
      <c r="S31" s="2583"/>
      <c r="T31" s="2583"/>
      <c r="U31" s="2583"/>
    </row>
    <row r="32" spans="1:21">
      <c r="A32" s="3443"/>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43"/>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44"/>
      <c r="B34" s="1378" t="s">
        <v>1523</v>
      </c>
      <c r="C34" s="3445"/>
      <c r="D34" s="3446"/>
      <c r="E34" s="2602"/>
      <c r="F34" s="2602"/>
      <c r="G34" s="2602"/>
      <c r="H34" s="2602"/>
      <c r="I34" s="2603"/>
      <c r="J34" s="2602"/>
      <c r="K34" s="2589"/>
      <c r="L34" s="2583"/>
      <c r="M34" s="2583"/>
      <c r="N34" s="2583"/>
      <c r="O34" s="2583"/>
      <c r="P34" s="2583"/>
      <c r="Q34" s="2583"/>
      <c r="R34" s="2583"/>
      <c r="S34" s="2583"/>
      <c r="T34" s="2583"/>
      <c r="U34" s="2583"/>
    </row>
    <row r="35" spans="1:28">
      <c r="A35" s="3447" t="s">
        <v>785</v>
      </c>
      <c r="B35" s="1428"/>
      <c r="C35" s="1472" t="str">
        <f>IF(B35="场地平整","——","具体情况：")</f>
        <v>具体情况：</v>
      </c>
      <c r="D35" s="3449"/>
      <c r="E35" s="3450"/>
      <c r="F35" s="3450"/>
      <c r="G35" s="3450"/>
      <c r="H35" s="3450"/>
      <c r="I35" s="3451"/>
      <c r="J35" s="2602"/>
      <c r="K35" s="2590"/>
      <c r="L35" s="2582"/>
      <c r="M35" s="2582"/>
      <c r="N35" s="2583"/>
      <c r="O35" s="2584"/>
      <c r="P35" s="2583"/>
      <c r="Q35" s="2583"/>
      <c r="R35" s="2583"/>
      <c r="S35" s="2583"/>
      <c r="T35" s="2583"/>
      <c r="U35" s="2583"/>
    </row>
    <row r="36" spans="1:28">
      <c r="A36" s="3443"/>
      <c r="B36" s="3452" t="s">
        <v>1572</v>
      </c>
      <c r="C36" s="3453"/>
      <c r="D36" s="1487"/>
      <c r="E36" s="3454"/>
      <c r="F36" s="3454"/>
      <c r="G36" s="1399" t="str">
        <f>IF(B35="场地未平整","估价结果处理","")</f>
        <v/>
      </c>
      <c r="H36" s="3455"/>
      <c r="I36" s="3455"/>
      <c r="J36" s="2602"/>
      <c r="K36" s="2590"/>
      <c r="L36" s="2582"/>
      <c r="M36" s="2582"/>
      <c r="N36" s="2583"/>
      <c r="O36" s="2584"/>
      <c r="P36" s="2583"/>
      <c r="Q36" s="2583"/>
      <c r="R36" s="2583"/>
      <c r="S36" s="2583"/>
      <c r="T36" s="2583"/>
      <c r="U36" s="2583"/>
    </row>
    <row r="37" spans="1:28" ht="28.5">
      <c r="A37" s="3443"/>
      <c r="B37" s="3473"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43"/>
      <c r="B38" s="3474"/>
      <c r="C38" s="1386" t="s">
        <v>788</v>
      </c>
      <c r="D38" s="1486">
        <f>ROUNDDOWN(MIN(('数据-取费表'!$B$2-D37)/365,D34),1)</f>
        <v>124.7</v>
      </c>
      <c r="E38" s="1433" t="s">
        <v>789</v>
      </c>
      <c r="F38" s="2602"/>
      <c r="G38" s="2602"/>
      <c r="H38" s="2602"/>
      <c r="I38" s="2603"/>
      <c r="J38" s="2602"/>
      <c r="K38" s="2590"/>
      <c r="L38" s="2583"/>
      <c r="M38" s="2583"/>
      <c r="N38" s="2583"/>
      <c r="O38" s="2583"/>
      <c r="P38" s="2583"/>
      <c r="Q38" s="2583"/>
      <c r="R38" s="2583"/>
      <c r="S38" s="2583"/>
      <c r="T38" s="2583"/>
      <c r="U38" s="2583"/>
    </row>
    <row r="39" spans="1:28">
      <c r="A39" s="3444"/>
      <c r="B39" s="3475"/>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456" t="s">
        <v>1503</v>
      </c>
      <c r="T40" s="1407" t="str">
        <f>NUMBERSTRING(7-K40,1)&amp;"通"</f>
        <v>七通</v>
      </c>
      <c r="U40" s="2583"/>
    </row>
    <row r="41" spans="1:28">
      <c r="A41" s="1380"/>
      <c r="B41" s="3448" t="s">
        <v>1250</v>
      </c>
      <c r="C41" s="3448"/>
      <c r="D41" s="3448"/>
      <c r="E41" s="3448"/>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6"/>
      <c r="T41" s="1438" t="str">
        <f>IF(T40="一通",L41,IF(T40="二通",M41,IF(T40="三通",N41,IF(T40="四通",O41,IF(T40="五通",P41,IF(T40="六通",Q41,R41))))))</f>
        <v>、、、、、、</v>
      </c>
      <c r="U41" s="2583"/>
    </row>
    <row r="42" spans="1:28">
      <c r="A42" s="1440"/>
      <c r="B42" s="1466" t="s">
        <v>1422</v>
      </c>
      <c r="C42" s="1466" t="s">
        <v>1423</v>
      </c>
      <c r="D42" s="1466" t="s">
        <v>1424</v>
      </c>
      <c r="E42" s="1466" t="s">
        <v>2738</v>
      </c>
      <c r="F42" s="1466" t="s">
        <v>2739</v>
      </c>
      <c r="G42" s="2602"/>
      <c r="H42" s="2602"/>
      <c r="I42" s="2603"/>
      <c r="J42" s="2602"/>
      <c r="K42" s="2586"/>
      <c r="L42" s="2582"/>
      <c r="M42" s="2582"/>
      <c r="N42" s="2583"/>
      <c r="O42" s="2584"/>
      <c r="P42" s="2583"/>
      <c r="Q42" s="2583"/>
      <c r="R42" s="2583"/>
      <c r="S42" s="2583"/>
      <c r="T42" s="2583"/>
      <c r="U42" s="2583"/>
    </row>
    <row r="43" spans="1:28">
      <c r="A43" s="2558" t="s">
        <v>1235</v>
      </c>
      <c r="B43" s="1442" t="s">
        <v>1154</v>
      </c>
      <c r="C43" s="1442" t="s">
        <v>1154</v>
      </c>
      <c r="D43" s="1442" t="s">
        <v>1154</v>
      </c>
      <c r="E43" s="1442"/>
      <c r="F43" s="1442" t="s">
        <v>1154</v>
      </c>
      <c r="G43" s="2602"/>
      <c r="H43" s="2602"/>
      <c r="I43" s="2603"/>
      <c r="J43" s="2602"/>
      <c r="K43" s="2586"/>
      <c r="L43" s="2582"/>
      <c r="M43" s="2582"/>
      <c r="N43" s="2583"/>
      <c r="O43" s="2584"/>
      <c r="P43" s="2583"/>
      <c r="Q43" s="2583"/>
      <c r="R43" s="2583"/>
      <c r="S43" s="2583"/>
      <c r="T43" s="2583"/>
      <c r="U43" s="2583"/>
    </row>
    <row r="44" spans="1:28">
      <c r="A44" s="2558" t="s">
        <v>1236</v>
      </c>
      <c r="B44" s="1442"/>
      <c r="C44" s="1442"/>
      <c r="D44" s="1442"/>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2164</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40"/>
  <sheetViews>
    <sheetView topLeftCell="A10" workbookViewId="0">
      <selection activeCell="I16" sqref="I16"/>
    </sheetView>
  </sheetViews>
  <sheetFormatPr defaultColWidth="9" defaultRowHeight="13.5"/>
  <cols>
    <col min="1" max="1" width="10.5" style="3388" bestFit="1" customWidth="1"/>
    <col min="2" max="2" width="11.5" style="3388" customWidth="1"/>
    <col min="3" max="3" width="11.625" style="3388" bestFit="1" customWidth="1"/>
    <col min="4" max="4" width="9" style="3388"/>
    <col min="5" max="5" width="12.5" style="3388" customWidth="1"/>
    <col min="6" max="16384" width="9" style="3388"/>
  </cols>
  <sheetData>
    <row r="1" spans="1:5">
      <c r="A1" s="3394" t="s">
        <v>3348</v>
      </c>
      <c r="B1" s="3388" t="s">
        <v>3311</v>
      </c>
      <c r="C1" s="3388" t="s">
        <v>3341</v>
      </c>
    </row>
    <row r="2" spans="1:5">
      <c r="A2" s="3395">
        <v>45470</v>
      </c>
      <c r="B2" s="3388" t="s">
        <v>3312</v>
      </c>
      <c r="C2" s="3388" t="s">
        <v>3342</v>
      </c>
    </row>
    <row r="3" spans="1:5">
      <c r="B3" s="3388" t="s">
        <v>2207</v>
      </c>
      <c r="C3" s="3388">
        <v>46136.84</v>
      </c>
      <c r="D3" s="3388" t="s">
        <v>3343</v>
      </c>
    </row>
    <row r="4" spans="1:5">
      <c r="B4" s="3388" t="s">
        <v>3313</v>
      </c>
      <c r="C4" s="3388" t="s">
        <v>3314</v>
      </c>
    </row>
    <row r="5" spans="1:5">
      <c r="B5" s="3388" t="s">
        <v>3315</v>
      </c>
      <c r="C5" s="3388">
        <v>119000</v>
      </c>
    </row>
    <row r="6" spans="1:5">
      <c r="B6" s="3388" t="s">
        <v>3316</v>
      </c>
      <c r="C6" s="3388">
        <v>15626</v>
      </c>
    </row>
    <row r="7" spans="1:5">
      <c r="B7" s="3388" t="s">
        <v>3317</v>
      </c>
    </row>
    <row r="10" spans="1:5" s="3392" customFormat="1">
      <c r="B10" s="3391" t="s">
        <v>3345</v>
      </c>
      <c r="C10" s="3392" t="s">
        <v>3318</v>
      </c>
      <c r="D10" s="3392">
        <v>20362.47</v>
      </c>
      <c r="E10" s="3392">
        <v>1.6</v>
      </c>
    </row>
    <row r="11" spans="1:5">
      <c r="B11" s="3393" t="s">
        <v>3344</v>
      </c>
      <c r="C11" s="3388" t="s">
        <v>3319</v>
      </c>
      <c r="D11" s="3388">
        <v>4000</v>
      </c>
      <c r="E11" s="3388">
        <v>0.8</v>
      </c>
    </row>
    <row r="12" spans="1:5" s="3392" customFormat="1">
      <c r="B12" s="3391" t="s">
        <v>3346</v>
      </c>
      <c r="C12" s="3392" t="s">
        <v>3318</v>
      </c>
      <c r="D12" s="3392">
        <v>25774.37</v>
      </c>
      <c r="E12" s="3392">
        <v>1.6</v>
      </c>
    </row>
    <row r="13" spans="1:5">
      <c r="B13" s="3393"/>
      <c r="D13" s="3388">
        <f>SUM(D10:D12)</f>
        <v>50136.84</v>
      </c>
      <c r="E13" s="3388">
        <f>D13-D11</f>
        <v>46136.84</v>
      </c>
    </row>
    <row r="15" spans="1:5">
      <c r="B15" s="3393" t="s">
        <v>3347</v>
      </c>
    </row>
    <row r="16" spans="1:5">
      <c r="B16" s="3393" t="s">
        <v>3320</v>
      </c>
      <c r="C16" s="3388" t="s">
        <v>3321</v>
      </c>
      <c r="D16" s="3388" t="s">
        <v>3322</v>
      </c>
    </row>
    <row r="18" spans="1:5">
      <c r="A18" s="3395">
        <v>45482</v>
      </c>
      <c r="B18" s="3393" t="s">
        <v>3323</v>
      </c>
      <c r="C18" s="3388" t="s">
        <v>3543</v>
      </c>
    </row>
    <row r="21" spans="1:5">
      <c r="B21" s="3388" t="s">
        <v>3315</v>
      </c>
      <c r="C21" s="3388">
        <v>121380000</v>
      </c>
      <c r="E21" s="3484" t="s">
        <v>3324</v>
      </c>
    </row>
    <row r="22" spans="1:5">
      <c r="C22" s="3388">
        <v>116620000</v>
      </c>
      <c r="E22" s="3484"/>
    </row>
    <row r="23" spans="1:5">
      <c r="C23" s="3388">
        <v>485520000</v>
      </c>
      <c r="E23" s="3484"/>
    </row>
    <row r="24" spans="1:5">
      <c r="C24" s="3388">
        <v>466480000</v>
      </c>
      <c r="E24" s="3484"/>
    </row>
    <row r="25" spans="1:5">
      <c r="C25" s="3388">
        <f>C21+C22+C23+C24</f>
        <v>1190000000</v>
      </c>
      <c r="E25" s="3484"/>
    </row>
    <row r="26" spans="1:5">
      <c r="E26" s="3484"/>
    </row>
    <row r="27" spans="1:5">
      <c r="B27" s="3388" t="s">
        <v>3325</v>
      </c>
      <c r="C27" s="3388">
        <v>3570</v>
      </c>
      <c r="D27" s="3388">
        <f>C5*0.03</f>
        <v>3570</v>
      </c>
      <c r="E27" s="3484"/>
    </row>
    <row r="31" spans="1:5" s="3392" customFormat="1">
      <c r="B31" s="3392" t="s">
        <v>3326</v>
      </c>
      <c r="C31" s="3392">
        <v>875000</v>
      </c>
      <c r="D31" s="3392">
        <f>C5*0.0005/2</f>
        <v>29.75</v>
      </c>
      <c r="E31" s="3392" t="s">
        <v>3327</v>
      </c>
    </row>
    <row r="37" spans="2:7">
      <c r="B37" s="3388" t="s">
        <v>3328</v>
      </c>
    </row>
    <row r="38" spans="2:7">
      <c r="B38" s="3388" t="s">
        <v>3329</v>
      </c>
      <c r="C38" s="3388" t="s">
        <v>3265</v>
      </c>
      <c r="D38" s="3388" t="s">
        <v>3330</v>
      </c>
      <c r="E38" s="3388" t="s">
        <v>3331</v>
      </c>
      <c r="F38" s="3388">
        <v>20362.47</v>
      </c>
      <c r="G38" s="3388" t="s">
        <v>3332</v>
      </c>
    </row>
    <row r="39" spans="2:7">
      <c r="B39" s="3388" t="s">
        <v>3333</v>
      </c>
      <c r="C39" s="3388" t="s">
        <v>3334</v>
      </c>
      <c r="D39" s="3388" t="s">
        <v>3335</v>
      </c>
      <c r="E39" s="3388" t="s">
        <v>3331</v>
      </c>
      <c r="F39" s="3388">
        <v>25774.37</v>
      </c>
      <c r="G39" s="3388" t="s">
        <v>3332</v>
      </c>
    </row>
    <row r="40" spans="2:7">
      <c r="F40" s="3388">
        <f>SUM(F38:F39)</f>
        <v>46136.84</v>
      </c>
    </row>
  </sheetData>
  <mergeCells count="1">
    <mergeCell ref="E21:E27"/>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R44"/>
  <sheetViews>
    <sheetView zoomScale="85" zoomScaleNormal="85" workbookViewId="0">
      <selection activeCell="K46" sqref="K46"/>
    </sheetView>
  </sheetViews>
  <sheetFormatPr defaultColWidth="9" defaultRowHeight="13.5"/>
  <cols>
    <col min="1" max="1" width="9" style="3388"/>
    <col min="2" max="2" width="20.25" style="3388" customWidth="1"/>
    <col min="3" max="3" width="12" style="3388" customWidth="1"/>
    <col min="4" max="16384" width="9" style="3388"/>
  </cols>
  <sheetData>
    <row r="1" spans="1:18">
      <c r="B1" s="3388" t="s">
        <v>3265</v>
      </c>
      <c r="C1" s="3388" t="s">
        <v>3266</v>
      </c>
    </row>
    <row r="2" spans="1:18">
      <c r="A2" s="3485" t="s">
        <v>3267</v>
      </c>
      <c r="B2" s="3485" t="s">
        <v>3268</v>
      </c>
      <c r="C2" s="3485" t="s">
        <v>3269</v>
      </c>
      <c r="D2" s="3485" t="s">
        <v>3270</v>
      </c>
      <c r="E2" s="3485"/>
      <c r="F2" s="3485"/>
      <c r="G2" s="3485"/>
      <c r="H2" s="3485"/>
      <c r="I2" s="3485"/>
      <c r="J2" s="3485"/>
      <c r="K2" s="3389" t="s">
        <v>3271</v>
      </c>
      <c r="L2" s="3389"/>
      <c r="M2" s="3389"/>
      <c r="N2" s="3389"/>
      <c r="O2" s="3389"/>
      <c r="P2" s="3389"/>
      <c r="Q2" s="3389"/>
      <c r="R2" s="3389"/>
    </row>
    <row r="3" spans="1:18">
      <c r="A3" s="3485"/>
      <c r="B3" s="3485"/>
      <c r="C3" s="3485"/>
      <c r="D3" s="3389" t="s">
        <v>3272</v>
      </c>
      <c r="E3" s="3389" t="s">
        <v>2720</v>
      </c>
      <c r="F3" s="3389" t="s">
        <v>3273</v>
      </c>
      <c r="G3" s="3389" t="s">
        <v>3274</v>
      </c>
      <c r="H3" s="3389" t="s">
        <v>3275</v>
      </c>
      <c r="I3" s="3389" t="s">
        <v>3276</v>
      </c>
      <c r="J3" s="3389" t="s">
        <v>3277</v>
      </c>
      <c r="K3" s="3389" t="s">
        <v>3272</v>
      </c>
      <c r="L3" s="3389" t="s">
        <v>3278</v>
      </c>
      <c r="M3" s="3389" t="s">
        <v>3279</v>
      </c>
      <c r="N3" s="3389" t="s">
        <v>3273</v>
      </c>
      <c r="O3" s="3389" t="s">
        <v>3274</v>
      </c>
      <c r="P3" s="3389" t="s">
        <v>3275</v>
      </c>
      <c r="Q3" s="3389" t="s">
        <v>3276</v>
      </c>
      <c r="R3" s="3389" t="s">
        <v>3277</v>
      </c>
    </row>
    <row r="4" spans="1:18">
      <c r="A4" s="3389">
        <v>11</v>
      </c>
      <c r="B4" s="3389" t="s">
        <v>3280</v>
      </c>
      <c r="C4" s="3389">
        <f>D4+K4</f>
        <v>4338.33</v>
      </c>
      <c r="D4" s="3389">
        <f>SUM(E4:J4)</f>
        <v>3665.56</v>
      </c>
      <c r="E4" s="3389">
        <v>3665.56</v>
      </c>
      <c r="F4" s="3389"/>
      <c r="G4" s="3389"/>
      <c r="H4" s="3389"/>
      <c r="I4" s="3389"/>
      <c r="J4" s="3389"/>
      <c r="K4" s="3389">
        <f>SUM(L4:R4)</f>
        <v>672.77</v>
      </c>
      <c r="L4" s="3389"/>
      <c r="M4" s="3389"/>
      <c r="N4" s="3389"/>
      <c r="O4" s="3389"/>
      <c r="P4" s="3389">
        <v>369.57</v>
      </c>
      <c r="Q4" s="3389">
        <v>303.2</v>
      </c>
      <c r="R4" s="3389"/>
    </row>
    <row r="5" spans="1:18">
      <c r="A5" s="3389">
        <v>8</v>
      </c>
      <c r="B5" s="3389" t="s">
        <v>3281</v>
      </c>
      <c r="C5" s="3389">
        <f t="shared" ref="C5:C16" si="0">D5+K5</f>
        <v>2969.7799999999997</v>
      </c>
      <c r="D5" s="3389">
        <f t="shared" ref="D5:D16" si="1">SUM(E5:J5)</f>
        <v>2650.22</v>
      </c>
      <c r="E5" s="3389">
        <v>2650.22</v>
      </c>
      <c r="F5" s="3389"/>
      <c r="G5" s="3389"/>
      <c r="H5" s="3389"/>
      <c r="I5" s="3389"/>
      <c r="J5" s="3389"/>
      <c r="K5" s="3389">
        <f t="shared" ref="K5:K16" si="2">SUM(L5:R5)</f>
        <v>319.56</v>
      </c>
      <c r="L5" s="3389"/>
      <c r="M5" s="3389"/>
      <c r="N5" s="3389"/>
      <c r="O5" s="3389"/>
      <c r="P5" s="3389"/>
      <c r="Q5" s="3389">
        <v>319.56</v>
      </c>
      <c r="R5" s="3389"/>
    </row>
    <row r="6" spans="1:18">
      <c r="A6" s="3389">
        <v>8</v>
      </c>
      <c r="B6" s="3389" t="s">
        <v>3282</v>
      </c>
      <c r="C6" s="3389">
        <f t="shared" si="0"/>
        <v>3380.2799999999997</v>
      </c>
      <c r="D6" s="3389">
        <f t="shared" si="1"/>
        <v>2650.22</v>
      </c>
      <c r="E6" s="3389">
        <v>2650.22</v>
      </c>
      <c r="F6" s="3389"/>
      <c r="G6" s="3389"/>
      <c r="H6" s="3389"/>
      <c r="I6" s="3389"/>
      <c r="J6" s="3389"/>
      <c r="K6" s="3389">
        <f t="shared" si="2"/>
        <v>730.06</v>
      </c>
      <c r="L6" s="3389"/>
      <c r="M6" s="3389"/>
      <c r="N6" s="3389"/>
      <c r="O6" s="3389"/>
      <c r="P6" s="3389"/>
      <c r="Q6" s="3389">
        <v>730.06</v>
      </c>
      <c r="R6" s="3389"/>
    </row>
    <row r="7" spans="1:18">
      <c r="A7" s="3389">
        <v>8</v>
      </c>
      <c r="B7" s="3389" t="s">
        <v>3283</v>
      </c>
      <c r="C7" s="3389">
        <f t="shared" si="0"/>
        <v>3078.34</v>
      </c>
      <c r="D7" s="3389">
        <f t="shared" si="1"/>
        <v>2675.35</v>
      </c>
      <c r="E7" s="3389">
        <v>2664.74</v>
      </c>
      <c r="F7" s="3389"/>
      <c r="G7" s="3389"/>
      <c r="H7" s="3389"/>
      <c r="I7" s="3389"/>
      <c r="J7" s="3389">
        <v>10.61</v>
      </c>
      <c r="K7" s="3389">
        <f t="shared" si="2"/>
        <v>402.99</v>
      </c>
      <c r="L7" s="3389"/>
      <c r="M7" s="3389"/>
      <c r="N7" s="3389"/>
      <c r="O7" s="3389"/>
      <c r="P7" s="3389"/>
      <c r="Q7" s="3389">
        <v>402.99</v>
      </c>
      <c r="R7" s="3389"/>
    </row>
    <row r="8" spans="1:18">
      <c r="A8" s="3389">
        <v>11</v>
      </c>
      <c r="B8" s="3389" t="s">
        <v>3284</v>
      </c>
      <c r="C8" s="3389">
        <f t="shared" si="0"/>
        <v>6151.1419999999998</v>
      </c>
      <c r="D8" s="3389">
        <f t="shared" si="1"/>
        <v>5735.1419999999998</v>
      </c>
      <c r="E8" s="3389">
        <v>5687.0619999999999</v>
      </c>
      <c r="F8" s="3389"/>
      <c r="G8" s="3389"/>
      <c r="H8" s="3389"/>
      <c r="I8" s="3389">
        <v>48.08</v>
      </c>
      <c r="J8" s="3389"/>
      <c r="K8" s="3389">
        <f t="shared" si="2"/>
        <v>416</v>
      </c>
      <c r="L8" s="3389"/>
      <c r="M8" s="3389"/>
      <c r="N8" s="3389"/>
      <c r="O8" s="3389"/>
      <c r="P8" s="3389"/>
      <c r="Q8" s="3389">
        <v>416</v>
      </c>
      <c r="R8" s="3389"/>
    </row>
    <row r="9" spans="1:18">
      <c r="A9" s="3389">
        <v>9</v>
      </c>
      <c r="B9" s="3389" t="s">
        <v>3285</v>
      </c>
      <c r="C9" s="3389">
        <f t="shared" si="0"/>
        <v>2089.87</v>
      </c>
      <c r="D9" s="3389">
        <f t="shared" si="1"/>
        <v>1881.21</v>
      </c>
      <c r="E9" s="3389">
        <v>1881.21</v>
      </c>
      <c r="F9" s="3389"/>
      <c r="G9" s="3389"/>
      <c r="H9" s="3389"/>
      <c r="I9" s="3389"/>
      <c r="J9" s="3389"/>
      <c r="K9" s="3389">
        <f t="shared" si="2"/>
        <v>208.66</v>
      </c>
      <c r="L9" s="3389"/>
      <c r="M9" s="3389"/>
      <c r="N9" s="3389"/>
      <c r="O9" s="3389"/>
      <c r="P9" s="3389"/>
      <c r="Q9" s="3389">
        <v>208.66</v>
      </c>
      <c r="R9" s="3389"/>
    </row>
    <row r="10" spans="1:18">
      <c r="A10" s="3389">
        <v>9</v>
      </c>
      <c r="B10" s="3389" t="s">
        <v>3286</v>
      </c>
      <c r="C10" s="3389">
        <f t="shared" si="0"/>
        <v>2087.81</v>
      </c>
      <c r="D10" s="3389">
        <f t="shared" si="1"/>
        <v>1881.21</v>
      </c>
      <c r="E10" s="3389">
        <v>1881.21</v>
      </c>
      <c r="F10" s="3389"/>
      <c r="G10" s="3389"/>
      <c r="H10" s="3389"/>
      <c r="I10" s="3389"/>
      <c r="J10" s="3389"/>
      <c r="K10" s="3389">
        <f t="shared" si="2"/>
        <v>206.6</v>
      </c>
      <c r="L10" s="3389"/>
      <c r="M10" s="3389"/>
      <c r="N10" s="3389"/>
      <c r="O10" s="3389"/>
      <c r="P10" s="3389"/>
      <c r="Q10" s="3389">
        <v>206.6</v>
      </c>
      <c r="R10" s="3389"/>
    </row>
    <row r="11" spans="1:18">
      <c r="A11" s="3389">
        <v>9</v>
      </c>
      <c r="B11" s="3389" t="s">
        <v>3287</v>
      </c>
      <c r="C11" s="3389">
        <f t="shared" si="0"/>
        <v>2245.84</v>
      </c>
      <c r="D11" s="3389">
        <f t="shared" si="1"/>
        <v>1881.21</v>
      </c>
      <c r="E11" s="3389">
        <v>1881.21</v>
      </c>
      <c r="F11" s="3389"/>
      <c r="G11" s="3389"/>
      <c r="H11" s="3389"/>
      <c r="I11" s="3389"/>
      <c r="J11" s="3389"/>
      <c r="K11" s="3389">
        <f t="shared" si="2"/>
        <v>364.63</v>
      </c>
      <c r="L11" s="3389"/>
      <c r="M11" s="3389"/>
      <c r="N11" s="3389"/>
      <c r="O11" s="3389"/>
      <c r="P11" s="3389"/>
      <c r="Q11" s="3389">
        <v>364.63</v>
      </c>
      <c r="R11" s="3389"/>
    </row>
    <row r="12" spans="1:18">
      <c r="A12" s="3389">
        <v>11</v>
      </c>
      <c r="B12" s="3389" t="s">
        <v>3288</v>
      </c>
      <c r="C12" s="3389">
        <f t="shared" si="0"/>
        <v>4223.28</v>
      </c>
      <c r="D12" s="3389">
        <f t="shared" si="1"/>
        <v>3549.1</v>
      </c>
      <c r="E12" s="3389">
        <v>3549.1</v>
      </c>
      <c r="F12" s="3389"/>
      <c r="G12" s="3389"/>
      <c r="H12" s="3389"/>
      <c r="I12" s="3389"/>
      <c r="J12" s="3389"/>
      <c r="K12" s="3389">
        <f t="shared" si="2"/>
        <v>674.18000000000006</v>
      </c>
      <c r="L12" s="3389"/>
      <c r="M12" s="3389"/>
      <c r="N12" s="3389"/>
      <c r="O12" s="3389"/>
      <c r="P12" s="3389">
        <v>364.86</v>
      </c>
      <c r="Q12" s="3389">
        <v>309.32</v>
      </c>
      <c r="R12" s="3389"/>
    </row>
    <row r="13" spans="1:18">
      <c r="A13" s="3389">
        <v>11</v>
      </c>
      <c r="B13" s="3389" t="s">
        <v>3289</v>
      </c>
      <c r="C13" s="3389">
        <f t="shared" si="0"/>
        <v>3918.1899999999996</v>
      </c>
      <c r="D13" s="3389">
        <f t="shared" si="1"/>
        <v>3557.49</v>
      </c>
      <c r="E13" s="3389">
        <v>3557.49</v>
      </c>
      <c r="F13" s="3389"/>
      <c r="G13" s="3389"/>
      <c r="H13" s="3389"/>
      <c r="I13" s="3389"/>
      <c r="J13" s="3389"/>
      <c r="K13" s="3389">
        <f t="shared" si="2"/>
        <v>360.7</v>
      </c>
      <c r="L13" s="3389"/>
      <c r="M13" s="3389"/>
      <c r="N13" s="3389"/>
      <c r="O13" s="3389"/>
      <c r="P13" s="3389"/>
      <c r="Q13" s="3389">
        <v>360.7</v>
      </c>
      <c r="R13" s="3389"/>
    </row>
    <row r="14" spans="1:18">
      <c r="A14" s="3389">
        <v>7</v>
      </c>
      <c r="B14" s="3389" t="s">
        <v>3290</v>
      </c>
      <c r="C14" s="3389">
        <f t="shared" si="0"/>
        <v>2611.1099999999997</v>
      </c>
      <c r="D14" s="3389">
        <f t="shared" si="1"/>
        <v>2247.33</v>
      </c>
      <c r="E14" s="3389">
        <v>2247.33</v>
      </c>
      <c r="F14" s="3389"/>
      <c r="G14" s="3389"/>
      <c r="H14" s="3389"/>
      <c r="I14" s="3389"/>
      <c r="J14" s="3389"/>
      <c r="K14" s="3389">
        <f t="shared" si="2"/>
        <v>363.78</v>
      </c>
      <c r="L14" s="3389"/>
      <c r="M14" s="3389"/>
      <c r="N14" s="3389"/>
      <c r="O14" s="3389"/>
      <c r="P14" s="3389"/>
      <c r="Q14" s="3389">
        <v>363.78</v>
      </c>
      <c r="R14" s="3389"/>
    </row>
    <row r="15" spans="1:18">
      <c r="A15" s="3389">
        <v>1</v>
      </c>
      <c r="B15" s="3389" t="s">
        <v>3291</v>
      </c>
      <c r="C15" s="3389">
        <f t="shared" si="0"/>
        <v>180</v>
      </c>
      <c r="D15" s="3389">
        <f t="shared" si="1"/>
        <v>180</v>
      </c>
      <c r="E15" s="3389"/>
      <c r="F15" s="3389"/>
      <c r="G15" s="3389"/>
      <c r="H15" s="3389">
        <v>180</v>
      </c>
      <c r="I15" s="3389"/>
      <c r="J15" s="3389"/>
      <c r="K15" s="3389">
        <f t="shared" si="2"/>
        <v>0</v>
      </c>
      <c r="L15" s="3389"/>
      <c r="M15" s="3389"/>
      <c r="N15" s="3389"/>
      <c r="O15" s="3389"/>
      <c r="P15" s="3389"/>
      <c r="Q15" s="3389"/>
      <c r="R15" s="3389"/>
    </row>
    <row r="16" spans="1:18">
      <c r="A16" s="3389"/>
      <c r="B16" s="3389" t="s">
        <v>3292</v>
      </c>
      <c r="C16" s="3389">
        <f t="shared" si="0"/>
        <v>12735.57</v>
      </c>
      <c r="D16" s="3389">
        <f t="shared" si="1"/>
        <v>25.91</v>
      </c>
      <c r="E16" s="3389"/>
      <c r="F16" s="3389"/>
      <c r="G16" s="3389"/>
      <c r="H16" s="3389"/>
      <c r="I16" s="3389"/>
      <c r="J16" s="3389">
        <v>25.91</v>
      </c>
      <c r="K16" s="3389">
        <f t="shared" si="2"/>
        <v>12709.66</v>
      </c>
      <c r="L16" s="3389"/>
      <c r="M16" s="3389">
        <f>12293.66-R16</f>
        <v>9011.2199999999993</v>
      </c>
      <c r="N16" s="3389"/>
      <c r="O16" s="3389"/>
      <c r="P16" s="3389">
        <f>200+15+15+6+180</f>
        <v>416</v>
      </c>
      <c r="Q16" s="3389"/>
      <c r="R16" s="3389">
        <v>3282.44</v>
      </c>
    </row>
    <row r="17" spans="1:18">
      <c r="A17" s="3389"/>
      <c r="B17" s="3389" t="s">
        <v>3269</v>
      </c>
      <c r="C17" s="3389">
        <f t="shared" ref="C17:R17" si="3">SUM(C4:C16)</f>
        <v>50009.542000000001</v>
      </c>
      <c r="D17" s="3389">
        <f t="shared" si="3"/>
        <v>32579.951999999994</v>
      </c>
      <c r="E17" s="3389">
        <f t="shared" si="3"/>
        <v>32315.351999999999</v>
      </c>
      <c r="F17" s="3389">
        <f t="shared" si="3"/>
        <v>0</v>
      </c>
      <c r="G17" s="3389">
        <f t="shared" si="3"/>
        <v>0</v>
      </c>
      <c r="H17" s="3389">
        <f t="shared" si="3"/>
        <v>180</v>
      </c>
      <c r="I17" s="3389">
        <f t="shared" si="3"/>
        <v>48.08</v>
      </c>
      <c r="J17" s="3389">
        <f t="shared" si="3"/>
        <v>36.519999999999996</v>
      </c>
      <c r="K17" s="3389">
        <f t="shared" si="3"/>
        <v>17429.59</v>
      </c>
      <c r="L17" s="3389">
        <f t="shared" si="3"/>
        <v>0</v>
      </c>
      <c r="M17" s="3389">
        <f t="shared" si="3"/>
        <v>9011.2199999999993</v>
      </c>
      <c r="N17" s="3389">
        <f t="shared" si="3"/>
        <v>0</v>
      </c>
      <c r="O17" s="3389">
        <f t="shared" si="3"/>
        <v>0</v>
      </c>
      <c r="P17" s="3389">
        <f t="shared" si="3"/>
        <v>1150.43</v>
      </c>
      <c r="Q17" s="3389">
        <f t="shared" si="3"/>
        <v>3985.5</v>
      </c>
      <c r="R17" s="3389">
        <f t="shared" si="3"/>
        <v>3282.44</v>
      </c>
    </row>
    <row r="18" spans="1:18">
      <c r="B18" s="3390"/>
      <c r="L18" s="3388" t="s">
        <v>3293</v>
      </c>
      <c r="M18" s="3388">
        <v>452</v>
      </c>
    </row>
    <row r="19" spans="1:18">
      <c r="L19" s="3388" t="s">
        <v>3294</v>
      </c>
      <c r="M19" s="3388">
        <f>(M17+R17)/M18</f>
        <v>27.198362831858407</v>
      </c>
      <c r="Q19" s="3388">
        <f>3985.5-Q17</f>
        <v>0</v>
      </c>
      <c r="R19" s="3388">
        <f>R16+J16</f>
        <v>3308.35</v>
      </c>
    </row>
    <row r="21" spans="1:18">
      <c r="B21" s="3388" t="s">
        <v>3295</v>
      </c>
    </row>
    <row r="22" spans="1:18">
      <c r="A22" s="3485" t="s">
        <v>3267</v>
      </c>
      <c r="B22" s="3485" t="s">
        <v>3268</v>
      </c>
      <c r="C22" s="3485" t="s">
        <v>3269</v>
      </c>
      <c r="D22" s="3485" t="s">
        <v>3270</v>
      </c>
      <c r="E22" s="3485"/>
      <c r="F22" s="3485"/>
      <c r="G22" s="3485"/>
      <c r="H22" s="3485"/>
      <c r="I22" s="3485"/>
      <c r="J22" s="3485"/>
      <c r="K22" s="3389" t="s">
        <v>3271</v>
      </c>
      <c r="L22" s="3389"/>
      <c r="M22" s="3389"/>
      <c r="N22" s="3389"/>
      <c r="O22" s="3389"/>
      <c r="P22" s="3389"/>
      <c r="Q22" s="3389"/>
      <c r="R22" s="3389"/>
    </row>
    <row r="23" spans="1:18">
      <c r="A23" s="3485"/>
      <c r="B23" s="3485"/>
      <c r="C23" s="3485"/>
      <c r="D23" s="3389" t="s">
        <v>3272</v>
      </c>
      <c r="E23" s="3389" t="s">
        <v>2720</v>
      </c>
      <c r="F23" s="3389" t="s">
        <v>3273</v>
      </c>
      <c r="G23" s="3389" t="s">
        <v>3274</v>
      </c>
      <c r="H23" s="3389" t="s">
        <v>3275</v>
      </c>
      <c r="I23" s="3389" t="s">
        <v>3276</v>
      </c>
      <c r="J23" s="3389" t="s">
        <v>3277</v>
      </c>
      <c r="K23" s="3389" t="s">
        <v>3272</v>
      </c>
      <c r="L23" s="3389" t="s">
        <v>3278</v>
      </c>
      <c r="M23" s="3389" t="s">
        <v>3279</v>
      </c>
      <c r="N23" s="3389" t="s">
        <v>3273</v>
      </c>
      <c r="O23" s="3389" t="s">
        <v>3274</v>
      </c>
      <c r="P23" s="3389" t="s">
        <v>3275</v>
      </c>
      <c r="Q23" s="3389" t="s">
        <v>3276</v>
      </c>
      <c r="R23" s="3389" t="s">
        <v>3277</v>
      </c>
    </row>
    <row r="24" spans="1:18">
      <c r="A24" s="3389">
        <v>11</v>
      </c>
      <c r="B24" s="3389" t="s">
        <v>3296</v>
      </c>
      <c r="C24" s="3389">
        <f>D24+K24</f>
        <v>3809.7999999999997</v>
      </c>
      <c r="D24" s="3389">
        <f>SUM(E24:J24)</f>
        <v>3533.22</v>
      </c>
      <c r="E24" s="3389">
        <v>3533.22</v>
      </c>
      <c r="F24" s="3389"/>
      <c r="G24" s="3389"/>
      <c r="H24" s="3389"/>
      <c r="I24" s="3389"/>
      <c r="J24" s="3389"/>
      <c r="K24" s="3389">
        <f>SUM(L24:R24)</f>
        <v>276.58</v>
      </c>
      <c r="L24" s="3389"/>
      <c r="M24" s="3389"/>
      <c r="N24" s="3389"/>
      <c r="O24" s="3389"/>
      <c r="P24" s="3389"/>
      <c r="Q24" s="3389">
        <v>276.58</v>
      </c>
      <c r="R24" s="3389"/>
    </row>
    <row r="25" spans="1:18">
      <c r="A25" s="3389">
        <v>11</v>
      </c>
      <c r="B25" s="3389" t="s">
        <v>3297</v>
      </c>
      <c r="C25" s="3389">
        <f t="shared" ref="C25:C38" si="4">D25+K25</f>
        <v>3865.28</v>
      </c>
      <c r="D25" s="3389">
        <f t="shared" ref="D25:D38" si="5">SUM(E25:J25)</f>
        <v>3541.61</v>
      </c>
      <c r="E25" s="3389">
        <v>3541.61</v>
      </c>
      <c r="F25" s="3389"/>
      <c r="G25" s="3389"/>
      <c r="H25" s="3389"/>
      <c r="I25" s="3389"/>
      <c r="J25" s="3389"/>
      <c r="K25" s="3389">
        <f t="shared" ref="K25:K38" si="6">SUM(L25:R25)</f>
        <v>323.67</v>
      </c>
      <c r="L25" s="3389"/>
      <c r="M25" s="3389"/>
      <c r="N25" s="3389"/>
      <c r="O25" s="3389"/>
      <c r="P25" s="3389"/>
      <c r="Q25" s="3389">
        <v>323.67</v>
      </c>
      <c r="R25" s="3389"/>
    </row>
    <row r="26" spans="1:18">
      <c r="A26" s="3389">
        <v>9</v>
      </c>
      <c r="B26" s="3389" t="s">
        <v>3298</v>
      </c>
      <c r="C26" s="3389">
        <f t="shared" si="4"/>
        <v>3322.0499999999997</v>
      </c>
      <c r="D26" s="3389">
        <f t="shared" si="5"/>
        <v>2978.99</v>
      </c>
      <c r="E26" s="3389">
        <v>2978.99</v>
      </c>
      <c r="F26" s="3389"/>
      <c r="G26" s="3389"/>
      <c r="H26" s="3389"/>
      <c r="I26" s="3389"/>
      <c r="J26" s="3389"/>
      <c r="K26" s="3389">
        <f t="shared" si="6"/>
        <v>343.06</v>
      </c>
      <c r="L26" s="3389"/>
      <c r="M26" s="3389"/>
      <c r="N26" s="3389"/>
      <c r="O26" s="3389"/>
      <c r="P26" s="3389"/>
      <c r="Q26" s="3389">
        <v>343.06</v>
      </c>
      <c r="R26" s="3389"/>
    </row>
    <row r="27" spans="1:18">
      <c r="A27" s="3389">
        <v>8</v>
      </c>
      <c r="B27" s="3389" t="s">
        <v>3299</v>
      </c>
      <c r="C27" s="3389">
        <f t="shared" si="4"/>
        <v>3381.43</v>
      </c>
      <c r="D27" s="3389">
        <f t="shared" si="5"/>
        <v>2650.22</v>
      </c>
      <c r="E27" s="3389">
        <v>2650.22</v>
      </c>
      <c r="F27" s="3389"/>
      <c r="G27" s="3389"/>
      <c r="H27" s="3389"/>
      <c r="I27" s="3389"/>
      <c r="J27" s="3389"/>
      <c r="K27" s="3389">
        <f t="shared" si="6"/>
        <v>731.21</v>
      </c>
      <c r="L27" s="3389"/>
      <c r="M27" s="3389"/>
      <c r="N27" s="3389"/>
      <c r="O27" s="3389"/>
      <c r="P27" s="3389">
        <v>400.23</v>
      </c>
      <c r="Q27" s="3389">
        <v>330.98</v>
      </c>
      <c r="R27" s="3389"/>
    </row>
    <row r="28" spans="1:18">
      <c r="A28" s="3389">
        <v>11</v>
      </c>
      <c r="B28" s="3389" t="s">
        <v>3300</v>
      </c>
      <c r="C28" s="3389">
        <f t="shared" si="4"/>
        <v>6013.9920000000002</v>
      </c>
      <c r="D28" s="3389">
        <f t="shared" si="5"/>
        <v>5696.9719999999998</v>
      </c>
      <c r="E28" s="3389">
        <v>5648.8919999999998</v>
      </c>
      <c r="F28" s="3389"/>
      <c r="G28" s="3389"/>
      <c r="H28" s="3389"/>
      <c r="I28" s="3389">
        <v>48.08</v>
      </c>
      <c r="J28" s="3389"/>
      <c r="K28" s="3389">
        <f t="shared" si="6"/>
        <v>317.02</v>
      </c>
      <c r="L28" s="3389"/>
      <c r="M28" s="3389"/>
      <c r="N28" s="3389"/>
      <c r="O28" s="3389"/>
      <c r="P28" s="3389"/>
      <c r="Q28" s="3389">
        <v>317.02</v>
      </c>
      <c r="R28" s="3389"/>
    </row>
    <row r="29" spans="1:18">
      <c r="A29" s="3389">
        <v>9</v>
      </c>
      <c r="B29" s="3389" t="s">
        <v>3301</v>
      </c>
      <c r="C29" s="3389">
        <f t="shared" si="4"/>
        <v>2057.4900000000002</v>
      </c>
      <c r="D29" s="3389">
        <f t="shared" si="5"/>
        <v>1881.21</v>
      </c>
      <c r="E29" s="3389">
        <v>1881.21</v>
      </c>
      <c r="F29" s="3389"/>
      <c r="G29" s="3389"/>
      <c r="H29" s="3389"/>
      <c r="I29" s="3389"/>
      <c r="J29" s="3389"/>
      <c r="K29" s="3389">
        <f t="shared" si="6"/>
        <v>176.28</v>
      </c>
      <c r="L29" s="3389"/>
      <c r="M29" s="3389"/>
      <c r="N29" s="3389"/>
      <c r="O29" s="3389"/>
      <c r="P29" s="3389"/>
      <c r="Q29" s="3389">
        <v>176.28</v>
      </c>
      <c r="R29" s="3389"/>
    </row>
    <row r="30" spans="1:18">
      <c r="A30" s="3389">
        <v>9</v>
      </c>
      <c r="B30" s="3389" t="s">
        <v>3302</v>
      </c>
      <c r="C30" s="3389">
        <f t="shared" si="4"/>
        <v>2068.96</v>
      </c>
      <c r="D30" s="3389">
        <f t="shared" si="5"/>
        <v>1881.21</v>
      </c>
      <c r="E30" s="3389">
        <v>1881.21</v>
      </c>
      <c r="F30" s="3389"/>
      <c r="G30" s="3389"/>
      <c r="H30" s="3389"/>
      <c r="I30" s="3389"/>
      <c r="J30" s="3389"/>
      <c r="K30" s="3389">
        <f t="shared" si="6"/>
        <v>187.75</v>
      </c>
      <c r="L30" s="3389"/>
      <c r="M30" s="3389"/>
      <c r="N30" s="3389"/>
      <c r="O30" s="3389"/>
      <c r="P30" s="3389"/>
      <c r="Q30" s="3389">
        <v>187.75</v>
      </c>
      <c r="R30" s="3389"/>
    </row>
    <row r="31" spans="1:18">
      <c r="A31" s="3389">
        <v>9</v>
      </c>
      <c r="B31" s="3389" t="s">
        <v>3303</v>
      </c>
      <c r="C31" s="3389">
        <f t="shared" si="4"/>
        <v>5089.21</v>
      </c>
      <c r="D31" s="3389">
        <f t="shared" si="5"/>
        <v>4611.6000000000004</v>
      </c>
      <c r="E31" s="3389">
        <v>4611.6000000000004</v>
      </c>
      <c r="F31" s="3389"/>
      <c r="G31" s="3389"/>
      <c r="H31" s="3389"/>
      <c r="I31" s="3389"/>
      <c r="J31" s="3389"/>
      <c r="K31" s="3389">
        <f t="shared" si="6"/>
        <v>477.61</v>
      </c>
      <c r="L31" s="3389"/>
      <c r="M31" s="3389"/>
      <c r="N31" s="3389"/>
      <c r="O31" s="3389"/>
      <c r="P31" s="3389"/>
      <c r="Q31" s="3389">
        <v>477.61</v>
      </c>
      <c r="R31" s="3389"/>
    </row>
    <row r="32" spans="1:18">
      <c r="A32" s="3389">
        <v>11</v>
      </c>
      <c r="B32" s="3389" t="s">
        <v>3304</v>
      </c>
      <c r="C32" s="3389">
        <f t="shared" si="4"/>
        <v>3739.24</v>
      </c>
      <c r="D32" s="3389">
        <f t="shared" si="5"/>
        <v>3533.22</v>
      </c>
      <c r="E32" s="3389">
        <v>3533.22</v>
      </c>
      <c r="F32" s="3389"/>
      <c r="G32" s="3389"/>
      <c r="H32" s="3389"/>
      <c r="I32" s="3389"/>
      <c r="J32" s="3389"/>
      <c r="K32" s="3389">
        <f t="shared" si="6"/>
        <v>206.02</v>
      </c>
      <c r="L32" s="3389"/>
      <c r="M32" s="3389"/>
      <c r="N32" s="3389"/>
      <c r="O32" s="3389"/>
      <c r="P32" s="3389"/>
      <c r="Q32" s="3389">
        <v>206.02</v>
      </c>
      <c r="R32" s="3389"/>
    </row>
    <row r="33" spans="1:18">
      <c r="A33" s="3389">
        <v>11</v>
      </c>
      <c r="B33" s="3389" t="s">
        <v>3305</v>
      </c>
      <c r="C33" s="3389">
        <f t="shared" si="4"/>
        <v>3855.7200000000003</v>
      </c>
      <c r="D33" s="3389">
        <f t="shared" si="5"/>
        <v>3541.61</v>
      </c>
      <c r="E33" s="3389">
        <v>3541.61</v>
      </c>
      <c r="F33" s="3389"/>
      <c r="G33" s="3389"/>
      <c r="H33" s="3389"/>
      <c r="I33" s="3389"/>
      <c r="J33" s="3389"/>
      <c r="K33" s="3389">
        <f t="shared" si="6"/>
        <v>314.11</v>
      </c>
      <c r="L33" s="3389"/>
      <c r="M33" s="3389"/>
      <c r="N33" s="3389"/>
      <c r="O33" s="3389"/>
      <c r="P33" s="3389"/>
      <c r="Q33" s="3389">
        <v>314.11</v>
      </c>
      <c r="R33" s="3389"/>
    </row>
    <row r="34" spans="1:18">
      <c r="A34" s="3389">
        <v>11</v>
      </c>
      <c r="B34" s="3389" t="s">
        <v>3306</v>
      </c>
      <c r="C34" s="3389">
        <f t="shared" si="4"/>
        <v>3903.15</v>
      </c>
      <c r="D34" s="3389">
        <f t="shared" si="5"/>
        <v>3541.61</v>
      </c>
      <c r="E34" s="3389">
        <v>3541.61</v>
      </c>
      <c r="F34" s="3389"/>
      <c r="G34" s="3389"/>
      <c r="H34" s="3389"/>
      <c r="I34" s="3389"/>
      <c r="J34" s="3389"/>
      <c r="K34" s="3389">
        <f t="shared" si="6"/>
        <v>361.54</v>
      </c>
      <c r="L34" s="3389"/>
      <c r="M34" s="3389"/>
      <c r="N34" s="3389"/>
      <c r="O34" s="3389"/>
      <c r="P34" s="3389"/>
      <c r="Q34" s="3389">
        <v>361.54</v>
      </c>
      <c r="R34" s="3389"/>
    </row>
    <row r="35" spans="1:18">
      <c r="A35" s="3389">
        <v>11</v>
      </c>
      <c r="B35" s="3389" t="s">
        <v>3307</v>
      </c>
      <c r="C35" s="3389">
        <f t="shared" si="4"/>
        <v>4259.26</v>
      </c>
      <c r="D35" s="3389">
        <f t="shared" si="5"/>
        <v>3541.61</v>
      </c>
      <c r="E35" s="3389">
        <v>3541.61</v>
      </c>
      <c r="F35" s="3389"/>
      <c r="G35" s="3389"/>
      <c r="H35" s="3389"/>
      <c r="I35" s="3389"/>
      <c r="J35" s="3389"/>
      <c r="K35" s="3389">
        <f t="shared" si="6"/>
        <v>717.65000000000009</v>
      </c>
      <c r="L35" s="3389"/>
      <c r="M35" s="3389"/>
      <c r="N35" s="3389"/>
      <c r="O35" s="3389"/>
      <c r="P35" s="3389">
        <v>380.68</v>
      </c>
      <c r="Q35" s="3389">
        <v>336.97</v>
      </c>
      <c r="R35" s="3389"/>
    </row>
    <row r="36" spans="1:18">
      <c r="A36" s="3389">
        <v>1</v>
      </c>
      <c r="B36" s="3389" t="s">
        <v>3308</v>
      </c>
      <c r="C36" s="3389">
        <f t="shared" si="4"/>
        <v>1633</v>
      </c>
      <c r="D36" s="3389">
        <f t="shared" si="5"/>
        <v>100</v>
      </c>
      <c r="E36" s="3389"/>
      <c r="F36" s="3389"/>
      <c r="G36" s="3389">
        <v>100</v>
      </c>
      <c r="H36" s="3389"/>
      <c r="I36" s="3389"/>
      <c r="J36" s="3389"/>
      <c r="K36" s="3389">
        <f t="shared" si="6"/>
        <v>1533</v>
      </c>
      <c r="L36" s="3389"/>
      <c r="M36" s="3389"/>
      <c r="N36" s="3389">
        <f>22+1143+106</f>
        <v>1271</v>
      </c>
      <c r="O36" s="3389">
        <v>50</v>
      </c>
      <c r="P36" s="3389">
        <v>212</v>
      </c>
      <c r="Q36" s="3389"/>
      <c r="R36" s="3389"/>
    </row>
    <row r="37" spans="1:18">
      <c r="A37" s="3389">
        <v>1</v>
      </c>
      <c r="B37" s="3389" t="s">
        <v>3309</v>
      </c>
      <c r="C37" s="3389">
        <f t="shared" si="4"/>
        <v>180</v>
      </c>
      <c r="D37" s="3389">
        <f t="shared" si="5"/>
        <v>180</v>
      </c>
      <c r="E37" s="3389"/>
      <c r="F37" s="3389"/>
      <c r="G37" s="3389"/>
      <c r="H37" s="3389">
        <v>180</v>
      </c>
      <c r="I37" s="3389"/>
      <c r="J37" s="3389"/>
      <c r="K37" s="3389">
        <f t="shared" si="6"/>
        <v>0</v>
      </c>
      <c r="L37" s="3389"/>
      <c r="M37" s="3389"/>
      <c r="N37" s="3389"/>
      <c r="O37" s="3389"/>
      <c r="P37" s="3389"/>
      <c r="Q37" s="3389"/>
      <c r="R37" s="3389"/>
    </row>
    <row r="38" spans="1:18">
      <c r="A38" s="3389"/>
      <c r="B38" s="3389" t="s">
        <v>3310</v>
      </c>
      <c r="C38" s="3389">
        <f t="shared" si="4"/>
        <v>15457.02</v>
      </c>
      <c r="D38" s="3389">
        <f t="shared" si="5"/>
        <v>25.91</v>
      </c>
      <c r="E38" s="3389"/>
      <c r="F38" s="3389"/>
      <c r="G38" s="3389"/>
      <c r="H38" s="3389"/>
      <c r="I38" s="3389"/>
      <c r="J38" s="3389">
        <v>25.91</v>
      </c>
      <c r="K38" s="3389">
        <f t="shared" si="6"/>
        <v>15431.11</v>
      </c>
      <c r="L38" s="3389"/>
      <c r="M38" s="3389">
        <f>14995.11-R38</f>
        <v>11302.1</v>
      </c>
      <c r="N38" s="3389"/>
      <c r="O38" s="3389"/>
      <c r="P38" s="3389">
        <f>220+15+15+6+180</f>
        <v>436</v>
      </c>
      <c r="Q38" s="3389"/>
      <c r="R38" s="3389">
        <v>3693.01</v>
      </c>
    </row>
    <row r="39" spans="1:18">
      <c r="A39" s="3389"/>
      <c r="B39" s="3389" t="s">
        <v>3269</v>
      </c>
      <c r="C39" s="3389">
        <f>SUM(C24:C38)</f>
        <v>62635.601999999999</v>
      </c>
      <c r="D39" s="3389">
        <f t="shared" ref="D39:R39" si="7">SUM(D24:D38)</f>
        <v>41238.992000000006</v>
      </c>
      <c r="E39" s="3389">
        <f t="shared" si="7"/>
        <v>40885.002</v>
      </c>
      <c r="F39" s="3389">
        <f t="shared" si="7"/>
        <v>0</v>
      </c>
      <c r="G39" s="3389">
        <f t="shared" si="7"/>
        <v>100</v>
      </c>
      <c r="H39" s="3389">
        <f t="shared" si="7"/>
        <v>180</v>
      </c>
      <c r="I39" s="3389">
        <f t="shared" si="7"/>
        <v>48.08</v>
      </c>
      <c r="J39" s="3389">
        <f t="shared" si="7"/>
        <v>25.91</v>
      </c>
      <c r="K39" s="3389">
        <f t="shared" si="7"/>
        <v>21396.61</v>
      </c>
      <c r="L39" s="3389">
        <f t="shared" si="7"/>
        <v>0</v>
      </c>
      <c r="M39" s="3389">
        <f t="shared" si="7"/>
        <v>11302.1</v>
      </c>
      <c r="N39" s="3389">
        <f t="shared" si="7"/>
        <v>1271</v>
      </c>
      <c r="O39" s="3389">
        <f t="shared" si="7"/>
        <v>50</v>
      </c>
      <c r="P39" s="3389">
        <f t="shared" si="7"/>
        <v>1428.91</v>
      </c>
      <c r="Q39" s="3389">
        <f t="shared" si="7"/>
        <v>3651.59</v>
      </c>
      <c r="R39" s="3389">
        <f t="shared" si="7"/>
        <v>3693.01</v>
      </c>
    </row>
    <row r="40" spans="1:18">
      <c r="L40" s="3388" t="s">
        <v>3293</v>
      </c>
      <c r="M40" s="3388">
        <v>599</v>
      </c>
    </row>
    <row r="41" spans="1:18">
      <c r="C41" s="3388">
        <f>C17+C39</f>
        <v>112645.144</v>
      </c>
      <c r="L41" s="3388" t="s">
        <v>3294</v>
      </c>
      <c r="M41" s="3388">
        <f>(M39+R39)/M40</f>
        <v>25.033572621035059</v>
      </c>
    </row>
    <row r="44" spans="1:18">
      <c r="I44" s="3388">
        <f>M17+M39+N39+O39</f>
        <v>21634.32</v>
      </c>
    </row>
  </sheetData>
  <mergeCells count="8">
    <mergeCell ref="A2:A3"/>
    <mergeCell ref="B2:B3"/>
    <mergeCell ref="C2:C3"/>
    <mergeCell ref="D2:J2"/>
    <mergeCell ref="A22:A23"/>
    <mergeCell ref="B22:B23"/>
    <mergeCell ref="C22:C23"/>
    <mergeCell ref="D22:J22"/>
  </mergeCells>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E22" activePane="bottomRight" state="frozen"/>
      <selection pane="topRight" activeCell="E1" sqref="E1"/>
      <selection pane="bottomLeft" activeCell="A12" sqref="A12"/>
      <selection pane="bottomRight" activeCell="N12" sqref="N1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f>基本信息!F38</f>
        <v>20362.47</v>
      </c>
      <c r="B3" s="19">
        <f>IF(C3="否",G5-AT5,G5)</f>
        <v>46690.582000000002</v>
      </c>
      <c r="C3" s="20" t="s">
        <v>3353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50009.542000000001</v>
      </c>
      <c r="H5" s="23">
        <f t="shared" ref="H5:AT5" si="0">SUM(H13:H641)</f>
        <v>41326.572</v>
      </c>
      <c r="I5" s="23">
        <f t="shared" si="0"/>
        <v>32315.351999999999</v>
      </c>
      <c r="J5" s="23">
        <f t="shared" si="0"/>
        <v>0</v>
      </c>
      <c r="K5" s="23">
        <f t="shared" si="0"/>
        <v>0</v>
      </c>
      <c r="L5" s="23">
        <f t="shared" si="0"/>
        <v>0</v>
      </c>
      <c r="M5" s="23">
        <f t="shared" si="0"/>
        <v>9011.2199999999993</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5364.01</v>
      </c>
      <c r="AD5" s="23">
        <f t="shared" si="0"/>
        <v>180</v>
      </c>
      <c r="AE5" s="23">
        <f t="shared" si="0"/>
        <v>0</v>
      </c>
      <c r="AF5" s="23">
        <f t="shared" si="0"/>
        <v>1150.43</v>
      </c>
      <c r="AG5" s="23">
        <f t="shared" si="0"/>
        <v>0</v>
      </c>
      <c r="AH5" s="23">
        <f t="shared" si="0"/>
        <v>0</v>
      </c>
      <c r="AI5" s="23">
        <f t="shared" si="0"/>
        <v>0</v>
      </c>
      <c r="AJ5" s="23">
        <f t="shared" si="0"/>
        <v>0</v>
      </c>
      <c r="AK5" s="23">
        <f t="shared" si="0"/>
        <v>0</v>
      </c>
      <c r="AL5" s="23">
        <f t="shared" si="0"/>
        <v>48.08</v>
      </c>
      <c r="AM5" s="23">
        <f t="shared" si="0"/>
        <v>0</v>
      </c>
      <c r="AN5" s="23">
        <f t="shared" si="0"/>
        <v>3985.5</v>
      </c>
      <c r="AO5" s="23">
        <f t="shared" si="0"/>
        <v>0</v>
      </c>
      <c r="AP5" s="23">
        <f t="shared" si="0"/>
        <v>0</v>
      </c>
      <c r="AQ5" s="23">
        <f t="shared" si="0"/>
        <v>0</v>
      </c>
      <c r="AR5" s="23">
        <f t="shared" si="0"/>
        <v>0</v>
      </c>
      <c r="AS5" s="23">
        <f t="shared" si="0"/>
        <v>0</v>
      </c>
      <c r="AT5" s="23">
        <f t="shared" si="0"/>
        <v>3318.96</v>
      </c>
      <c r="AU5" s="903"/>
      <c r="AV5" s="22" t="s">
        <v>134</v>
      </c>
      <c r="AW5" s="904"/>
      <c r="AX5" s="904"/>
      <c r="AY5" s="24" t="s">
        <v>2</v>
      </c>
      <c r="AZ5" s="25">
        <f t="shared" ref="AZ5:BT5" si="1">SUM(AZ13:AZ641)</f>
        <v>46690.582000000002</v>
      </c>
      <c r="BA5" s="25">
        <f t="shared" si="1"/>
        <v>41326.572</v>
      </c>
      <c r="BB5" s="25">
        <f t="shared" si="1"/>
        <v>32315.351999999999</v>
      </c>
      <c r="BC5" s="25">
        <f t="shared" si="1"/>
        <v>0</v>
      </c>
      <c r="BD5" s="25">
        <f t="shared" si="1"/>
        <v>9011.2199999999993</v>
      </c>
      <c r="BE5" s="25">
        <f t="shared" si="1"/>
        <v>0</v>
      </c>
      <c r="BF5" s="25">
        <f t="shared" si="1"/>
        <v>0</v>
      </c>
      <c r="BG5" s="25">
        <f t="shared" si="1"/>
        <v>0</v>
      </c>
      <c r="BH5" s="25">
        <f t="shared" si="1"/>
        <v>0</v>
      </c>
      <c r="BI5" s="25">
        <f t="shared" si="1"/>
        <v>0</v>
      </c>
      <c r="BJ5" s="25">
        <f t="shared" si="1"/>
        <v>0</v>
      </c>
      <c r="BK5" s="25">
        <f t="shared" si="1"/>
        <v>0</v>
      </c>
      <c r="BL5" s="25">
        <f t="shared" si="1"/>
        <v>5364.01</v>
      </c>
      <c r="BM5" s="25">
        <f t="shared" si="1"/>
        <v>180</v>
      </c>
      <c r="BN5" s="25">
        <f t="shared" si="1"/>
        <v>1150.43</v>
      </c>
      <c r="BO5" s="25">
        <f t="shared" si="1"/>
        <v>0</v>
      </c>
      <c r="BP5" s="25">
        <f t="shared" si="1"/>
        <v>0</v>
      </c>
      <c r="BQ5" s="25">
        <f t="shared" si="1"/>
        <v>48.08</v>
      </c>
      <c r="BR5" s="25">
        <f t="shared" si="1"/>
        <v>3985.5</v>
      </c>
      <c r="BS5" s="25">
        <f t="shared" si="1"/>
        <v>0</v>
      </c>
      <c r="BT5" s="26">
        <f t="shared" si="1"/>
        <v>0</v>
      </c>
    </row>
    <row r="6" spans="1:72" s="33" customFormat="1" ht="12.75">
      <c r="A6" s="22" t="s">
        <v>135</v>
      </c>
      <c r="B6" s="27"/>
      <c r="C6" s="27"/>
      <c r="D6" s="28"/>
      <c r="E6" s="23">
        <f>H6+AC6+AT6</f>
        <v>20362.47</v>
      </c>
      <c r="F6" s="23" t="s">
        <v>0</v>
      </c>
      <c r="G6" s="23" t="s">
        <v>1</v>
      </c>
      <c r="H6" s="29">
        <f>SUMIF(I$12:AB$12,"总值",I6:AB6)</f>
        <v>18023.14</v>
      </c>
      <c r="I6" s="23">
        <f t="shared" ref="I6:AB6" si="2">ROUND($A$3*I5/$B$3,2)</f>
        <v>14093.21</v>
      </c>
      <c r="J6" s="23">
        <f t="shared" si="2"/>
        <v>0</v>
      </c>
      <c r="K6" s="23">
        <f t="shared" si="2"/>
        <v>0</v>
      </c>
      <c r="L6" s="23">
        <f t="shared" si="2"/>
        <v>0</v>
      </c>
      <c r="M6" s="23">
        <f t="shared" si="2"/>
        <v>3929.93</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2339.33</v>
      </c>
      <c r="AD6" s="23">
        <f t="shared" ref="AD6:AS6" si="3">ROUND($A$3*AD5/$B$3,2)</f>
        <v>78.5</v>
      </c>
      <c r="AE6" s="23">
        <f t="shared" si="3"/>
        <v>0</v>
      </c>
      <c r="AF6" s="23">
        <f t="shared" si="3"/>
        <v>501.72</v>
      </c>
      <c r="AG6" s="23">
        <f t="shared" si="3"/>
        <v>0</v>
      </c>
      <c r="AH6" s="23">
        <f t="shared" si="3"/>
        <v>0</v>
      </c>
      <c r="AI6" s="23">
        <f t="shared" si="3"/>
        <v>0</v>
      </c>
      <c r="AJ6" s="23">
        <f t="shared" si="3"/>
        <v>0</v>
      </c>
      <c r="AK6" s="23">
        <f t="shared" si="3"/>
        <v>0</v>
      </c>
      <c r="AL6" s="23">
        <f t="shared" si="3"/>
        <v>20.97</v>
      </c>
      <c r="AM6" s="23">
        <f t="shared" si="3"/>
        <v>0</v>
      </c>
      <c r="AN6" s="23">
        <f t="shared" si="3"/>
        <v>1738.14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20362.47</v>
      </c>
      <c r="AZ6" s="23" t="s">
        <v>2</v>
      </c>
      <c r="BA6" s="23">
        <f>ROUND($AY$6*BA5/$AZ$5,2)</f>
        <v>18023.14</v>
      </c>
      <c r="BB6" s="23">
        <f>ROUND($AY$6*BB5/$AZ$5,2)</f>
        <v>14093.21</v>
      </c>
      <c r="BC6" s="23">
        <f t="shared" ref="BC6:BH6" si="4">ROUND($AY$6*BC5/$AZ$5,2)</f>
        <v>0</v>
      </c>
      <c r="BD6" s="23">
        <f t="shared" si="4"/>
        <v>3929.93</v>
      </c>
      <c r="BE6" s="23">
        <f t="shared" si="4"/>
        <v>0</v>
      </c>
      <c r="BF6" s="23">
        <f t="shared" si="4"/>
        <v>0</v>
      </c>
      <c r="BG6" s="23">
        <f t="shared" si="4"/>
        <v>0</v>
      </c>
      <c r="BH6" s="23">
        <f t="shared" si="4"/>
        <v>0</v>
      </c>
      <c r="BI6" s="23">
        <f t="shared" ref="BI6:BT6" si="5">ROUND($AY$6*BI5/$AZ$5,2)</f>
        <v>0</v>
      </c>
      <c r="BJ6" s="23">
        <f t="shared" si="5"/>
        <v>0</v>
      </c>
      <c r="BK6" s="23">
        <f t="shared" si="5"/>
        <v>0</v>
      </c>
      <c r="BL6" s="23">
        <f t="shared" si="5"/>
        <v>2339.33</v>
      </c>
      <c r="BM6" s="23">
        <f t="shared" si="5"/>
        <v>78.5</v>
      </c>
      <c r="BN6" s="23">
        <f t="shared" si="5"/>
        <v>501.72</v>
      </c>
      <c r="BO6" s="23">
        <f t="shared" si="5"/>
        <v>0</v>
      </c>
      <c r="BP6" s="23">
        <f t="shared" si="5"/>
        <v>0</v>
      </c>
      <c r="BQ6" s="23">
        <f t="shared" si="5"/>
        <v>20.97</v>
      </c>
      <c r="BR6" s="23">
        <f t="shared" si="5"/>
        <v>1738.14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3" t="s">
        <v>3349</v>
      </c>
      <c r="J9" s="47"/>
      <c r="K9" s="2303" t="s">
        <v>3349</v>
      </c>
      <c r="L9" s="47"/>
      <c r="M9" s="2303" t="s">
        <v>3350</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3" t="s">
        <v>851</v>
      </c>
      <c r="J10" s="47"/>
      <c r="K10" s="2305"/>
      <c r="L10" s="47"/>
      <c r="M10" s="2305" t="s">
        <v>2735</v>
      </c>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f>K10</f>
        <v>0</v>
      </c>
      <c r="BD11" s="46" t="str">
        <f>M10</f>
        <v>车库</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299"/>
      <c r="B13" s="2299"/>
      <c r="C13" s="2299" t="str">
        <f>面积!B1</f>
        <v>15地块</v>
      </c>
      <c r="D13" s="2300" t="s">
        <v>3340</v>
      </c>
      <c r="E13" s="23">
        <f t="shared" ref="E13:E20" si="6">IF($C$3="是",ROUND($A$3*G13/$B$3,2),ROUND($A$3*(G13-AT13)/$B$3,2))</f>
        <v>20362.47</v>
      </c>
      <c r="F13" s="76"/>
      <c r="G13" s="77">
        <f t="shared" ref="G13:G20" si="7">H13+AC13+AT13</f>
        <v>50009.542000000001</v>
      </c>
      <c r="H13" s="29">
        <f t="shared" ref="H13:H20" si="8">SUMIF(I$12:AB$12,"总值",I13:AB13)</f>
        <v>41326.572</v>
      </c>
      <c r="I13" s="2302">
        <f>面积!E17</f>
        <v>32315.351999999999</v>
      </c>
      <c r="J13" s="2302"/>
      <c r="K13" s="2302">
        <f>面积!F17</f>
        <v>0</v>
      </c>
      <c r="L13" s="2302"/>
      <c r="M13" s="2302">
        <f>面积!M17</f>
        <v>9011.2199999999993</v>
      </c>
      <c r="N13" s="78"/>
      <c r="O13" s="78"/>
      <c r="P13" s="78"/>
      <c r="Q13" s="78"/>
      <c r="R13" s="78"/>
      <c r="S13" s="78"/>
      <c r="T13" s="78"/>
      <c r="U13" s="78"/>
      <c r="V13" s="78"/>
      <c r="W13" s="78"/>
      <c r="X13" s="78"/>
      <c r="Y13" s="78"/>
      <c r="Z13" s="78"/>
      <c r="AA13" s="78"/>
      <c r="AB13" s="78"/>
      <c r="AC13" s="23">
        <f t="shared" ref="AC13:AC20" si="9">SUMIF(AD$12:AS$12,"总值",AD13:AS13)</f>
        <v>5364.01</v>
      </c>
      <c r="AD13" s="2306">
        <f>面积!H17</f>
        <v>180</v>
      </c>
      <c r="AE13" s="2306"/>
      <c r="AF13" s="2306">
        <f>面积!P17</f>
        <v>1150.43</v>
      </c>
      <c r="AG13" s="2306"/>
      <c r="AH13" s="2306"/>
      <c r="AI13" s="2306"/>
      <c r="AJ13" s="2306"/>
      <c r="AK13" s="2306"/>
      <c r="AL13" s="2306">
        <f>面积!I17</f>
        <v>48.08</v>
      </c>
      <c r="AM13" s="2306"/>
      <c r="AN13" s="2306">
        <f>面积!Q17</f>
        <v>3985.5</v>
      </c>
      <c r="AO13" s="2306"/>
      <c r="AP13" s="2306"/>
      <c r="AQ13" s="2306"/>
      <c r="AR13" s="2306"/>
      <c r="AS13" s="2306"/>
      <c r="AT13" s="2307">
        <f>面积!J17+面积!R17</f>
        <v>3318.96</v>
      </c>
      <c r="AU13" s="2308"/>
      <c r="AV13" s="14">
        <f t="shared" ref="AV13:AX20" si="10">A13</f>
        <v>0</v>
      </c>
      <c r="AW13" s="14">
        <f t="shared" si="10"/>
        <v>0</v>
      </c>
      <c r="AX13" s="14" t="str">
        <f t="shared" si="10"/>
        <v>15地块</v>
      </c>
      <c r="AY13" s="910">
        <f t="shared" ref="AY13:AY20" si="11">ROUND($AY$6*AZ13/$AZ$5,2)</f>
        <v>20362.47</v>
      </c>
      <c r="AZ13" s="23">
        <f t="shared" ref="AZ13:AZ20" si="12">BA13+BL13</f>
        <v>46690.582000000002</v>
      </c>
      <c r="BA13" s="23">
        <f t="shared" ref="BA13:BA20" si="13">SUM(BB13:BK13)</f>
        <v>41326.572</v>
      </c>
      <c r="BB13" s="23">
        <f t="shared" ref="BB13:BB20" si="14">IF($D13="是",I13-J13,0)</f>
        <v>32315.351999999999</v>
      </c>
      <c r="BC13" s="23">
        <f t="shared" ref="BC13:BC20" si="15">IF($D13="是",K13-L13,0)</f>
        <v>0</v>
      </c>
      <c r="BD13" s="23">
        <f t="shared" ref="BD13:BD20" si="16">IF($D13="是",M13-N13,0)</f>
        <v>9011.2199999999993</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5364.01</v>
      </c>
      <c r="BM13" s="23">
        <f t="shared" ref="BM13:BM20" si="25">IF($D13="是",AD13-AE13,0)</f>
        <v>180</v>
      </c>
      <c r="BN13" s="23">
        <f t="shared" ref="BN13:BN20" si="26">IF($D13="是",AF13-AG13,0)</f>
        <v>1150.43</v>
      </c>
      <c r="BO13" s="23">
        <f t="shared" ref="BO13:BO20" si="27">IF($D13="是",AH13-AI13,0)</f>
        <v>0</v>
      </c>
      <c r="BP13" s="23">
        <f t="shared" ref="BP13:BP20" si="28">IF($D13="是",AJ13-AK13,0)</f>
        <v>0</v>
      </c>
      <c r="BQ13" s="23">
        <f t="shared" ref="BQ13:BQ20" si="29">IF($D13="是",AL13-AM13,0)</f>
        <v>48.08</v>
      </c>
      <c r="BR13" s="23">
        <f t="shared" ref="BR13:BR20" si="30">IF($D13="是",AN13-AO13,0)</f>
        <v>3985.5</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36" sqref="G36"/>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5" t="s">
        <v>169</v>
      </c>
      <c r="B2" s="3495"/>
      <c r="C2" s="3495"/>
      <c r="D2" s="1631" t="s">
        <v>170</v>
      </c>
      <c r="E2" s="97" t="s">
        <v>171</v>
      </c>
      <c r="F2" s="2609"/>
      <c r="G2" s="1042"/>
      <c r="H2" s="1043"/>
      <c r="I2" s="1044" t="s">
        <v>795</v>
      </c>
      <c r="J2" s="2609"/>
      <c r="K2" s="2609"/>
      <c r="L2" s="2609"/>
      <c r="M2" s="2609"/>
      <c r="N2" s="2609"/>
      <c r="O2" s="2609"/>
      <c r="P2" s="2609"/>
    </row>
    <row r="3" spans="1:16" ht="15.75" thickBot="1">
      <c r="A3" s="3496" t="s">
        <v>172</v>
      </c>
      <c r="B3" s="3496"/>
      <c r="C3" s="3496"/>
      <c r="D3" s="98">
        <f>'数据-基础表'!AY6</f>
        <v>20362.47</v>
      </c>
      <c r="E3" s="98">
        <f>'数据-基础表'!AZ5</f>
        <v>46690.582000000002</v>
      </c>
      <c r="F3" s="2609"/>
      <c r="G3" s="106" t="s">
        <v>796</v>
      </c>
      <c r="H3" s="102" t="s">
        <v>797</v>
      </c>
      <c r="I3" s="997">
        <f>ROUND('数据-基础表'!B3/'数据-基础表'!A3,2)</f>
        <v>2.29</v>
      </c>
      <c r="J3" s="2609"/>
      <c r="K3" s="2609"/>
      <c r="L3" s="2609"/>
      <c r="M3" s="2609"/>
      <c r="N3" s="2609"/>
      <c r="O3" s="2609"/>
      <c r="P3" s="2609"/>
    </row>
    <row r="4" spans="1:16" ht="15">
      <c r="A4" s="3497"/>
      <c r="B4" s="3498"/>
      <c r="C4" s="3499"/>
      <c r="D4" s="99" t="s">
        <v>170</v>
      </c>
      <c r="E4" s="100" t="s">
        <v>171</v>
      </c>
      <c r="F4" s="2609"/>
      <c r="G4" s="119"/>
      <c r="H4" s="102" t="s">
        <v>798</v>
      </c>
      <c r="I4" s="997">
        <f>ROUND(SUMIF('数据-基础表'!I9:AS9,"地上",'数据-基础表'!I5:AS5)/'数据-基础表'!A3,2)</f>
        <v>1.6</v>
      </c>
      <c r="J4" s="2609"/>
      <c r="K4" s="2609"/>
      <c r="L4" s="2609"/>
      <c r="M4" s="2609"/>
      <c r="N4" s="2609"/>
      <c r="O4" s="2609"/>
      <c r="P4" s="2609"/>
    </row>
    <row r="5" spans="1:16">
      <c r="A5" s="101" t="s">
        <v>173</v>
      </c>
      <c r="B5" s="3500" t="s">
        <v>196</v>
      </c>
      <c r="C5" s="3500"/>
      <c r="D5" s="102">
        <f>ROUND($D$3*E5/$E$3,2)</f>
        <v>14093.21</v>
      </c>
      <c r="E5" s="103">
        <f>SUMIF('数据-基础表'!$11:$11,"住宅",'数据-基础表'!$5:$5)</f>
        <v>32315.351999999999</v>
      </c>
      <c r="F5" s="2609"/>
      <c r="G5" s="106" t="s">
        <v>799</v>
      </c>
      <c r="H5" s="102" t="s">
        <v>797</v>
      </c>
      <c r="I5" s="997">
        <f>ROUND(E31/D31,2)</f>
        <v>2.29</v>
      </c>
      <c r="J5" s="2609"/>
      <c r="K5" s="2609"/>
      <c r="L5" s="2609"/>
      <c r="M5" s="2609"/>
      <c r="N5" s="2609"/>
      <c r="O5" s="2609"/>
      <c r="P5" s="2609"/>
    </row>
    <row r="6" spans="1:16" ht="15" thickBot="1">
      <c r="A6" s="104"/>
      <c r="B6" s="3500" t="s">
        <v>174</v>
      </c>
      <c r="C6" s="3500"/>
      <c r="D6" s="102">
        <f>ROUND($D$3*E6/$E$3,2)</f>
        <v>6269.26</v>
      </c>
      <c r="E6" s="103">
        <f>E3-E5</f>
        <v>14375.230000000003</v>
      </c>
      <c r="F6" s="2609"/>
      <c r="G6" s="119"/>
      <c r="H6" s="102" t="s">
        <v>798</v>
      </c>
      <c r="I6" s="997">
        <f>ROUND(F31/D31,2)</f>
        <v>1.6</v>
      </c>
      <c r="J6" s="2609"/>
      <c r="K6" s="2609"/>
      <c r="L6" s="2609"/>
      <c r="M6" s="2609"/>
      <c r="N6" s="2609"/>
      <c r="O6" s="2609"/>
      <c r="P6" s="2609"/>
    </row>
    <row r="7" spans="1:16" ht="15">
      <c r="A7" s="3492"/>
      <c r="B7" s="3493"/>
      <c r="C7" s="3494"/>
      <c r="D7" s="99" t="s">
        <v>170</v>
      </c>
      <c r="E7" s="105" t="s">
        <v>197</v>
      </c>
      <c r="F7" s="2609"/>
      <c r="G7" s="1002" t="s">
        <v>1180</v>
      </c>
      <c r="H7" s="1003"/>
      <c r="I7" s="127"/>
      <c r="J7" s="2609"/>
      <c r="K7" s="2609"/>
      <c r="L7" s="2609"/>
      <c r="M7" s="2609"/>
      <c r="N7" s="2609"/>
      <c r="O7" s="2609"/>
      <c r="P7" s="2609"/>
    </row>
    <row r="8" spans="1:16">
      <c r="A8" s="101" t="s">
        <v>175</v>
      </c>
      <c r="B8" s="106" t="s">
        <v>176</v>
      </c>
      <c r="C8" s="102" t="s">
        <v>177</v>
      </c>
      <c r="D8" s="102">
        <f t="shared" ref="D8:D15" si="0">ROUND($D$3*E8/$E$3,2)</f>
        <v>14093.21</v>
      </c>
      <c r="E8" s="107">
        <f>SUMIF('数据-基础表'!BB10:BK10,"地上",'数据-基础表'!BB5:BK5)</f>
        <v>32315.351999999999</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3929.93</v>
      </c>
      <c r="E13" s="107">
        <f>SUMPRODUCT(('数据-基础表'!BB10:BK10="地下")*('数据-基础表'!BB11:BK11="车库")*('数据-基础表'!BB5:BK5))</f>
        <v>9011.2199999999993</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18023.14</v>
      </c>
      <c r="E16" s="111">
        <f>SUM(E8:E15)</f>
        <v>41326.572</v>
      </c>
      <c r="F16" s="2609"/>
      <c r="G16" s="2609"/>
      <c r="H16" s="883" t="s">
        <v>185</v>
      </c>
      <c r="I16" s="884"/>
      <c r="J16" s="1633"/>
      <c r="K16" s="3486" t="s">
        <v>1849</v>
      </c>
      <c r="L16" s="3487"/>
      <c r="M16" s="3487"/>
      <c r="N16" s="3487"/>
      <c r="O16" s="3487"/>
      <c r="P16" s="3488"/>
    </row>
    <row r="17" spans="1:19" ht="15">
      <c r="A17" s="112" t="s">
        <v>182</v>
      </c>
      <c r="B17" s="113" t="s">
        <v>183</v>
      </c>
      <c r="C17" s="1886" t="s">
        <v>1670</v>
      </c>
      <c r="D17" s="99" t="s">
        <v>170</v>
      </c>
      <c r="E17" s="115" t="s">
        <v>171</v>
      </c>
      <c r="F17" s="116"/>
      <c r="G17" s="1159"/>
      <c r="H17" s="885" t="s">
        <v>184</v>
      </c>
      <c r="I17" s="886" t="s">
        <v>1669</v>
      </c>
      <c r="J17" s="1633"/>
      <c r="K17" s="3489" t="s">
        <v>1850</v>
      </c>
      <c r="L17" s="3490"/>
      <c r="M17" s="3491"/>
      <c r="N17" s="3489" t="s">
        <v>1851</v>
      </c>
      <c r="O17" s="3490"/>
      <c r="P17" s="3491"/>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
        <v>3351</v>
      </c>
      <c r="D19" s="102">
        <f t="shared" ref="D19:D26" si="1">ROUND($D$3*E19/$E$3,2)</f>
        <v>14093.21</v>
      </c>
      <c r="E19" s="124">
        <f t="shared" ref="E19:E26" si="2">SUM(F19:G19)</f>
        <v>32315.351999999999</v>
      </c>
      <c r="F19" s="2610">
        <f>'数据-基础表'!I5</f>
        <v>32315.351999999999</v>
      </c>
      <c r="G19" s="2611"/>
      <c r="H19" s="889">
        <f>ROUND($D$3*I19/$E$3,2)</f>
        <v>1955.75</v>
      </c>
      <c r="I19" s="107">
        <f>IF($I$17="自定义",P19,M19)</f>
        <v>4484.49</v>
      </c>
      <c r="J19" s="1633"/>
      <c r="K19" s="889">
        <f t="shared" ref="K19:K26" si="3">ROUND(E$28*E19/E$27,2)</f>
        <v>3154.06</v>
      </c>
      <c r="L19" s="102">
        <f t="shared" ref="L19:L26" si="4">ROUND(IF(COUNTIF(C19,"*住宅*")&gt;0,E$29*E19/E$32,0),2)</f>
        <v>1330.43</v>
      </c>
      <c r="M19" s="107">
        <f>K19+L19</f>
        <v>4484.49</v>
      </c>
      <c r="N19" s="2066"/>
      <c r="O19" s="2067"/>
      <c r="P19" s="2068">
        <f>N19+O19</f>
        <v>0</v>
      </c>
      <c r="R19" s="102">
        <f t="shared" ref="R19:S26" si="5">D19+H19</f>
        <v>16048.96</v>
      </c>
      <c r="S19" s="124">
        <f t="shared" si="5"/>
        <v>36799.841999999997</v>
      </c>
    </row>
    <row r="20" spans="1:19">
      <c r="A20" s="123"/>
      <c r="B20" s="106" t="s">
        <v>192</v>
      </c>
      <c r="C20" s="2309" t="s">
        <v>3352</v>
      </c>
      <c r="D20" s="102">
        <f t="shared" si="1"/>
        <v>3929.93</v>
      </c>
      <c r="E20" s="124">
        <f t="shared" si="2"/>
        <v>9011.2199999999993</v>
      </c>
      <c r="F20" s="2610"/>
      <c r="G20" s="2611">
        <f>'数据-基础表'!M5</f>
        <v>9011.2199999999993</v>
      </c>
      <c r="H20" s="889">
        <f t="shared" ref="H20:H26" si="6">ROUND($D$3*I20/$E$3,2)</f>
        <v>383.57</v>
      </c>
      <c r="I20" s="107">
        <f t="shared" ref="I20:I26" si="7">IF($I$17="自定义",P20,M20)</f>
        <v>879.52</v>
      </c>
      <c r="J20" s="1633"/>
      <c r="K20" s="889">
        <f t="shared" si="3"/>
        <v>879.52</v>
      </c>
      <c r="L20" s="102">
        <f t="shared" si="4"/>
        <v>0</v>
      </c>
      <c r="M20" s="107">
        <f t="shared" ref="M20:M26" si="8">K20+L20</f>
        <v>879.52</v>
      </c>
      <c r="N20" s="2066"/>
      <c r="O20" s="2067"/>
      <c r="P20" s="2068">
        <f t="shared" ref="P20:P26" si="9">N20+O20</f>
        <v>0</v>
      </c>
      <c r="R20" s="102">
        <f t="shared" si="5"/>
        <v>4313.5</v>
      </c>
      <c r="S20" s="124">
        <f t="shared" si="5"/>
        <v>9890.74</v>
      </c>
    </row>
    <row r="21" spans="1:19">
      <c r="A21" s="123"/>
      <c r="B21" s="106" t="s">
        <v>192</v>
      </c>
      <c r="C21" s="2309"/>
      <c r="D21" s="102">
        <f t="shared" si="1"/>
        <v>0</v>
      </c>
      <c r="E21" s="124">
        <f t="shared" si="2"/>
        <v>0</v>
      </c>
      <c r="F21" s="2610"/>
      <c r="G21" s="2611"/>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1"/>
      <c r="D22" s="102">
        <f t="shared" si="1"/>
        <v>0</v>
      </c>
      <c r="E22" s="124">
        <f t="shared" si="2"/>
        <v>0</v>
      </c>
      <c r="F22" s="2612"/>
      <c r="G22" s="2613"/>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1"/>
      <c r="D23" s="102">
        <f>ROUND($D$3*E23/$E$3,2)</f>
        <v>0</v>
      </c>
      <c r="E23" s="124">
        <f>SUM(F23:G23)</f>
        <v>0</v>
      </c>
      <c r="F23" s="2612"/>
      <c r="G23" s="2613"/>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1"/>
      <c r="D24" s="102">
        <f>ROUND($D$3*E24/$E$3,2)</f>
        <v>0</v>
      </c>
      <c r="E24" s="124">
        <f>SUM(F24:G24)</f>
        <v>0</v>
      </c>
      <c r="F24" s="2612"/>
      <c r="G24" s="2613"/>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18023.14</v>
      </c>
      <c r="E27" s="129">
        <f>IF(SUM(E19:E26)='数据-基础表'!BA5,SUM(E19:E26),IF(F27="地上面积有误","面积有误","地下面积有误"))</f>
        <v>41326.572</v>
      </c>
      <c r="F27" s="124">
        <f>IF(SUM(F19:F26)=E8,SUM(F19:F26),"地上面积有误")</f>
        <v>32315.351999999999</v>
      </c>
      <c r="G27" s="103">
        <f>SUM(G19:G26)</f>
        <v>9011.2199999999993</v>
      </c>
      <c r="H27" s="890">
        <f>SUM(H19:H26)</f>
        <v>2339.3200000000002</v>
      </c>
      <c r="I27" s="891">
        <f>SUM(I19:I26)</f>
        <v>5364.01</v>
      </c>
      <c r="J27" s="1633"/>
      <c r="K27" s="2072">
        <f t="shared" ref="K27:P27" si="10">SUM(K19:K26)</f>
        <v>4033.58</v>
      </c>
      <c r="L27" s="2073">
        <f t="shared" si="10"/>
        <v>1330.43</v>
      </c>
      <c r="M27" s="2074">
        <f t="shared" si="10"/>
        <v>5364.01</v>
      </c>
      <c r="N27" s="2072">
        <f t="shared" si="10"/>
        <v>0</v>
      </c>
      <c r="O27" s="2073">
        <f t="shared" si="10"/>
        <v>0</v>
      </c>
      <c r="P27" s="194">
        <f t="shared" si="10"/>
        <v>0</v>
      </c>
      <c r="R27" s="1892" t="str">
        <f>IF(SUM(R19:R26)=$D$3,SUM(R19:R26),SUM(R19:R26)&amp;"误差"&amp;ROUND(SUM(R19:R26)-$D$3,2))</f>
        <v>20362.46误差-0.01</v>
      </c>
      <c r="S27" s="102">
        <f>IF(SUM(S19:S26)=$E$3,SUM(S19:S26),SUM(S19:S26)&amp;"误差"&amp;ROUND(SUM(S19:S26)-E3,2))</f>
        <v>46690.581999999995</v>
      </c>
    </row>
    <row r="28" spans="1:19">
      <c r="A28" s="123"/>
      <c r="B28" s="106" t="s">
        <v>193</v>
      </c>
      <c r="C28" s="125" t="s">
        <v>194</v>
      </c>
      <c r="D28" s="102">
        <f>ROUND($D$3*E28/$E$3,2)</f>
        <v>1759.11</v>
      </c>
      <c r="E28" s="124">
        <f>SUM(F28:G28)</f>
        <v>4033.58</v>
      </c>
      <c r="F28" s="125">
        <f>'数据-基础表'!BQ5+'数据-基础表'!BS5</f>
        <v>48.08</v>
      </c>
      <c r="G28" s="130">
        <f>'数据-基础表'!BR5+'数据-基础表'!BT5</f>
        <v>3985.5</v>
      </c>
      <c r="H28" s="2609"/>
      <c r="I28" s="2609"/>
      <c r="J28" s="2609"/>
      <c r="K28" s="2609"/>
      <c r="L28" s="2609"/>
      <c r="M28" s="2609"/>
      <c r="N28" s="2609"/>
      <c r="O28" s="2609"/>
      <c r="P28" s="2609"/>
    </row>
    <row r="29" spans="1:19">
      <c r="A29" s="123"/>
      <c r="B29" s="106" t="s">
        <v>193</v>
      </c>
      <c r="C29" s="1900" t="s">
        <v>1677</v>
      </c>
      <c r="D29" s="102">
        <f>ROUND($D$3*E29/$E$3,2)</f>
        <v>580.22</v>
      </c>
      <c r="E29" s="124">
        <f>SUM(F29:G29)</f>
        <v>1330.43</v>
      </c>
      <c r="F29" s="125">
        <f>'数据-基础表'!BM5+'数据-基础表'!BO5</f>
        <v>180</v>
      </c>
      <c r="G29" s="111">
        <f>'数据-基础表'!BN5+'数据-基础表'!BP5</f>
        <v>1150.43</v>
      </c>
      <c r="H29" s="2609"/>
      <c r="I29" s="2609"/>
      <c r="J29" s="2609"/>
      <c r="K29" s="2609"/>
      <c r="L29" s="2609"/>
      <c r="M29" s="2609"/>
      <c r="N29" s="2609"/>
      <c r="O29" s="2609"/>
      <c r="P29" s="2609"/>
    </row>
    <row r="30" spans="1:19">
      <c r="A30" s="123"/>
      <c r="B30" s="102"/>
      <c r="C30" s="131" t="s">
        <v>181</v>
      </c>
      <c r="D30" s="124">
        <f>SUM(D28:D29)</f>
        <v>2339.33</v>
      </c>
      <c r="E30" s="124">
        <f>SUM(E28:E29)</f>
        <v>5364.01</v>
      </c>
      <c r="F30" s="124">
        <f>SUM(F28:F29)</f>
        <v>228.07999999999998</v>
      </c>
      <c r="G30" s="103">
        <f>SUM(G28:G29)</f>
        <v>5135.93</v>
      </c>
      <c r="H30" s="2609"/>
      <c r="I30" s="2609"/>
      <c r="J30" s="2609"/>
      <c r="K30" s="2609"/>
      <c r="L30" s="2609"/>
      <c r="M30" s="2609"/>
      <c r="N30" s="2609"/>
      <c r="O30" s="2609"/>
      <c r="P30" s="2609"/>
    </row>
    <row r="31" spans="1:19" ht="32.25" customHeight="1" thickBot="1">
      <c r="A31" s="1161"/>
      <c r="B31" s="1162" t="s">
        <v>195</v>
      </c>
      <c r="C31" s="1917" t="s">
        <v>1679</v>
      </c>
      <c r="D31" s="1163">
        <f>D27+D30</f>
        <v>20362.47</v>
      </c>
      <c r="E31" s="1163">
        <f>E27+E30</f>
        <v>46690.582000000002</v>
      </c>
      <c r="F31" s="1164">
        <f>F27+F30</f>
        <v>32543.432000000001</v>
      </c>
      <c r="G31" s="1165">
        <f>G27+G30</f>
        <v>14147.15</v>
      </c>
      <c r="H31" s="2609"/>
      <c r="I31" s="2609"/>
      <c r="J31" s="2609"/>
      <c r="K31" s="2609"/>
      <c r="L31" s="2609"/>
      <c r="M31" s="2609"/>
      <c r="N31" s="2609"/>
      <c r="O31" s="2609"/>
      <c r="P31" s="2609"/>
    </row>
    <row r="32" spans="1:19">
      <c r="A32" s="1633"/>
      <c r="B32" s="1929" t="s">
        <v>1678</v>
      </c>
      <c r="C32" s="2087"/>
      <c r="D32" s="119"/>
      <c r="E32" s="119">
        <f>SUMIF(C19:C26,"*住宅*",E19:E26)</f>
        <v>32315.351999999999</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D32" sqref="D32"/>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7" customFormat="1" ht="15.75" thickBot="1">
      <c r="A2" s="133" t="s">
        <v>201</v>
      </c>
      <c r="B2" s="1925">
        <f>项目基本情况!D3</f>
        <v>45541</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40.5">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3240</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2258</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69.84</v>
      </c>
      <c r="G6" s="159">
        <f t="shared" ref="G6:G13" si="0">IF(ISERROR(ROUND(POWER(1+H6,D6-F6)*(POWER(1+H6,F6)-1)/(POWER(1+H6,D6)-1),3)),0,ROUND(POWER(1+H6,D6-F6)*(POWER(1+H6,F6)-1)/(POWER(1+H6,D6)-1),3))</f>
        <v>1</v>
      </c>
      <c r="H6" s="2310">
        <v>0.04</v>
      </c>
      <c r="I6" s="2310">
        <v>4.4999999999999998E-2</v>
      </c>
      <c r="J6" s="160">
        <v>7.0000000000000007E-2</v>
      </c>
      <c r="K6" s="163">
        <f>SUMIF('数据-汇总表'!C$19:C$33,'数据-取费表'!A6,'数据-汇总表'!E$19:E$33)</f>
        <v>32315.351999999999</v>
      </c>
      <c r="L6" s="3396">
        <v>6500</v>
      </c>
      <c r="M6" s="161">
        <f t="shared" ref="M6:M14" si="1">ROUND(K6*L6/10000,0)</f>
        <v>21005</v>
      </c>
      <c r="N6" s="2312">
        <v>0</v>
      </c>
      <c r="O6" s="161">
        <f>IF($N$5="成新度","——",ROUND(M6*N6,0))</f>
        <v>0</v>
      </c>
      <c r="P6" s="162">
        <f>IF($N$5="成新度","——",M6-O6)</f>
        <v>21005</v>
      </c>
      <c r="Q6" s="2313">
        <v>0.2</v>
      </c>
      <c r="R6" s="163">
        <f>SUMIF('数据-汇总表'!C$19:C$33,A6,'数据-汇总表'!R$19:R$33)</f>
        <v>16048.96</v>
      </c>
      <c r="S6" s="122">
        <f>IF('数据-汇总表'!$I$17="按面积比例",SUMIF('数据-汇总表'!C$19:C$33,A6,'数据-汇总表'!K$19:K$33),SUMIF('数据-汇总表'!C$19:C$33,A6,'数据-汇总表'!N$19:N$33))</f>
        <v>3154.06</v>
      </c>
      <c r="T6" s="1827">
        <f>IF($T$4="按面积比例",IF(ISERROR(ROUND($M$14*S6/S$16,0)),"0",ROUND($M$14*S6/S$16,0)),"需自行计算录入")</f>
        <v>1419</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1"/>
      <c r="AN6" s="1125"/>
      <c r="AO6" s="2609"/>
      <c r="AP6" s="96">
        <f>ROUND(1-1/(1+H6)^F6,3)</f>
        <v>0.93500000000000005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t="str">
        <f>'数据-汇总表'!C20</f>
        <v>车库</v>
      </c>
      <c r="B7" s="1924" t="str">
        <f t="shared" ref="B7:B13" si="2">IF(A7=0,"","经营性")</f>
        <v>经营性</v>
      </c>
      <c r="C7" s="157" t="s">
        <v>2735</v>
      </c>
      <c r="D7" s="1895">
        <f>SUMIF(项目基本情况!C$15:I$15,C7,项目基本情况!C$18:I$18)</f>
        <v>50</v>
      </c>
      <c r="E7" s="1896">
        <f>IF(B7="","",SUMIF(项目基本情况!C$15:I$15,C7,项目基本情况!C$17:I$17))</f>
        <v>63731</v>
      </c>
      <c r="F7" s="158">
        <f>SUMIF(项目基本情况!C$15:I$15,C7,项目基本情况!C$19:I$19)</f>
        <v>49.83</v>
      </c>
      <c r="G7" s="159">
        <f t="shared" si="0"/>
        <v>0.999</v>
      </c>
      <c r="H7" s="2310">
        <v>4.4999999999999998E-2</v>
      </c>
      <c r="I7" s="2310">
        <v>0.05</v>
      </c>
      <c r="J7" s="160">
        <v>7.0000000000000007E-2</v>
      </c>
      <c r="K7" s="163">
        <f>SUMIF('数据-汇总表'!C$19:C$33,'数据-取费表'!A7,'数据-汇总表'!E$19:E$33)</f>
        <v>9011.2199999999993</v>
      </c>
      <c r="L7" s="3396">
        <v>4500</v>
      </c>
      <c r="M7" s="161">
        <f t="shared" si="1"/>
        <v>4055</v>
      </c>
      <c r="N7" s="2312">
        <v>0</v>
      </c>
      <c r="O7" s="161">
        <f t="shared" ref="O7:O14" si="3">IF($N$5="成新度","——",ROUND(M7*N7,0))</f>
        <v>0</v>
      </c>
      <c r="P7" s="162">
        <f t="shared" ref="P7:P14" si="4">IF($N$5="成新度","——",M7-O7)</f>
        <v>4055</v>
      </c>
      <c r="Q7" s="2313">
        <v>0.1</v>
      </c>
      <c r="R7" s="163">
        <f>SUMIF('数据-汇总表'!C$19:C$33,A7,'数据-汇总表'!R$19:R$33)</f>
        <v>4313.5</v>
      </c>
      <c r="S7" s="122">
        <f>IF('数据-汇总表'!$I$17="按面积比例",SUMIF('数据-汇总表'!C$19:C$33,A7,'数据-汇总表'!K$19:K$33),SUMIF('数据-汇总表'!C$19:C$33,A7,'数据-汇总表'!N$19:N$33))</f>
        <v>879.52</v>
      </c>
      <c r="T7" s="1827">
        <f t="shared" ref="T7:T13" si="5">IF($T$4="按面积比例",IF(ISERROR(ROUND($M$14*S7/S$16,0)),"0",ROUND($M$14*S7/S$16,0)),"需自行计算录入")</f>
        <v>396</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面积!M18</f>
        <v>452</v>
      </c>
      <c r="AI7" s="171"/>
      <c r="AJ7" s="127"/>
      <c r="AK7" s="172"/>
      <c r="AL7" s="173"/>
      <c r="AM7" s="2321"/>
      <c r="AN7" s="1125"/>
      <c r="AO7" s="2609"/>
      <c r="AP7" s="96">
        <f t="shared" ref="AP7:AP13" si="8">ROUND(1-1/(1+H7)^F7,3)</f>
        <v>0.88800000000000001</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7">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1"/>
      <c r="AN8" s="1125"/>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1"/>
      <c r="AN9" s="1125"/>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1"/>
      <c r="AN10" s="1125"/>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1"/>
      <c r="AN11" s="1125"/>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1"/>
      <c r="AN12" s="1125"/>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4033.58</v>
      </c>
      <c r="L14" s="3412">
        <f>L7</f>
        <v>4500</v>
      </c>
      <c r="M14" s="161">
        <f t="shared" si="1"/>
        <v>1815</v>
      </c>
      <c r="N14" s="177">
        <f>N7</f>
        <v>0</v>
      </c>
      <c r="O14" s="161">
        <f t="shared" si="3"/>
        <v>0</v>
      </c>
      <c r="P14" s="162">
        <f t="shared" si="4"/>
        <v>1815</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1330.43</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1</v>
      </c>
      <c r="H16" s="184">
        <f>ROUND(SUMPRODUCT(H6:H13,K6:K13)/SUMPRODUCT((H6:H13&gt;0)*(K6:K13)),3)</f>
        <v>4.1000000000000002E-2</v>
      </c>
      <c r="I16" s="185"/>
      <c r="J16" s="185"/>
      <c r="K16" s="186">
        <f>SUM(K6:K15)</f>
        <v>46690.582000000002</v>
      </c>
      <c r="L16" s="187">
        <f>ROUND(M16*10000/SUM(K6:K14),0)</f>
        <v>5925</v>
      </c>
      <c r="M16" s="187">
        <f>SUM(M6:M14)</f>
        <v>26875</v>
      </c>
      <c r="N16" s="188">
        <f>ROUND(SUMPRODUCT(M6:M14,N6:N14)/M16,3)</f>
        <v>0</v>
      </c>
      <c r="O16" s="187">
        <f>SUM(O6:O14)</f>
        <v>0</v>
      </c>
      <c r="P16" s="187">
        <f>SUM(P6:P14)</f>
        <v>26875</v>
      </c>
      <c r="Q16" s="189">
        <f>ROUND(SUMPRODUCT(Q6:Q13,K6:K13)/SUMPRODUCT((Q6:Q13&gt;0)*(K6:K13)),2)</f>
        <v>0.18</v>
      </c>
      <c r="R16" s="1898">
        <f>SUM(R6:R13)</f>
        <v>20362.46</v>
      </c>
      <c r="S16" s="190">
        <f>SUM(S6:S13)</f>
        <v>4033.58</v>
      </c>
      <c r="T16" s="191">
        <f>IF(SUMIF(T6:T13,"&lt;9E307")=M14,SUMIF(T6:T13,"&lt;9E307"),"有误，请检查")</f>
        <v>1815</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0.92500000000000004</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2268</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v>160</v>
      </c>
      <c r="C27" s="2629" t="s">
        <v>2269</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200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v>0</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170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30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0.03</v>
      </c>
      <c r="C33" s="2631" t="s">
        <v>3263</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2259</v>
      </c>
      <c r="D34" s="2632" t="s">
        <v>2265</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2260</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3264</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2261</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0.02</v>
      </c>
      <c r="C38" s="2631" t="s">
        <v>2261</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2283</v>
      </c>
      <c r="B40" s="1991">
        <f ca="1">IF(A40="利息：取LPR",存贷款利率!E2,存贷款利率!E2+C40)</f>
        <v>3.3500000000000002E-2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2266</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2262</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2263</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2270</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2262</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2264</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2165</v>
      </c>
      <c r="D53" s="2635" t="s">
        <v>2267</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2166</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2167</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2168</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2169</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2170</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2171</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2172</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2173</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2174</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2175</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501" t="s">
        <v>1198</v>
      </c>
      <c r="B1" s="3502"/>
      <c r="C1" s="3502"/>
      <c r="D1" s="3502"/>
      <c r="E1" s="3502"/>
      <c r="F1" s="3502"/>
      <c r="G1" s="3502"/>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7" t="s">
        <v>3354</v>
      </c>
      <c r="D3" s="2647"/>
      <c r="E3" s="2648" t="s">
        <v>1201</v>
      </c>
      <c r="F3" s="2649" t="s">
        <v>1189</v>
      </c>
      <c r="G3" s="2650" t="s">
        <v>2180</v>
      </c>
      <c r="H3" s="2644"/>
      <c r="I3" s="2644"/>
      <c r="J3" s="2644"/>
      <c r="K3" s="2644"/>
      <c r="L3" s="2644"/>
      <c r="M3" s="2644"/>
      <c r="N3" s="2644"/>
      <c r="O3" s="2644"/>
      <c r="P3" s="2644"/>
      <c r="Q3" s="2644"/>
    </row>
    <row r="4" spans="1:18" ht="40.5">
      <c r="A4" s="2648"/>
      <c r="B4" s="2651" t="s">
        <v>1202</v>
      </c>
      <c r="C4" s="2652"/>
      <c r="D4" s="2647"/>
      <c r="E4" s="2653"/>
      <c r="F4" s="2654" t="s">
        <v>1203</v>
      </c>
      <c r="G4" s="2655" t="s">
        <v>2177</v>
      </c>
      <c r="H4" s="2644"/>
      <c r="I4" s="2644"/>
      <c r="J4" s="2644"/>
      <c r="K4" s="2644"/>
      <c r="L4" s="2644"/>
      <c r="M4" s="2644"/>
      <c r="N4" s="2644"/>
      <c r="O4" s="2644"/>
      <c r="P4" s="2644"/>
      <c r="Q4" s="2644"/>
    </row>
    <row r="5" spans="1:18" ht="27">
      <c r="A5" s="2648"/>
      <c r="B5" s="2651" t="s">
        <v>1204</v>
      </c>
      <c r="C5" s="2652"/>
      <c r="D5" s="2647"/>
      <c r="E5" s="2653"/>
      <c r="F5" s="2651" t="s">
        <v>1829</v>
      </c>
      <c r="G5" s="2655" t="s">
        <v>2178</v>
      </c>
      <c r="H5" s="2644"/>
      <c r="I5" s="2644"/>
      <c r="J5" s="2644"/>
      <c r="K5" s="2644"/>
      <c r="L5" s="2644"/>
      <c r="M5" s="2644"/>
      <c r="N5" s="2644"/>
      <c r="O5" s="2644"/>
      <c r="P5" s="2644"/>
      <c r="Q5" s="2644"/>
    </row>
    <row r="6" spans="1:18">
      <c r="A6" s="2648"/>
      <c r="B6" s="2651" t="s">
        <v>1190</v>
      </c>
      <c r="C6" s="3397" t="s">
        <v>3354</v>
      </c>
      <c r="D6" s="2647"/>
      <c r="E6" s="2653"/>
      <c r="F6" s="2651" t="s">
        <v>1830</v>
      </c>
      <c r="G6" s="2655" t="s">
        <v>2176</v>
      </c>
      <c r="H6" s="2644"/>
      <c r="I6" s="2644"/>
      <c r="J6" s="2644"/>
      <c r="K6" s="2644"/>
      <c r="L6" s="2644"/>
      <c r="M6" s="2644"/>
      <c r="N6" s="2644"/>
      <c r="O6" s="2644"/>
      <c r="P6" s="2644"/>
      <c r="Q6" s="2644"/>
    </row>
    <row r="7" spans="1:18" ht="27.75" thickBot="1">
      <c r="A7" s="2648"/>
      <c r="B7" s="2651" t="s">
        <v>1829</v>
      </c>
      <c r="C7" s="3397" t="s">
        <v>3354</v>
      </c>
      <c r="D7" s="2656"/>
      <c r="E7" s="2657"/>
      <c r="F7" s="2658" t="s">
        <v>1205</v>
      </c>
      <c r="G7" s="2659" t="s">
        <v>2179</v>
      </c>
      <c r="H7" s="2644"/>
      <c r="I7" s="2644"/>
      <c r="J7" s="2644"/>
      <c r="K7" s="2644"/>
      <c r="L7" s="2644"/>
      <c r="M7" s="2644"/>
      <c r="N7" s="2644"/>
      <c r="O7" s="2644"/>
      <c r="P7" s="2644"/>
      <c r="Q7" s="2644"/>
    </row>
    <row r="8" spans="1:18">
      <c r="A8" s="2648"/>
      <c r="B8" s="2651" t="s">
        <v>1830</v>
      </c>
      <c r="C8" s="3397" t="s">
        <v>1502</v>
      </c>
      <c r="D8" s="2656"/>
      <c r="E8" s="2656"/>
      <c r="F8" s="2660"/>
      <c r="G8" s="2660"/>
      <c r="H8" s="2644"/>
      <c r="I8" s="2644"/>
      <c r="J8" s="2644"/>
      <c r="K8" s="2644"/>
      <c r="L8" s="2644"/>
      <c r="M8" s="2644"/>
      <c r="N8" s="2644"/>
      <c r="O8" s="2644"/>
      <c r="P8" s="2644"/>
      <c r="Q8" s="2644"/>
    </row>
    <row r="9" spans="1:18">
      <c r="A9" s="2648"/>
      <c r="B9" s="2651" t="s">
        <v>1191</v>
      </c>
      <c r="C9" s="3398" t="s">
        <v>3354</v>
      </c>
      <c r="D9" s="2647"/>
      <c r="E9" s="2656"/>
      <c r="F9" s="2660"/>
      <c r="G9" s="2660"/>
      <c r="H9" s="2644"/>
      <c r="I9" s="2644"/>
      <c r="J9" s="2644"/>
      <c r="K9" s="2644"/>
      <c r="L9" s="2644"/>
      <c r="M9" s="2644"/>
      <c r="N9" s="2644"/>
      <c r="O9" s="2644"/>
      <c r="P9" s="2644"/>
      <c r="Q9" s="2644"/>
    </row>
    <row r="10" spans="1:18" ht="15" thickBot="1">
      <c r="A10" s="2661"/>
      <c r="B10" s="2662" t="s">
        <v>1206</v>
      </c>
      <c r="C10" s="3399" t="s">
        <v>3356</v>
      </c>
      <c r="D10" s="2647"/>
      <c r="E10" s="2647"/>
      <c r="F10" s="2660"/>
      <c r="G10" s="2660"/>
      <c r="J10" s="2664"/>
      <c r="M10" s="2664"/>
      <c r="P10" s="2664"/>
      <c r="R10" s="2663"/>
    </row>
    <row r="11" spans="1:18">
      <c r="A11" s="2665"/>
      <c r="B11" s="2656"/>
      <c r="C11" s="2647"/>
      <c r="D11" s="2647"/>
      <c r="E11" s="2647"/>
      <c r="F11" s="2656"/>
      <c r="G11" s="2656"/>
      <c r="J11" s="2664"/>
      <c r="M11" s="2664"/>
      <c r="P11" s="2664"/>
      <c r="R11" s="2663"/>
    </row>
    <row r="12" spans="1:18" s="2638" customFormat="1" ht="18.75">
      <c r="A12" s="2665"/>
      <c r="B12" s="2656"/>
      <c r="C12" s="2647"/>
      <c r="D12" s="2666"/>
      <c r="E12" s="2647"/>
      <c r="F12" s="2656"/>
      <c r="G12" s="2656"/>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一般</v>
      </c>
      <c r="D15" s="2647"/>
      <c r="E15" s="2677" t="s">
        <v>1193</v>
      </c>
      <c r="F15" s="2675" t="s">
        <v>1208</v>
      </c>
      <c r="G15" s="2678" t="str">
        <f>G3</f>
        <v>估价对象位于XX开发区，园区建设成熟度XX，产业集聚程度XX</v>
      </c>
    </row>
    <row r="16" spans="1:18" ht="40.5">
      <c r="A16" s="2679"/>
      <c r="B16" s="2680" t="s">
        <v>1202</v>
      </c>
      <c r="C16" s="2681">
        <f>C4</f>
        <v>0</v>
      </c>
      <c r="D16" s="2647"/>
      <c r="E16" s="2682"/>
      <c r="F16" s="2683" t="s">
        <v>1203</v>
      </c>
      <c r="G16" s="2684" t="str">
        <f>G4</f>
        <v>估价对象周边道路状况、公共交通通达情况、停车便捷程度，综合评价交通便捷度较好</v>
      </c>
    </row>
    <row r="17" spans="1:7" ht="14.25">
      <c r="A17" s="2679"/>
      <c r="B17" s="2680" t="s">
        <v>1204</v>
      </c>
      <c r="C17" s="2681">
        <f>C5</f>
        <v>0</v>
      </c>
      <c r="D17" s="2656"/>
      <c r="E17" s="2682"/>
      <c r="F17" s="2683" t="s">
        <v>1209</v>
      </c>
      <c r="G17" s="2685"/>
    </row>
    <row r="18" spans="1:7" ht="27">
      <c r="A18" s="2679"/>
      <c r="B18" s="2683" t="s">
        <v>1190</v>
      </c>
      <c r="C18" s="2684" t="str">
        <f>C6</f>
        <v>一般</v>
      </c>
      <c r="D18" s="2656"/>
      <c r="E18" s="2682"/>
      <c r="F18" s="2683" t="s">
        <v>1205</v>
      </c>
      <c r="G18" s="2684" t="str">
        <f>G7</f>
        <v>该园区内是否有污染型企业，绿化情况，卫生条件，整体环境状况判断</v>
      </c>
    </row>
    <row r="19" spans="1:7" ht="27">
      <c r="A19" s="2679"/>
      <c r="B19" s="2683" t="s">
        <v>1194</v>
      </c>
      <c r="C19" s="2685"/>
      <c r="D19" s="2647"/>
      <c r="E19" s="2682"/>
      <c r="F19" s="2651" t="s">
        <v>1829</v>
      </c>
      <c r="G19" s="2684" t="str">
        <f>G5</f>
        <v>估价对象所在区域公共配套设施齐备情况</v>
      </c>
    </row>
    <row r="20" spans="1:7">
      <c r="A20" s="2679"/>
      <c r="B20" s="2683" t="s">
        <v>1195</v>
      </c>
      <c r="C20" s="2681" t="str">
        <f>C9</f>
        <v>一般</v>
      </c>
      <c r="D20" s="2656"/>
      <c r="E20" s="2682"/>
      <c r="F20" s="2651" t="s">
        <v>1830</v>
      </c>
      <c r="G20" s="2684" t="str">
        <f>G6</f>
        <v>估价对象所在区域基础设施水平</v>
      </c>
    </row>
    <row r="21" spans="1:7" ht="14.25">
      <c r="A21" s="2679"/>
      <c r="B21" s="2651" t="s">
        <v>1829</v>
      </c>
      <c r="C21" s="2684" t="str">
        <f>C7</f>
        <v>一般</v>
      </c>
      <c r="D21" s="2647"/>
      <c r="E21" s="2682"/>
      <c r="F21" s="2683" t="s">
        <v>1196</v>
      </c>
      <c r="G21" s="2686"/>
    </row>
    <row r="22" spans="1:7" ht="14.25">
      <c r="A22" s="2679"/>
      <c r="B22" s="2651" t="s">
        <v>1830</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t="str">
        <f>C10</f>
        <v>次干道-林河南大街</v>
      </c>
      <c r="E24" s="2656"/>
      <c r="F24" s="2656"/>
      <c r="G24" s="2656"/>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6" sqref="G16"/>
    </sheetView>
  </sheetViews>
  <sheetFormatPr defaultColWidth="14.625" defaultRowHeight="13.5"/>
  <cols>
    <col min="1" max="1" width="24.375" style="2693" customWidth="1"/>
    <col min="2" max="16384" width="14.625" style="2693"/>
  </cols>
  <sheetData>
    <row r="1" spans="1:11" ht="16.5">
      <c r="A1" s="2692" t="s">
        <v>2118</v>
      </c>
      <c r="B1" s="2692">
        <f>SUM(B14:B23)</f>
        <v>105607.264</v>
      </c>
      <c r="C1" s="2700"/>
      <c r="D1" s="2700"/>
      <c r="E1" s="2700"/>
      <c r="F1" s="2700"/>
      <c r="G1" s="2701"/>
      <c r="H1" s="2701"/>
      <c r="I1" s="2701"/>
      <c r="J1" s="2701"/>
    </row>
    <row r="2" spans="1:11" ht="16.5">
      <c r="A2" s="2692" t="s">
        <v>2119</v>
      </c>
      <c r="B2" s="2692">
        <f>SUM(C14:C23)</f>
        <v>46136.84</v>
      </c>
      <c r="C2" s="2700"/>
      <c r="D2" s="2700"/>
      <c r="E2" s="2700"/>
      <c r="F2" s="2700"/>
      <c r="G2" s="2701"/>
      <c r="H2" s="2701"/>
      <c r="I2" s="2701"/>
      <c r="J2" s="2701"/>
    </row>
    <row r="3" spans="1:11" ht="16.5">
      <c r="A3" s="2692" t="s">
        <v>2120</v>
      </c>
      <c r="B3" s="2694">
        <f>项目基本情况!D3</f>
        <v>45541</v>
      </c>
      <c r="C3" s="2700"/>
      <c r="D3" s="2700"/>
      <c r="E3" s="2700"/>
      <c r="F3" s="2700"/>
      <c r="G3" s="2701"/>
      <c r="H3" s="2701"/>
      <c r="I3" s="2701"/>
      <c r="J3" s="2701"/>
    </row>
    <row r="4" spans="1:11" ht="33">
      <c r="A4" s="2692" t="s">
        <v>2121</v>
      </c>
      <c r="B4" s="2692" t="s">
        <v>2122</v>
      </c>
      <c r="C4" s="2692" t="s">
        <v>2123</v>
      </c>
      <c r="D4" s="2692" t="s">
        <v>2124</v>
      </c>
      <c r="E4" s="2700"/>
      <c r="F4" s="2700"/>
      <c r="G4" s="2701"/>
      <c r="H4" s="2701"/>
      <c r="I4" s="2701"/>
      <c r="J4" s="2701"/>
    </row>
    <row r="5" spans="1:11" ht="16.5">
      <c r="A5" s="2692" t="s">
        <v>2125</v>
      </c>
      <c r="B5" s="2692">
        <f ca="1">SUM(D14:D23)</f>
        <v>121335</v>
      </c>
      <c r="C5" s="2692">
        <f ca="1">ROUND(B5*10000/$B$1,0)</f>
        <v>11489</v>
      </c>
      <c r="D5" s="2692">
        <f ca="1">ROUND(B5*10000/$B$2,0)</f>
        <v>26299</v>
      </c>
      <c r="E5" s="2700"/>
      <c r="F5" s="2700"/>
      <c r="G5" s="2701"/>
      <c r="H5" s="2701"/>
      <c r="I5" s="2701"/>
      <c r="J5" s="2701"/>
      <c r="K5" s="2693">
        <f>土地!AQ2</f>
        <v>119000</v>
      </c>
    </row>
    <row r="6" spans="1:11" ht="16.5">
      <c r="A6" s="2692" t="s">
        <v>2126</v>
      </c>
      <c r="B6" s="2692">
        <f ca="1">SUM(G14:G23)</f>
        <v>119796</v>
      </c>
      <c r="C6" s="2692">
        <f ca="1">ROUND(B6*10000/$B$1,0)</f>
        <v>11344</v>
      </c>
      <c r="D6" s="2692">
        <f ca="1">ROUND(B6*10000/$B$2,0)</f>
        <v>25965</v>
      </c>
      <c r="E6" s="2700"/>
      <c r="F6" s="2700"/>
      <c r="G6" s="2701"/>
      <c r="H6" s="2701"/>
      <c r="I6" s="2701"/>
      <c r="J6" s="2701"/>
    </row>
    <row r="7" spans="1:11" ht="16.5">
      <c r="A7" s="2692" t="s">
        <v>2127</v>
      </c>
      <c r="B7" s="2692">
        <f>SUM(H14:H23)</f>
        <v>0</v>
      </c>
      <c r="C7" s="2692">
        <f>ROUND(B7*10000/$B$1,0)</f>
        <v>0</v>
      </c>
      <c r="D7" s="2692">
        <f>ROUND(B7*10000/$B$2,0)</f>
        <v>0</v>
      </c>
      <c r="E7" s="2700"/>
      <c r="F7" s="2700"/>
      <c r="G7" s="2701"/>
      <c r="H7" s="2701"/>
      <c r="I7" s="2701"/>
      <c r="J7" s="2701"/>
    </row>
    <row r="8" spans="1:11" ht="16.5">
      <c r="A8" s="2692" t="s">
        <v>2128</v>
      </c>
      <c r="B8" s="2692">
        <f>SUM(I14:I23)</f>
        <v>0</v>
      </c>
      <c r="C8" s="2692">
        <f>ROUND(B8*10000/$B$1,0)</f>
        <v>0</v>
      </c>
      <c r="D8" s="2692">
        <f>ROUND(B8*10000/$B$2,0)</f>
        <v>0</v>
      </c>
      <c r="E8" s="2700"/>
      <c r="F8" s="2700"/>
      <c r="G8" s="2701"/>
      <c r="H8" s="2701"/>
      <c r="I8" s="2701"/>
      <c r="J8" s="2701"/>
    </row>
    <row r="9" spans="1:11" ht="16.5">
      <c r="A9" s="2692" t="s">
        <v>2129</v>
      </c>
      <c r="B9" s="2325"/>
      <c r="C9" s="2700"/>
      <c r="D9" s="2700"/>
      <c r="E9" s="2700"/>
      <c r="F9" s="2700"/>
      <c r="G9" s="2701"/>
      <c r="H9" s="2701"/>
      <c r="I9" s="2701"/>
      <c r="J9" s="2701"/>
    </row>
    <row r="10" spans="1:11" ht="16.5">
      <c r="A10" s="2692" t="s">
        <v>2130</v>
      </c>
      <c r="B10" s="2325"/>
      <c r="C10" s="2700"/>
      <c r="D10" s="2700"/>
      <c r="E10" s="2700"/>
      <c r="F10" s="2700"/>
      <c r="G10" s="2701"/>
      <c r="H10" s="2701"/>
      <c r="I10" s="2701"/>
      <c r="J10" s="2701"/>
    </row>
    <row r="11" spans="1:11" ht="16.5">
      <c r="A11" s="2692" t="s">
        <v>2145</v>
      </c>
      <c r="B11" s="2325"/>
      <c r="C11" s="2700"/>
      <c r="D11" s="2700"/>
      <c r="E11" s="2700"/>
      <c r="F11" s="2700"/>
      <c r="G11" s="2701"/>
      <c r="H11" s="2701"/>
      <c r="I11" s="2701"/>
      <c r="J11" s="2701"/>
    </row>
    <row r="12" spans="1:11" ht="16.5">
      <c r="A12" s="2700"/>
      <c r="B12" s="2700"/>
      <c r="C12" s="2700"/>
      <c r="D12" s="2700"/>
      <c r="E12" s="2700"/>
      <c r="F12" s="2700"/>
      <c r="G12" s="2701"/>
      <c r="H12" s="2701"/>
      <c r="I12" s="2701"/>
      <c r="J12" s="2701"/>
    </row>
    <row r="13" spans="1:11" ht="33">
      <c r="A13" s="2695" t="s">
        <v>2144</v>
      </c>
      <c r="B13" s="2696" t="s">
        <v>2118</v>
      </c>
      <c r="C13" s="2696" t="s">
        <v>2119</v>
      </c>
      <c r="D13" s="2696" t="s">
        <v>2131</v>
      </c>
      <c r="E13" s="2692" t="s">
        <v>2143</v>
      </c>
      <c r="F13" s="2692" t="s">
        <v>2124</v>
      </c>
      <c r="G13" s="2696" t="s">
        <v>2132</v>
      </c>
      <c r="H13" s="2696" t="s">
        <v>2133</v>
      </c>
      <c r="I13" s="2696" t="s">
        <v>2134</v>
      </c>
      <c r="J13" s="2701"/>
    </row>
    <row r="14" spans="1:11" ht="16.5">
      <c r="A14" s="2697" t="str">
        <f>'数据-基础表'!C13</f>
        <v>15地块</v>
      </c>
      <c r="B14" s="2698">
        <f>结果表!L38</f>
        <v>46690.582000000002</v>
      </c>
      <c r="C14" s="2698">
        <f>结果表!K38</f>
        <v>20362.47</v>
      </c>
      <c r="D14" s="2698">
        <f ca="1">结果表!O38</f>
        <v>52995</v>
      </c>
      <c r="E14" s="2698">
        <f ca="1">ROUND(D14*10000/B14,0)</f>
        <v>11350</v>
      </c>
      <c r="F14" s="2698">
        <f ca="1">ROUND(D14*10000/C14,0)</f>
        <v>26026</v>
      </c>
      <c r="G14" s="2698">
        <f ca="1">结果表!O39</f>
        <v>52451</v>
      </c>
      <c r="H14" s="2698"/>
      <c r="I14" s="2698"/>
      <c r="J14" s="2701"/>
    </row>
    <row r="15" spans="1:11" ht="16.5">
      <c r="A15" s="2697" t="s">
        <v>3539</v>
      </c>
      <c r="B15" s="2698">
        <f>[3]系统读取表!$B$14</f>
        <v>58916.682000000001</v>
      </c>
      <c r="C15" s="2698">
        <f>[3]系统读取表!$C$14</f>
        <v>25774.37</v>
      </c>
      <c r="D15" s="2698">
        <f ca="1">[3]系统读取表!$D$14</f>
        <v>68340</v>
      </c>
      <c r="E15" s="2698">
        <f t="shared" ref="E15:E23" ca="1" si="0">ROUND(D15*10000/B15,0)</f>
        <v>11599</v>
      </c>
      <c r="F15" s="2698">
        <f t="shared" ref="F15:F23" ca="1" si="1">ROUND(D15*10000/C15,0)</f>
        <v>26515</v>
      </c>
      <c r="G15" s="2325">
        <f ca="1">[3]系统读取表!$G$14</f>
        <v>67345</v>
      </c>
      <c r="H15" s="2325"/>
      <c r="I15" s="2699"/>
      <c r="J15" s="2701"/>
    </row>
    <row r="16" spans="1:11" ht="16.5">
      <c r="A16" s="2697" t="s">
        <v>2135</v>
      </c>
      <c r="B16" s="2699"/>
      <c r="C16" s="2699"/>
      <c r="D16" s="2699"/>
      <c r="E16" s="2698" t="e">
        <f t="shared" si="0"/>
        <v>#DIV/0!</v>
      </c>
      <c r="F16" s="2698" t="e">
        <f t="shared" si="1"/>
        <v>#DIV/0!</v>
      </c>
      <c r="G16" s="2325"/>
      <c r="H16" s="2325"/>
      <c r="I16" s="2699"/>
      <c r="J16" s="2701"/>
    </row>
    <row r="17" spans="1:10" ht="16.5">
      <c r="A17" s="2697" t="s">
        <v>2136</v>
      </c>
      <c r="B17" s="2699"/>
      <c r="C17" s="2699"/>
      <c r="D17" s="2699"/>
      <c r="E17" s="2698" t="e">
        <f t="shared" si="0"/>
        <v>#DIV/0!</v>
      </c>
      <c r="F17" s="2698" t="e">
        <f t="shared" si="1"/>
        <v>#DIV/0!</v>
      </c>
      <c r="G17" s="2325"/>
      <c r="H17" s="2325"/>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O39" sqref="O39"/>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t="s">
        <v>3537</v>
      </c>
      <c r="E1" s="1499" t="s">
        <v>1575</v>
      </c>
      <c r="F1" s="1501" t="s">
        <v>3538</v>
      </c>
      <c r="G1" s="287"/>
      <c r="H1" s="287"/>
      <c r="I1" s="287"/>
      <c r="J1" s="1636"/>
      <c r="K1" s="1636"/>
      <c r="L1" s="1636"/>
      <c r="M1" s="1636"/>
      <c r="N1" s="1636"/>
      <c r="O1" s="1636"/>
      <c r="P1" s="1636"/>
      <c r="Q1" s="1636"/>
      <c r="R1" s="1636"/>
      <c r="S1" s="1636"/>
      <c r="T1" s="1636"/>
      <c r="U1" s="1636"/>
      <c r="V1" s="1636"/>
    </row>
    <row r="2" spans="1:22" ht="21.75" customHeight="1" thickBot="1">
      <c r="A2" s="3547" t="str">
        <f>项目基本情况!K2</f>
        <v>北京市顺义区仁和镇临河村棚户区改造土地开发A片区项目SY00-0702-15、16地块出让国有建设用地使用权</v>
      </c>
      <c r="B2" s="3548"/>
      <c r="C2" s="3549"/>
      <c r="D2" s="3549"/>
      <c r="E2" s="3549"/>
      <c r="F2" s="3549"/>
      <c r="G2" s="3548"/>
      <c r="H2" s="3548"/>
      <c r="I2" s="3550"/>
      <c r="J2" s="1643"/>
      <c r="K2" s="1636"/>
      <c r="L2" s="1636"/>
      <c r="M2" s="1636"/>
      <c r="N2" s="1636"/>
      <c r="O2" s="1636"/>
      <c r="P2" s="1636"/>
      <c r="Q2" s="1636"/>
      <c r="R2" s="1636"/>
      <c r="S2" s="1636"/>
      <c r="T2" s="1636"/>
      <c r="U2" s="1636"/>
      <c r="V2" s="1636"/>
    </row>
    <row r="3" spans="1:22" ht="14.25">
      <c r="A3" s="3540" t="s">
        <v>264</v>
      </c>
      <c r="B3" s="3541"/>
      <c r="C3" s="3541"/>
      <c r="D3" s="3541"/>
      <c r="E3" s="3541"/>
      <c r="F3" s="3541"/>
      <c r="G3" s="3541"/>
      <c r="H3" s="3541"/>
      <c r="I3" s="3541"/>
      <c r="J3" s="1643"/>
      <c r="K3" s="1636"/>
      <c r="L3" s="1636"/>
      <c r="M3" s="1636"/>
      <c r="N3" s="1636"/>
      <c r="O3" s="1636"/>
      <c r="P3" s="1636"/>
      <c r="Q3" s="1636"/>
      <c r="R3" s="1636"/>
      <c r="S3" s="1636"/>
      <c r="T3" s="1636"/>
      <c r="U3" s="1636"/>
      <c r="V3" s="1636"/>
    </row>
    <row r="4" spans="1:22" ht="14.25">
      <c r="A4" s="238" t="s">
        <v>265</v>
      </c>
      <c r="B4" s="239" t="s">
        <v>266</v>
      </c>
      <c r="C4" s="240" t="s">
        <v>3506</v>
      </c>
      <c r="D4" s="240" t="s">
        <v>3507</v>
      </c>
      <c r="E4" s="3506" t="s">
        <v>267</v>
      </c>
      <c r="F4" s="3507"/>
      <c r="G4" s="3507"/>
      <c r="H4" s="3507"/>
      <c r="I4" s="3542"/>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05" t="s">
        <v>268</v>
      </c>
      <c r="B5" s="3534">
        <v>25</v>
      </c>
      <c r="C5" s="3532"/>
      <c r="D5" s="3536"/>
      <c r="E5" s="241" t="s">
        <v>269</v>
      </c>
      <c r="F5" s="242"/>
      <c r="G5" s="242"/>
      <c r="H5" s="242"/>
      <c r="I5" s="243"/>
      <c r="J5" s="1643"/>
      <c r="K5" s="1636"/>
      <c r="L5" s="1636"/>
      <c r="M5" s="1636"/>
      <c r="N5" s="1636"/>
      <c r="O5" s="1636"/>
      <c r="P5" s="1636"/>
      <c r="Q5" s="1636"/>
      <c r="R5" s="1636"/>
      <c r="S5" s="1636"/>
      <c r="T5" s="1636"/>
      <c r="U5" s="1636"/>
      <c r="V5" s="1636"/>
    </row>
    <row r="6" spans="1:22" ht="14.25">
      <c r="A6" s="3505"/>
      <c r="B6" s="3534"/>
      <c r="C6" s="3535"/>
      <c r="D6" s="3536"/>
      <c r="E6" s="241" t="s">
        <v>270</v>
      </c>
      <c r="F6" s="242"/>
      <c r="G6" s="242"/>
      <c r="H6" s="242"/>
      <c r="I6" s="243"/>
      <c r="J6" s="1643"/>
      <c r="K6" s="1636"/>
      <c r="L6" s="1636"/>
      <c r="M6" s="1636"/>
      <c r="N6" s="1636"/>
      <c r="O6" s="1636"/>
      <c r="P6" s="1636"/>
      <c r="Q6" s="1636"/>
      <c r="R6" s="1636"/>
      <c r="S6" s="1636"/>
      <c r="T6" s="1636"/>
      <c r="U6" s="1636"/>
      <c r="V6" s="1636"/>
    </row>
    <row r="7" spans="1:22" ht="14.25">
      <c r="A7" s="3505"/>
      <c r="B7" s="3534"/>
      <c r="C7" s="3533"/>
      <c r="D7" s="3536"/>
      <c r="E7" s="241" t="s">
        <v>271</v>
      </c>
      <c r="F7" s="242"/>
      <c r="G7" s="242"/>
      <c r="H7" s="242"/>
      <c r="I7" s="243"/>
      <c r="J7" s="1643"/>
      <c r="K7" s="1636"/>
      <c r="L7" s="1636"/>
      <c r="M7" s="1636"/>
      <c r="N7" s="1636"/>
      <c r="O7" s="1636"/>
      <c r="P7" s="1636"/>
      <c r="Q7" s="1636"/>
      <c r="R7" s="1636"/>
      <c r="S7" s="1636"/>
      <c r="T7" s="1636"/>
      <c r="U7" s="1636"/>
      <c r="V7" s="1636"/>
    </row>
    <row r="8" spans="1:22" ht="14.25">
      <c r="A8" s="3505" t="s">
        <v>272</v>
      </c>
      <c r="B8" s="3534">
        <v>15</v>
      </c>
      <c r="C8" s="3532"/>
      <c r="D8" s="3536"/>
      <c r="E8" s="241" t="s">
        <v>273</v>
      </c>
      <c r="F8" s="242"/>
      <c r="G8" s="242"/>
      <c r="H8" s="242"/>
      <c r="I8" s="243"/>
      <c r="J8" s="1643"/>
      <c r="K8" s="1636"/>
      <c r="L8" s="1636"/>
      <c r="M8" s="1636"/>
      <c r="N8" s="1636"/>
      <c r="O8" s="1636"/>
      <c r="P8" s="1636"/>
      <c r="Q8" s="1636"/>
      <c r="R8" s="1636"/>
      <c r="S8" s="1636"/>
      <c r="T8" s="1636"/>
      <c r="U8" s="1636"/>
      <c r="V8" s="1636"/>
    </row>
    <row r="9" spans="1:22" ht="14.25">
      <c r="A9" s="3505"/>
      <c r="B9" s="3534"/>
      <c r="C9" s="3533"/>
      <c r="D9" s="3536"/>
      <c r="E9" s="241" t="s">
        <v>274</v>
      </c>
      <c r="F9" s="242"/>
      <c r="G9" s="242"/>
      <c r="H9" s="242"/>
      <c r="I9" s="243"/>
      <c r="J9" s="1643"/>
      <c r="K9" s="1636"/>
      <c r="L9" s="1636"/>
      <c r="M9" s="1636"/>
      <c r="N9" s="1636"/>
      <c r="O9" s="1636"/>
      <c r="P9" s="1636"/>
      <c r="Q9" s="1636"/>
      <c r="R9" s="1636"/>
      <c r="S9" s="1636"/>
      <c r="T9" s="1636"/>
      <c r="U9" s="1636"/>
      <c r="V9" s="1636"/>
    </row>
    <row r="10" spans="1:22" ht="14.25">
      <c r="A10" s="3505" t="s">
        <v>275</v>
      </c>
      <c r="B10" s="3534">
        <v>15</v>
      </c>
      <c r="C10" s="3532"/>
      <c r="D10" s="3536"/>
      <c r="E10" s="241" t="s">
        <v>276</v>
      </c>
      <c r="F10" s="242"/>
      <c r="G10" s="242"/>
      <c r="H10" s="242"/>
      <c r="I10" s="243"/>
      <c r="J10" s="1643"/>
      <c r="K10" s="1636"/>
      <c r="L10" s="1636"/>
      <c r="M10" s="1636"/>
      <c r="N10" s="1636"/>
      <c r="O10" s="1636"/>
      <c r="P10" s="1636"/>
      <c r="Q10" s="1636"/>
      <c r="R10" s="1636"/>
      <c r="S10" s="1636"/>
      <c r="T10" s="1636"/>
      <c r="U10" s="1636"/>
      <c r="V10" s="1636"/>
    </row>
    <row r="11" spans="1:22" ht="14.25">
      <c r="A11" s="3505"/>
      <c r="B11" s="3534"/>
      <c r="C11" s="3533"/>
      <c r="D11" s="3536"/>
      <c r="E11" s="241" t="s">
        <v>277</v>
      </c>
      <c r="F11" s="242"/>
      <c r="G11" s="242"/>
      <c r="H11" s="242"/>
      <c r="I11" s="243"/>
      <c r="J11" s="1643"/>
      <c r="K11" s="1636"/>
      <c r="L11" s="1636"/>
      <c r="M11" s="1636"/>
      <c r="N11" s="1636"/>
      <c r="O11" s="1636"/>
      <c r="P11" s="1636"/>
      <c r="Q11" s="1636"/>
      <c r="R11" s="1636"/>
      <c r="S11" s="1636"/>
      <c r="T11" s="1636"/>
      <c r="U11" s="1636"/>
      <c r="V11" s="1636"/>
    </row>
    <row r="12" spans="1:22" ht="14.25">
      <c r="A12" s="3505" t="s">
        <v>278</v>
      </c>
      <c r="B12" s="3534">
        <v>15</v>
      </c>
      <c r="C12" s="3532"/>
      <c r="D12" s="3536"/>
      <c r="E12" s="241" t="s">
        <v>279</v>
      </c>
      <c r="F12" s="242"/>
      <c r="G12" s="242"/>
      <c r="H12" s="242"/>
      <c r="I12" s="243"/>
      <c r="J12" s="1643"/>
      <c r="K12" s="1636"/>
      <c r="L12" s="1636"/>
      <c r="M12" s="1636"/>
      <c r="N12" s="1636"/>
      <c r="O12" s="1636"/>
      <c r="P12" s="1636"/>
      <c r="Q12" s="1636"/>
      <c r="R12" s="1636"/>
      <c r="S12" s="1636"/>
      <c r="T12" s="1636"/>
      <c r="U12" s="1636"/>
      <c r="V12" s="1636"/>
    </row>
    <row r="13" spans="1:22" ht="14.25">
      <c r="A13" s="3505"/>
      <c r="B13" s="3534"/>
      <c r="C13" s="3533"/>
      <c r="D13" s="3536"/>
      <c r="E13" s="241" t="s">
        <v>280</v>
      </c>
      <c r="F13" s="242"/>
      <c r="G13" s="242"/>
      <c r="H13" s="242"/>
      <c r="I13" s="243"/>
      <c r="J13" s="1643"/>
      <c r="K13" s="1636"/>
      <c r="L13" s="1636"/>
      <c r="M13" s="1636"/>
      <c r="N13" s="1636"/>
      <c r="O13" s="1636"/>
      <c r="P13" s="1636"/>
      <c r="Q13" s="1636"/>
      <c r="R13" s="1636"/>
      <c r="S13" s="1636"/>
      <c r="T13" s="1636"/>
      <c r="U13" s="1636"/>
      <c r="V13" s="1636"/>
    </row>
    <row r="14" spans="1:22" ht="14.25">
      <c r="A14" s="3505" t="s">
        <v>281</v>
      </c>
      <c r="B14" s="3534">
        <v>30</v>
      </c>
      <c r="C14" s="3532">
        <v>5</v>
      </c>
      <c r="D14" s="3536">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05"/>
      <c r="B15" s="3534"/>
      <c r="C15" s="3535"/>
      <c r="D15" s="3536"/>
      <c r="E15" s="241" t="s">
        <v>283</v>
      </c>
      <c r="F15" s="242"/>
      <c r="G15" s="242"/>
      <c r="H15" s="242"/>
      <c r="I15" s="243"/>
      <c r="J15" s="1643"/>
      <c r="K15" s="1636"/>
      <c r="L15" s="1636"/>
      <c r="M15" s="1636"/>
      <c r="N15" s="1636"/>
      <c r="O15" s="1636"/>
      <c r="P15" s="1636"/>
      <c r="Q15" s="1636"/>
      <c r="R15" s="1636"/>
      <c r="S15" s="1636"/>
      <c r="T15" s="1636"/>
      <c r="U15" s="1636"/>
      <c r="V15" s="1636"/>
    </row>
    <row r="16" spans="1:22" ht="14.25">
      <c r="A16" s="3505"/>
      <c r="B16" s="3534"/>
      <c r="C16" s="3533"/>
      <c r="D16" s="3536"/>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37" t="s">
        <v>2248</v>
      </c>
      <c r="F18" s="3538"/>
      <c r="G18" s="3538"/>
      <c r="H18" s="3538"/>
      <c r="I18" s="3538"/>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52154</v>
      </c>
      <c r="D19" s="251">
        <f ca="1">SUMIF(INDIRECT("'"&amp;D4&amp;"'"&amp;"!A:A"),结果表!B19,INDIRECT("'"&amp;D4&amp;"'"&amp;"!B:B"))</f>
        <v>53835</v>
      </c>
      <c r="E19" s="248" t="s">
        <v>289</v>
      </c>
      <c r="F19" s="249" t="s">
        <v>288</v>
      </c>
      <c r="G19" s="252">
        <f ca="1">ROUND(C19*$C$18+D19*$D$18,0)</f>
        <v>52995</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11170</v>
      </c>
      <c r="D20" s="256">
        <f ca="1">SUMIF(INDIRECT("'"&amp;D4&amp;"'"&amp;"!A:A"),结果表!B20,INDIRECT("'"&amp;D4&amp;"'"&amp;"!B:B"))</f>
        <v>11530</v>
      </c>
      <c r="E20" s="254"/>
      <c r="F20" s="102" t="s">
        <v>291</v>
      </c>
      <c r="G20" s="257">
        <f ca="1">ROUND(C20*$C$18+D20*$D$18,0)</f>
        <v>11350</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25613</v>
      </c>
      <c r="D21" s="135">
        <f ca="1">SUMIF(INDIRECT("'"&amp;D4&amp;"'"&amp;"!A:A"),结果表!B21,INDIRECT("'"&amp;D4&amp;"'"&amp;"!B:B"))</f>
        <v>26438</v>
      </c>
      <c r="E21" s="254"/>
      <c r="F21" s="106" t="s">
        <v>293</v>
      </c>
      <c r="G21" s="260">
        <f ca="1">ROUND(C21*$C$18+D21*$D$18,0)</f>
        <v>26026</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3.2231468343751235E-2</v>
      </c>
      <c r="E22" s="262"/>
      <c r="F22" s="263"/>
      <c r="G22" s="264">
        <f ca="1">ROUND(G19/('数据-汇总表'!D3/666.67),0)</f>
        <v>1735</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11"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12"/>
      <c r="B25" s="1125" t="s">
        <v>297</v>
      </c>
      <c r="C25" s="268">
        <f>IF(B30=0,0,C30)</f>
        <v>0</v>
      </c>
      <c r="D25" s="269"/>
      <c r="E25" s="287"/>
      <c r="F25" s="287"/>
      <c r="G25" s="287"/>
      <c r="H25" s="287"/>
      <c r="I25" s="287"/>
      <c r="J25" s="1636"/>
      <c r="K25" s="1062" t="str">
        <f ca="1">项目基本情况!A17&amp;"国有建设用地使用权价格："&amp;O38&amp;"万元"</f>
        <v>出让国有建设用地使用权价格：52995万元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大写金额：人民币伍亿贰仟玖佰玖拾伍万元整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单位面积地价：26026元/平方米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楼面地价：11350元/平方米</v>
      </c>
      <c r="L28" s="1061"/>
      <c r="M28" s="1061"/>
      <c r="N28" s="1061"/>
      <c r="O28" s="258"/>
      <c r="P28" s="1636"/>
      <c r="V28" s="1636"/>
    </row>
    <row r="29" spans="1:22" ht="18">
      <c r="A29" s="270"/>
      <c r="B29" s="271"/>
      <c r="C29" s="271"/>
      <c r="D29" s="272"/>
      <c r="E29" s="287"/>
      <c r="F29" s="287"/>
      <c r="G29" s="287"/>
      <c r="H29" s="287"/>
      <c r="I29" s="287"/>
      <c r="J29" s="1636"/>
      <c r="K29" s="1065" t="str">
        <f ca="1">IF(OR(项目基本情况!E8="抵押价格",项目基本情况!E8="已注销及未注销"),"抵押价格："&amp;O39&amp;"万元","——")</f>
        <v>抵押价格：52451万元</v>
      </c>
      <c r="L29" s="1061"/>
      <c r="M29" s="1061"/>
      <c r="N29" s="1061"/>
      <c r="O29" s="258"/>
      <c r="P29" s="1636"/>
      <c r="V29" s="1636"/>
    </row>
    <row r="30" spans="1:22" ht="18.75" thickBot="1">
      <c r="A30" s="2364" t="s">
        <v>302</v>
      </c>
      <c r="B30" s="285"/>
      <c r="C30" s="285"/>
      <c r="D30" s="286"/>
      <c r="E30" s="2538" t="s">
        <v>2249</v>
      </c>
      <c r="F30" s="287"/>
      <c r="G30" s="287"/>
      <c r="H30" s="287"/>
      <c r="I30" s="287"/>
      <c r="J30" s="1636"/>
      <c r="K30" s="1065" t="str">
        <f ca="1">IF(K29="——","——","大写金额：人民币"&amp;NUMBERSTRING(INT(O39*10000),2)&amp;"元整")</f>
        <v>大写金额：人民币伍亿贰仟肆佰伍拾壹万元整</v>
      </c>
      <c r="L30" s="1061"/>
      <c r="M30" s="1061"/>
      <c r="N30" s="1061"/>
      <c r="O30" s="258"/>
      <c r="P30" s="1636"/>
      <c r="V30" s="1636"/>
    </row>
    <row r="31" spans="1:22" ht="24" customHeight="1" thickBot="1">
      <c r="A31" s="3539" t="s">
        <v>2250</v>
      </c>
      <c r="B31" s="3539"/>
      <c r="C31" s="3539"/>
      <c r="D31" s="3539"/>
      <c r="E31" s="3539"/>
      <c r="F31" s="3539"/>
      <c r="G31" s="3539"/>
      <c r="H31" s="3539"/>
      <c r="I31" s="3539"/>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52995</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11350</v>
      </c>
      <c r="D33" s="1173" t="s">
        <v>1224</v>
      </c>
      <c r="E33" s="3511" t="s">
        <v>304</v>
      </c>
      <c r="F33" s="273" t="s">
        <v>305</v>
      </c>
      <c r="G33" s="274"/>
      <c r="H33" s="895"/>
      <c r="I33" s="1066"/>
      <c r="J33" s="1636"/>
      <c r="K33" s="1065" t="str">
        <f>IF(项目基本情况!E9="——","——","抵押净值："&amp;C46&amp;"万元")</f>
        <v>——</v>
      </c>
      <c r="L33" s="1061"/>
      <c r="M33" s="1061"/>
      <c r="N33" s="1061"/>
      <c r="O33" s="258"/>
      <c r="P33" s="1636"/>
      <c r="V33" s="1636"/>
    </row>
    <row r="34" spans="1:22" ht="18.75" thickBot="1">
      <c r="A34" s="277"/>
      <c r="B34" s="98" t="s">
        <v>1225</v>
      </c>
      <c r="C34" s="244">
        <f ca="1">ROUND(C32*10000/'数据-汇总表'!D3,0)</f>
        <v>26026</v>
      </c>
      <c r="D34" s="1173" t="s">
        <v>1224</v>
      </c>
      <c r="E34" s="3555"/>
      <c r="F34" s="118" t="s">
        <v>307</v>
      </c>
      <c r="G34" s="276"/>
      <c r="H34" s="96"/>
      <c r="I34" s="287"/>
      <c r="J34" s="1636"/>
      <c r="K34" s="1068" t="str">
        <f>IF(K33="——","——","大写金额：人民币"&amp;NUMBERSTRING(INT(O41*10000),2)&amp;"元整")</f>
        <v>——</v>
      </c>
      <c r="L34" s="1069"/>
      <c r="M34" s="1069"/>
      <c r="N34" s="1069"/>
      <c r="O34" s="1070"/>
      <c r="P34" s="1636"/>
      <c r="V34" s="1636"/>
    </row>
    <row r="35" spans="1:22" ht="15.75" thickBot="1">
      <c r="A35" s="262"/>
      <c r="B35" s="1174"/>
      <c r="C35" s="1175">
        <f ca="1">ROUND(C32/('数据-汇总表'!D3/666.67),0)</f>
        <v>1735</v>
      </c>
      <c r="D35" s="1176" t="s">
        <v>1226</v>
      </c>
      <c r="E35" s="3556"/>
      <c r="F35" s="278" t="s">
        <v>308</v>
      </c>
      <c r="G35" s="897">
        <f>E39</f>
        <v>544</v>
      </c>
      <c r="H35" s="896" t="s">
        <v>309</v>
      </c>
      <c r="I35" s="287"/>
      <c r="J35" s="1636"/>
      <c r="K35" s="3529" t="s">
        <v>316</v>
      </c>
      <c r="L35" s="3529" t="s">
        <v>317</v>
      </c>
      <c r="M35" s="1071" t="s">
        <v>318</v>
      </c>
      <c r="N35" s="3529" t="s">
        <v>319</v>
      </c>
      <c r="O35" s="3529" t="s">
        <v>320</v>
      </c>
      <c r="P35" s="1636"/>
      <c r="V35" s="1636"/>
    </row>
    <row r="36" spans="1:22" ht="16.5" customHeight="1">
      <c r="A36" s="280" t="s">
        <v>310</v>
      </c>
      <c r="B36" s="281" t="s">
        <v>299</v>
      </c>
      <c r="C36" s="282" t="s">
        <v>311</v>
      </c>
      <c r="D36" s="282" t="s">
        <v>312</v>
      </c>
      <c r="E36" s="283" t="s">
        <v>313</v>
      </c>
      <c r="F36" s="287"/>
      <c r="G36" s="287"/>
      <c r="H36" s="287"/>
      <c r="I36" s="287"/>
      <c r="J36" s="1644"/>
      <c r="K36" s="3530"/>
      <c r="L36" s="3530"/>
      <c r="M36" s="1073" t="s">
        <v>321</v>
      </c>
      <c r="N36" s="3530"/>
      <c r="O36" s="3530"/>
      <c r="P36" s="1636"/>
      <c r="V36" s="1636"/>
    </row>
    <row r="37" spans="1:22" ht="16.5" customHeight="1" thickBot="1">
      <c r="A37" s="1067" t="s">
        <v>314</v>
      </c>
      <c r="B37" s="270">
        <f>'数据-汇总表'!G20</f>
        <v>9011.2199999999993</v>
      </c>
      <c r="C37" s="3413">
        <f>ROUND(15626*0.15*0.25,0)</f>
        <v>586</v>
      </c>
      <c r="D37" s="3411">
        <v>3.0499999999999999E-2</v>
      </c>
      <c r="E37" s="272">
        <f>ROUND(B37*C37*(1+D37)/10000,0)</f>
        <v>544</v>
      </c>
      <c r="F37" s="287"/>
      <c r="G37" s="287"/>
      <c r="H37" s="287"/>
      <c r="I37" s="287"/>
      <c r="J37" s="1644"/>
      <c r="K37" s="3531"/>
      <c r="L37" s="3531"/>
      <c r="M37" s="1074"/>
      <c r="N37" s="3531"/>
      <c r="O37" s="3531"/>
      <c r="P37" s="1636"/>
      <c r="V37" s="1636"/>
    </row>
    <row r="38" spans="1:22" ht="16.5" customHeight="1" thickBot="1">
      <c r="A38" s="1067" t="s">
        <v>315</v>
      </c>
      <c r="B38" s="270"/>
      <c r="C38" s="271"/>
      <c r="D38" s="271"/>
      <c r="E38" s="272"/>
      <c r="F38" s="287"/>
      <c r="G38" s="287"/>
      <c r="H38" s="287"/>
      <c r="I38" s="287"/>
      <c r="J38" s="1644"/>
      <c r="K38" s="1075">
        <f>'数据-汇总表'!D3</f>
        <v>20362.47</v>
      </c>
      <c r="L38" s="1076">
        <f>'数据-汇总表'!E3</f>
        <v>46690.582000000002</v>
      </c>
      <c r="M38" s="1076">
        <f ca="1">C34</f>
        <v>26026</v>
      </c>
      <c r="N38" s="1076">
        <f ca="1">C33</f>
        <v>11350</v>
      </c>
      <c r="O38" s="1077">
        <f ca="1">C32</f>
        <v>52995</v>
      </c>
      <c r="P38" s="1636"/>
      <c r="V38" s="1636"/>
    </row>
    <row r="39" spans="1:22" ht="16.5" customHeight="1" thickBot="1">
      <c r="A39" s="1072"/>
      <c r="B39" s="284"/>
      <c r="C39" s="285"/>
      <c r="D39" s="285"/>
      <c r="E39" s="286">
        <f>SUM(E37:E38)</f>
        <v>544</v>
      </c>
      <c r="F39" s="287"/>
      <c r="G39" s="287"/>
      <c r="H39" s="287"/>
      <c r="I39" s="287"/>
      <c r="J39" s="1644"/>
      <c r="K39" s="3569" t="str">
        <f>MID(A44,3,LEN(A44)-2)</f>
        <v>抵押价格</v>
      </c>
      <c r="L39" s="3570"/>
      <c r="M39" s="3570"/>
      <c r="N39" s="3571"/>
      <c r="O39" s="1178">
        <f ca="1">C44</f>
        <v>52451</v>
      </c>
      <c r="P39" s="1636"/>
      <c r="V39" s="1636"/>
    </row>
    <row r="40" spans="1:22" ht="19.5" thickBot="1">
      <c r="A40" s="95" t="s">
        <v>810</v>
      </c>
      <c r="B40" s="287"/>
      <c r="C40" s="287"/>
      <c r="D40" s="287"/>
      <c r="E40" s="287"/>
      <c r="F40" s="287"/>
      <c r="G40" s="287"/>
      <c r="H40" s="287"/>
      <c r="I40" s="287"/>
      <c r="J40" s="1644"/>
      <c r="K40" s="3569" t="str">
        <f>MID(A45,3,LEN(A45)-2)</f>
        <v/>
      </c>
      <c r="L40" s="3570"/>
      <c r="M40" s="3570"/>
      <c r="N40" s="3571"/>
      <c r="O40" s="1178" t="str">
        <f>C45</f>
        <v>——</v>
      </c>
      <c r="P40" s="1636"/>
      <c r="V40" s="1636"/>
    </row>
    <row r="41" spans="1:22" ht="16.5" thickBot="1">
      <c r="A41" s="288" t="s">
        <v>322</v>
      </c>
      <c r="B41" s="289"/>
      <c r="C41" s="290" t="s">
        <v>323</v>
      </c>
      <c r="D41" s="291" t="s">
        <v>324</v>
      </c>
      <c r="E41" s="291" t="s">
        <v>325</v>
      </c>
      <c r="F41" s="292" t="s">
        <v>326</v>
      </c>
      <c r="G41" s="287"/>
      <c r="H41" s="287"/>
      <c r="I41" s="287"/>
      <c r="J41" s="1644"/>
      <c r="K41" s="3569" t="str">
        <f>MID(A46,3,LEN(A46)-2)</f>
        <v/>
      </c>
      <c r="L41" s="3570"/>
      <c r="M41" s="3570"/>
      <c r="N41" s="3571"/>
      <c r="O41" s="1178" t="str">
        <f>C46</f>
        <v>——</v>
      </c>
      <c r="P41" s="1636"/>
      <c r="V41" s="1636"/>
    </row>
    <row r="42" spans="1:22" ht="29.25">
      <c r="A42" s="3513" t="s">
        <v>1585</v>
      </c>
      <c r="B42" s="3514"/>
      <c r="C42" s="244">
        <f ca="1">C32</f>
        <v>52995</v>
      </c>
      <c r="D42" s="293">
        <f ca="1">C33</f>
        <v>11350</v>
      </c>
      <c r="E42" s="293">
        <f ca="1">C34</f>
        <v>26026</v>
      </c>
      <c r="F42" s="294">
        <f ca="1">C35</f>
        <v>1735</v>
      </c>
      <c r="G42" s="287"/>
      <c r="H42" s="287"/>
      <c r="I42" s="295"/>
      <c r="J42" s="1644"/>
      <c r="K42" s="1078" t="s">
        <v>327</v>
      </c>
      <c r="L42" s="1660" t="s">
        <v>328</v>
      </c>
      <c r="M42" s="1079" t="s">
        <v>329</v>
      </c>
      <c r="N42" s="1661" t="s">
        <v>330</v>
      </c>
      <c r="O42" s="1662" t="s">
        <v>331</v>
      </c>
      <c r="P42" s="1636"/>
      <c r="V42" s="1636"/>
    </row>
    <row r="43" spans="1:22" ht="30">
      <c r="A43" s="3524" t="s">
        <v>2012</v>
      </c>
      <c r="B43" s="3525"/>
      <c r="C43" s="244">
        <f>IF(H33="正常操作",G33+G34+G35,G34+G35)</f>
        <v>544</v>
      </c>
      <c r="D43" s="293" t="s">
        <v>17</v>
      </c>
      <c r="E43" s="293" t="s">
        <v>18</v>
      </c>
      <c r="F43" s="294" t="s">
        <v>18</v>
      </c>
      <c r="G43" s="2171" t="s">
        <v>877</v>
      </c>
      <c r="H43" s="287"/>
      <c r="I43" s="295"/>
      <c r="J43" s="1644"/>
      <c r="K43" s="1080" t="str">
        <f>C4</f>
        <v>比较法-住宅、综合</v>
      </c>
      <c r="L43" s="1081">
        <f ca="1">IF(L42="估价结果/万元",C19,C20)</f>
        <v>52154</v>
      </c>
      <c r="M43" s="1082">
        <f>C18</f>
        <v>0.5</v>
      </c>
      <c r="N43" s="1083">
        <f ca="1">IF(N42="测算结果/万元",G19,G20)</f>
        <v>52995</v>
      </c>
      <c r="O43" s="1084">
        <f ca="1">IF(O42="最终结果/万元",C32,C33)</f>
        <v>52995</v>
      </c>
      <c r="P43" s="1636"/>
      <c r="V43" s="1636"/>
    </row>
    <row r="44" spans="1:22" ht="30.75" thickBot="1">
      <c r="A44" s="3513" t="str">
        <f>IF(OR(项目基本情况!E8="抵押价格",项目基本情况!E8="已注销及未注销"),"3.抵押价格","——")</f>
        <v>3.抵押价格</v>
      </c>
      <c r="B44" s="3514"/>
      <c r="C44" s="244">
        <f ca="1">IF(A44="——","——",C42-C43)</f>
        <v>52451</v>
      </c>
      <c r="D44" s="293">
        <f ca="1">ROUND(C44*10000/'数据-汇总表'!E3,0)</f>
        <v>11234</v>
      </c>
      <c r="E44" s="293">
        <f ca="1">ROUND(C44*10000/'数据-汇总表'!D3,0)</f>
        <v>25759</v>
      </c>
      <c r="F44" s="294">
        <f ca="1">ROUND(C44/('数据-汇总表'!D3/666.67),0)</f>
        <v>1717</v>
      </c>
      <c r="G44" s="287"/>
      <c r="H44" s="287"/>
      <c r="I44" s="295"/>
      <c r="J44" s="1644"/>
      <c r="K44" s="1085" t="str">
        <f>D4</f>
        <v>剩余法-待开发</v>
      </c>
      <c r="L44" s="1086">
        <f ca="1">IF(L42="估价结果/万元",D19,D20)</f>
        <v>53835</v>
      </c>
      <c r="M44" s="1087">
        <f>D18</f>
        <v>0.5</v>
      </c>
      <c r="N44" s="1088"/>
      <c r="O44" s="1089"/>
      <c r="P44" s="1636"/>
      <c r="V44" s="1636"/>
    </row>
    <row r="45" spans="1:22" ht="15">
      <c r="A45" s="3519" t="str">
        <f>IF(项目基本情况!E8="已注销及未注销","4.抵押担保权已注销时的抵押价格",IF(项目基本情况!E8="已注销","3.抵押担保权已注销时的抵押价格","——"))</f>
        <v>——</v>
      </c>
      <c r="B45" s="3520"/>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15" t="str">
        <f>IF(项目基本情况!E9="抵押净值",IF(A45="——","4.抵押净值","5.抵押净值"),"——")</f>
        <v>——</v>
      </c>
      <c r="B46" s="3516"/>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本次评估估价师知悉的法定优先受偿款为人民币544万元整。</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63" t="s">
        <v>340</v>
      </c>
      <c r="B63" s="3564"/>
      <c r="C63" s="3565"/>
      <c r="D63" s="315">
        <f ca="1">ROUND(C42*F63,0)</f>
        <v>52995</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21" t="s">
        <v>344</v>
      </c>
      <c r="B64" s="3522"/>
      <c r="C64" s="3522"/>
      <c r="D64" s="3522"/>
      <c r="E64" s="3522"/>
      <c r="F64" s="3522"/>
      <c r="G64" s="3523"/>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17" t="s">
        <v>352</v>
      </c>
      <c r="B66" s="3518"/>
      <c r="C66" s="3518"/>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78" t="s">
        <v>351</v>
      </c>
      <c r="M66" s="3579"/>
      <c r="N66" s="1973"/>
      <c r="O66" s="1974"/>
      <c r="P66" s="1975"/>
      <c r="Q66" s="1636"/>
      <c r="R66" s="1636"/>
      <c r="S66" s="1636"/>
      <c r="T66" s="1636"/>
      <c r="U66" s="1636"/>
      <c r="V66" s="1636"/>
    </row>
    <row r="67" spans="1:22" ht="25.5" customHeight="1">
      <c r="A67" s="326" t="s">
        <v>355</v>
      </c>
      <c r="B67" s="3508" t="s">
        <v>356</v>
      </c>
      <c r="C67" s="3508"/>
      <c r="D67" s="327">
        <v>0</v>
      </c>
      <c r="E67" s="37" t="s">
        <v>357</v>
      </c>
      <c r="F67" s="58" t="s">
        <v>15</v>
      </c>
      <c r="G67" s="3566"/>
      <c r="H67" s="2541" t="s">
        <v>2251</v>
      </c>
      <c r="I67" s="2543"/>
      <c r="J67" s="1649"/>
      <c r="K67" s="1632">
        <v>2</v>
      </c>
      <c r="L67" s="3572" t="s">
        <v>354</v>
      </c>
      <c r="M67" s="3572"/>
      <c r="N67" s="1129">
        <f>'数据-取费表'!B2</f>
        <v>45541</v>
      </c>
      <c r="O67" s="1129"/>
      <c r="P67" s="1129"/>
      <c r="Q67" s="1636"/>
      <c r="R67" s="1636"/>
      <c r="S67" s="1636"/>
      <c r="T67" s="1636"/>
      <c r="U67" s="1636"/>
      <c r="V67" s="1636"/>
    </row>
    <row r="68" spans="1:22" ht="25.5" customHeight="1">
      <c r="A68" s="328"/>
      <c r="B68" s="3508" t="s">
        <v>359</v>
      </c>
      <c r="C68" s="3508"/>
      <c r="D68" s="329"/>
      <c r="E68" s="73"/>
      <c r="F68" s="330"/>
      <c r="G68" s="3567"/>
      <c r="H68" s="2542" t="s">
        <v>2252</v>
      </c>
      <c r="I68" s="2543"/>
      <c r="J68" s="1649"/>
      <c r="K68" s="1632">
        <v>3</v>
      </c>
      <c r="L68" s="3572" t="s">
        <v>358</v>
      </c>
      <c r="M68" s="3572"/>
      <c r="N68" s="1099">
        <f ca="1">C42</f>
        <v>52995</v>
      </c>
      <c r="O68" s="1099"/>
      <c r="P68" s="1099"/>
      <c r="Q68" s="1636"/>
      <c r="R68" s="1636"/>
      <c r="S68" s="1636"/>
      <c r="T68" s="1636"/>
      <c r="U68" s="1636"/>
      <c r="V68" s="1636"/>
    </row>
    <row r="69" spans="1:22" ht="23.45" customHeight="1">
      <c r="A69" s="331"/>
      <c r="B69" s="3508" t="s">
        <v>360</v>
      </c>
      <c r="C69" s="3508"/>
      <c r="D69" s="332"/>
      <c r="E69" s="69"/>
      <c r="F69" s="330"/>
      <c r="G69" s="3568"/>
      <c r="H69" s="2542" t="s">
        <v>2253</v>
      </c>
      <c r="I69" s="2543"/>
      <c r="J69" s="1649"/>
      <c r="K69" s="1100">
        <v>4</v>
      </c>
      <c r="L69" s="3582" t="s">
        <v>2155</v>
      </c>
      <c r="M69" s="3583"/>
      <c r="N69" s="1101">
        <f ca="1">C44</f>
        <v>52451</v>
      </c>
      <c r="O69" s="1101"/>
      <c r="P69" s="1101"/>
      <c r="Q69" s="1636"/>
      <c r="R69" s="1636"/>
      <c r="S69" s="1636"/>
      <c r="T69" s="1636"/>
      <c r="U69" s="1636"/>
      <c r="V69" s="1636"/>
    </row>
    <row r="70" spans="1:22" ht="24" customHeight="1">
      <c r="A70" s="333" t="s">
        <v>361</v>
      </c>
      <c r="B70" s="3508" t="s">
        <v>362</v>
      </c>
      <c r="C70" s="3508"/>
      <c r="D70" s="332">
        <f ca="1">ROUND(D63*'数据-取费表'!B41/(1+'数据-取费表'!C42),0)</f>
        <v>2776</v>
      </c>
      <c r="E70" s="14" t="s">
        <v>363</v>
      </c>
      <c r="F70" s="334">
        <f>'数据-取费表'!B41</f>
        <v>5.5000000000000007E-2</v>
      </c>
      <c r="G70" s="335"/>
      <c r="H70" s="287"/>
      <c r="I70" s="1098"/>
      <c r="J70" s="1649"/>
      <c r="K70" s="2332"/>
      <c r="L70" s="2333"/>
      <c r="M70" s="2333"/>
      <c r="N70" s="2334" t="s">
        <v>2159</v>
      </c>
      <c r="O70" s="2333"/>
      <c r="P70" s="2335"/>
      <c r="Q70" s="1636"/>
      <c r="R70" s="1636"/>
      <c r="S70" s="1636"/>
      <c r="T70" s="1636"/>
      <c r="U70" s="1636"/>
      <c r="V70" s="1636"/>
    </row>
    <row r="71" spans="1:22" ht="12" customHeight="1">
      <c r="A71" s="333" t="s">
        <v>369</v>
      </c>
      <c r="B71" s="3509" t="s">
        <v>2278</v>
      </c>
      <c r="C71" s="3510"/>
      <c r="D71" s="332">
        <f ca="1">ROUND(D63*'数据-取费表'!B41/(1+'数据-取费表'!C42),0)</f>
        <v>2776</v>
      </c>
      <c r="E71" s="14" t="s">
        <v>363</v>
      </c>
      <c r="F71" s="334">
        <f>'数据-取费表'!B41</f>
        <v>5.5000000000000007E-2</v>
      </c>
      <c r="G71" s="335"/>
      <c r="H71" s="287"/>
      <c r="I71" s="1098"/>
      <c r="J71" s="1649"/>
      <c r="K71" s="2331" t="s">
        <v>364</v>
      </c>
      <c r="L71" s="3584" t="s">
        <v>365</v>
      </c>
      <c r="M71" s="3584"/>
      <c r="N71" s="2331" t="s">
        <v>366</v>
      </c>
      <c r="O71" s="2331" t="s">
        <v>367</v>
      </c>
      <c r="P71" s="2331" t="s">
        <v>368</v>
      </c>
      <c r="Q71" s="1636"/>
      <c r="R71" s="1636"/>
      <c r="S71" s="1636"/>
      <c r="T71" s="1636"/>
      <c r="U71" s="1636"/>
      <c r="V71" s="1636"/>
    </row>
    <row r="72" spans="1:22" ht="12" customHeight="1">
      <c r="A72" s="333" t="s">
        <v>371</v>
      </c>
      <c r="B72" s="3509" t="s">
        <v>2279</v>
      </c>
      <c r="C72" s="3510"/>
      <c r="D72" s="332">
        <f ca="1">C86</f>
        <v>2776</v>
      </c>
      <c r="E72" s="69" t="s">
        <v>372</v>
      </c>
      <c r="F72" s="334">
        <f>'数据-取费表'!B41</f>
        <v>5.5000000000000007E-2</v>
      </c>
      <c r="G72" s="335"/>
      <c r="H72" s="1104"/>
      <c r="I72" s="1098"/>
      <c r="J72" s="1649"/>
      <c r="K72" s="1632">
        <v>1</v>
      </c>
      <c r="L72" s="3559" t="s">
        <v>370</v>
      </c>
      <c r="M72" s="3559"/>
      <c r="N72" s="1102" t="b">
        <f>D66</f>
        <v>0</v>
      </c>
      <c r="O72" s="1539" t="str">
        <f>E66</f>
        <v>销售额×税（费）率</v>
      </c>
      <c r="P72" s="1103">
        <f>F66</f>
        <v>5.5000000000000007E-2</v>
      </c>
      <c r="Q72" s="1636"/>
      <c r="R72" s="1636"/>
      <c r="S72" s="1636"/>
      <c r="T72" s="1636"/>
      <c r="U72" s="1636"/>
      <c r="V72" s="1636"/>
    </row>
    <row r="73" spans="1:22" ht="24" customHeight="1">
      <c r="A73" s="3554" t="s">
        <v>374</v>
      </c>
      <c r="B73" s="3518"/>
      <c r="C73" s="3518"/>
      <c r="D73" s="336">
        <f ca="1">IF(H73="个人住宅",0,ROUND(D63*I73,0))</f>
        <v>26</v>
      </c>
      <c r="E73" s="14" t="s">
        <v>375</v>
      </c>
      <c r="F73" s="334" t="str">
        <f>IF(H73="正常",I73,"免征")</f>
        <v>免征</v>
      </c>
      <c r="G73" s="335"/>
      <c r="H73" s="174"/>
      <c r="I73" s="334">
        <f>'数据-取费表'!B49</f>
        <v>5.0000000000000001E-4</v>
      </c>
      <c r="J73" s="1649"/>
      <c r="K73" s="1632">
        <v>2</v>
      </c>
      <c r="L73" s="3559" t="s">
        <v>373</v>
      </c>
      <c r="M73" s="3559"/>
      <c r="N73" s="1102">
        <f t="shared" ref="N73:P74" ca="1" si="0">D73</f>
        <v>26</v>
      </c>
      <c r="O73" s="1539" t="str">
        <f t="shared" si="0"/>
        <v>销售额×税（费）率</v>
      </c>
      <c r="P73" s="1103" t="str">
        <f t="shared" si="0"/>
        <v>免征</v>
      </c>
      <c r="Q73" s="1636"/>
      <c r="R73" s="1636"/>
      <c r="S73" s="1636"/>
      <c r="T73" s="1636"/>
      <c r="U73" s="1636"/>
      <c r="V73" s="1636"/>
    </row>
    <row r="74" spans="1:22" ht="24.75">
      <c r="A74" s="3554" t="s">
        <v>377</v>
      </c>
      <c r="B74" s="3518"/>
      <c r="C74" s="3518"/>
      <c r="D74" s="336">
        <f ca="1">IF(H74="个人住宅",D75,D76)</f>
        <v>30043</v>
      </c>
      <c r="E74" s="14" t="s">
        <v>378</v>
      </c>
      <c r="F74" s="334" t="str">
        <f>IF(H74="正常",F76,"免征")</f>
        <v>免征</v>
      </c>
      <c r="G74" s="898" t="s">
        <v>379</v>
      </c>
      <c r="H74" s="337"/>
      <c r="I74" s="38"/>
      <c r="J74" s="1649"/>
      <c r="K74" s="1632">
        <v>3</v>
      </c>
      <c r="L74" s="3559" t="s">
        <v>376</v>
      </c>
      <c r="M74" s="3559"/>
      <c r="N74" s="1102">
        <f t="shared" ca="1" si="0"/>
        <v>30043</v>
      </c>
      <c r="O74" s="1539" t="str">
        <f t="shared" si="0"/>
        <v>增值额×税（费）率</v>
      </c>
      <c r="P74" s="1105" t="str">
        <f t="shared" si="0"/>
        <v>免征</v>
      </c>
      <c r="Q74" s="1636"/>
      <c r="R74" s="1636"/>
      <c r="S74" s="1636"/>
      <c r="T74" s="1636"/>
      <c r="U74" s="1636"/>
      <c r="V74" s="1636"/>
    </row>
    <row r="75" spans="1:22" ht="12.75">
      <c r="A75" s="333" t="s">
        <v>380</v>
      </c>
      <c r="B75" s="3506" t="s">
        <v>381</v>
      </c>
      <c r="C75" s="3542"/>
      <c r="D75" s="338">
        <v>0</v>
      </c>
      <c r="E75" s="37" t="s">
        <v>382</v>
      </c>
      <c r="F75" s="339"/>
      <c r="G75" s="335"/>
      <c r="H75" s="38"/>
      <c r="I75" s="38"/>
      <c r="J75" s="1649"/>
      <c r="K75" s="1632">
        <f>IF(H77="非个人房产","",4)</f>
        <v>4</v>
      </c>
      <c r="L75" s="3559" t="str">
        <f>IF(H77="非个人房产","——","个人所得税")</f>
        <v>个人所得税</v>
      </c>
      <c r="M75" s="3559"/>
      <c r="N75" s="1106">
        <f>D77</f>
        <v>0</v>
      </c>
      <c r="O75" s="1540" t="str">
        <f>E77</f>
        <v>差额计税</v>
      </c>
      <c r="P75" s="1107">
        <f>F77</f>
        <v>0.01</v>
      </c>
      <c r="Q75" s="1636"/>
      <c r="R75" s="1636"/>
      <c r="S75" s="1636"/>
      <c r="T75" s="1636"/>
      <c r="U75" s="1636"/>
      <c r="V75" s="1636"/>
    </row>
    <row r="76" spans="1:22" ht="24.75">
      <c r="A76" s="333" t="s">
        <v>361</v>
      </c>
      <c r="B76" s="3506" t="s">
        <v>384</v>
      </c>
      <c r="C76" s="3507"/>
      <c r="D76" s="336">
        <f ca="1">IF(H76="转让取得",C99,C115)</f>
        <v>30043</v>
      </c>
      <c r="E76" s="14" t="s">
        <v>385</v>
      </c>
      <c r="F76" s="49" t="s">
        <v>15</v>
      </c>
      <c r="G76" s="335"/>
      <c r="H76" s="337"/>
      <c r="I76" s="38"/>
      <c r="J76" s="1649"/>
      <c r="K76" s="1632" t="str">
        <f>IF(项目基本情况!K6="上海银行",IF(K75="",4,K75+1),"")</f>
        <v/>
      </c>
      <c r="L76" s="3574" t="str">
        <f>IF(项目基本情况!K6="上海银行","其他处置费用","")</f>
        <v/>
      </c>
      <c r="M76" s="3575"/>
      <c r="N76" s="1102" t="str">
        <f>IF(项目基本情况!K6="上海银行",N89,"")</f>
        <v/>
      </c>
      <c r="O76" s="3576" t="str">
        <f>IF(项目基本情况!K6="上海银行","包含处置中涉及的律师、诉讼、拍卖、评估等费用","")</f>
        <v/>
      </c>
      <c r="P76" s="3577"/>
      <c r="Q76" s="1636"/>
      <c r="R76" s="1636"/>
      <c r="S76" s="1636"/>
      <c r="T76" s="1636"/>
      <c r="U76" s="1636"/>
      <c r="V76" s="1636"/>
    </row>
    <row r="77" spans="1:22" ht="24.75" thickBot="1">
      <c r="A77" s="3561" t="s">
        <v>387</v>
      </c>
      <c r="B77" s="3562"/>
      <c r="C77" s="3562"/>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9" t="s">
        <v>379</v>
      </c>
      <c r="H77" s="2545"/>
      <c r="I77" s="2544" t="s">
        <v>2254</v>
      </c>
      <c r="J77" s="1649"/>
      <c r="K77" s="3560">
        <f>IF(AND(K75="",K76=""),4,IF(项目基本情况!K6="上海银行",K76+1,K75+1))</f>
        <v>5</v>
      </c>
      <c r="L77" s="3559" t="s">
        <v>2156</v>
      </c>
      <c r="M77" s="2330" t="s">
        <v>383</v>
      </c>
      <c r="N77" s="1108"/>
      <c r="O77" s="1109">
        <f ca="1">SUMIF(N72:N76,"&lt;9e307")</f>
        <v>30069</v>
      </c>
      <c r="P77" s="1110"/>
      <c r="Q77" s="2328">
        <f ca="1">O77/N69</f>
        <v>0.57327791653161997</v>
      </c>
      <c r="R77" s="1636"/>
      <c r="S77" s="1636"/>
      <c r="T77" s="1636"/>
      <c r="U77" s="1636"/>
      <c r="V77" s="1636"/>
    </row>
    <row r="78" spans="1:22" ht="12" customHeight="1">
      <c r="A78" s="1111"/>
      <c r="B78" s="287"/>
      <c r="C78" s="287"/>
      <c r="D78" s="287"/>
      <c r="E78" s="38"/>
      <c r="F78" s="38"/>
      <c r="G78" s="38"/>
      <c r="H78" s="867"/>
      <c r="I78" s="287"/>
      <c r="J78" s="1649"/>
      <c r="K78" s="3560"/>
      <c r="L78" s="3559"/>
      <c r="M78" s="2330" t="s">
        <v>386</v>
      </c>
      <c r="N78" s="1108"/>
      <c r="O78" s="1109" t="str">
        <f ca="1">NUMBERSTRING(INT(O77*10000),2)&amp;"元整"</f>
        <v>叁亿零陆拾玖万元整</v>
      </c>
      <c r="P78" s="1110"/>
      <c r="Q78" s="1636"/>
      <c r="R78" s="1636"/>
      <c r="S78" s="1636"/>
      <c r="T78" s="1636"/>
      <c r="U78" s="1636"/>
      <c r="V78" s="1636"/>
    </row>
    <row r="79" spans="1:22" ht="13.5" thickBot="1">
      <c r="A79" s="3526" t="s">
        <v>388</v>
      </c>
      <c r="B79" s="3526"/>
      <c r="C79" s="3526"/>
      <c r="D79" s="3526"/>
      <c r="E79" s="3526"/>
      <c r="F79" s="38"/>
      <c r="G79" s="38"/>
      <c r="H79" s="867"/>
      <c r="I79" s="287"/>
      <c r="J79" s="1649"/>
      <c r="K79" s="3580">
        <f>K77+1</f>
        <v>6</v>
      </c>
      <c r="L79" s="3559" t="s">
        <v>2157</v>
      </c>
      <c r="M79" s="2330" t="s">
        <v>383</v>
      </c>
      <c r="N79" s="1108"/>
      <c r="O79" s="1109">
        <f ca="1">N69-O77</f>
        <v>22382</v>
      </c>
      <c r="P79" s="1110"/>
      <c r="Q79" s="1636"/>
      <c r="R79" s="1636"/>
      <c r="S79" s="1636"/>
      <c r="T79" s="1636"/>
      <c r="U79" s="1636"/>
      <c r="V79" s="1636"/>
    </row>
    <row r="80" spans="1:22" ht="25.5">
      <c r="A80" s="3527" t="s">
        <v>389</v>
      </c>
      <c r="B80" s="3528"/>
      <c r="C80" s="908"/>
      <c r="D80" s="908" t="s">
        <v>390</v>
      </c>
      <c r="E80" s="340" t="s">
        <v>391</v>
      </c>
      <c r="F80" s="38"/>
      <c r="G80" s="38"/>
      <c r="H80" s="867"/>
      <c r="I80" s="287"/>
      <c r="J80" s="1636"/>
      <c r="K80" s="3581"/>
      <c r="L80" s="3559"/>
      <c r="M80" s="2330" t="s">
        <v>386</v>
      </c>
      <c r="N80" s="1108"/>
      <c r="O80" s="1109" t="str">
        <f ca="1">NUMBERSTRING(INT(O79*10000),2)&amp;"元整"</f>
        <v>贰亿贰仟叁佰捌拾贰万元整</v>
      </c>
      <c r="P80" s="1110"/>
      <c r="Q80" s="1636"/>
      <c r="R80" s="1636"/>
      <c r="S80" s="1636"/>
      <c r="T80" s="1636"/>
      <c r="U80" s="1636"/>
      <c r="V80" s="1636"/>
    </row>
    <row r="81" spans="1:26" ht="13.5" thickBot="1">
      <c r="A81" s="351" t="s">
        <v>1352</v>
      </c>
      <c r="B81" s="341" t="s">
        <v>392</v>
      </c>
      <c r="C81" s="342">
        <f ca="1">ROUND((C82+C83)/(1+'数据-取费表'!C42),0)</f>
        <v>50471</v>
      </c>
      <c r="D81" s="343"/>
      <c r="E81" s="344"/>
      <c r="F81" s="38"/>
      <c r="G81" s="38"/>
      <c r="H81" s="867"/>
      <c r="I81" s="287"/>
      <c r="J81" s="1636"/>
      <c r="K81" s="1632">
        <f>K79+1</f>
        <v>7</v>
      </c>
      <c r="L81" s="3557" t="s">
        <v>2158</v>
      </c>
      <c r="M81" s="3558"/>
      <c r="N81" s="1112"/>
      <c r="O81" s="1113">
        <f ca="1">ROUND(O79*10000/'数据-汇总表'!E3,0)</f>
        <v>4794</v>
      </c>
      <c r="P81" s="1114"/>
      <c r="Q81" s="1636"/>
      <c r="R81" s="1636"/>
      <c r="S81" s="1636"/>
      <c r="T81" s="1636"/>
      <c r="U81" s="1636"/>
      <c r="V81" s="1636"/>
    </row>
    <row r="82" spans="1:26" ht="13.5" thickTop="1">
      <c r="A82" s="345" t="s">
        <v>1353</v>
      </c>
      <c r="B82" s="346" t="s">
        <v>393</v>
      </c>
      <c r="C82" s="347">
        <f ca="1">D63</f>
        <v>52995</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573" t="s">
        <v>2146</v>
      </c>
      <c r="L83" s="2336" t="s">
        <v>2147</v>
      </c>
      <c r="M83" s="2326">
        <f ca="1">IF(N69&gt;10000,N69*0.5%,IF(AND(N69&gt;1000,N69&lt;=10000),N69*1%,IF(AND(N69&gt;100,N69&lt;=1000),N69*3%,IF(AND(N69&gt;10,N69&lt;=100),N69*5%,N69*8%))))</f>
        <v>262.255</v>
      </c>
      <c r="N83" s="49">
        <f ca="1">ROUND(M83,1)</f>
        <v>262.3</v>
      </c>
      <c r="O83" s="2329"/>
      <c r="P83" s="1636"/>
      <c r="Q83" s="1636"/>
      <c r="R83" s="1636"/>
      <c r="S83" s="1636"/>
      <c r="T83" s="1636"/>
      <c r="U83" s="1636"/>
      <c r="V83" s="1636"/>
    </row>
    <row r="84" spans="1:26" ht="12.75">
      <c r="A84" s="351" t="s">
        <v>1355</v>
      </c>
      <c r="B84" s="352" t="s">
        <v>395</v>
      </c>
      <c r="C84" s="353"/>
      <c r="D84" s="354" t="s">
        <v>13</v>
      </c>
      <c r="E84" s="2351" t="s">
        <v>2197</v>
      </c>
      <c r="F84" s="38"/>
      <c r="G84" s="38"/>
      <c r="H84" s="867"/>
      <c r="I84" s="287"/>
      <c r="J84" s="1636"/>
      <c r="K84" s="3573"/>
      <c r="L84" s="2336" t="s">
        <v>2148</v>
      </c>
      <c r="M84" s="2326">
        <f ca="1">IF(N69&gt;2000,N69*0.5%,IF(AND(N69&gt;1000,N69&lt;=2000),N69*0.6%,IF(AND(N69&gt;500,N69&lt;=1000),N69*0.7%,IF(AND(N69&gt;200,N69&lt;=500),N69*0.8%,IF(AND(N69&gt;100,N69&lt;=200),N69*0.9%,IF(AND(N69&gt;50,N69&lt;=100),N69*1%,IF(AND(N69&gt;20,N69&lt;=50),N69*1.5%,IF(AND(N69&gt;10,N69&lt;=20),N69*2%,IF(AND(N69&gt;1,N69&lt;=10),N69*2.5%)))))))))</f>
        <v>262.255</v>
      </c>
      <c r="N84" s="49">
        <f ca="1">ROUND(M84,1)</f>
        <v>262.3</v>
      </c>
      <c r="O84" s="1636" t="s">
        <v>2149</v>
      </c>
      <c r="P84" s="1636"/>
      <c r="Q84" s="1636"/>
      <c r="R84" s="1636"/>
      <c r="S84" s="1636"/>
      <c r="T84" s="1636"/>
      <c r="U84" s="1636"/>
      <c r="V84" s="1636"/>
    </row>
    <row r="85" spans="1:26" ht="12.75">
      <c r="A85" s="351" t="s">
        <v>1356</v>
      </c>
      <c r="B85" s="352" t="s">
        <v>396</v>
      </c>
      <c r="C85" s="355">
        <f ca="1">C81-C84</f>
        <v>50471</v>
      </c>
      <c r="D85" s="348" t="s">
        <v>13</v>
      </c>
      <c r="E85" s="349"/>
      <c r="F85" s="38"/>
      <c r="G85" s="38"/>
      <c r="H85" s="867"/>
      <c r="I85" s="287"/>
      <c r="J85" s="1636"/>
      <c r="K85" s="3573"/>
      <c r="L85" s="2336" t="s">
        <v>2150</v>
      </c>
      <c r="M85" s="2326">
        <f ca="1">IF(N69&gt;1000,N69*0.1%,IF(AND(N69&gt;500,N69&lt;=1000),N69*0.5%,IF(AND(N69&gt;50,N69&lt;=500),N69*1%,IF(AND(N69&gt;1,N69&lt;=50),N69*1.5%))))</f>
        <v>52.451000000000001</v>
      </c>
      <c r="N85" s="49">
        <f ca="1">ROUND(M85,1)</f>
        <v>52.5</v>
      </c>
      <c r="O85" s="1636" t="s">
        <v>2149</v>
      </c>
      <c r="P85" s="1636"/>
      <c r="Q85" s="1636"/>
      <c r="R85" s="1636"/>
      <c r="S85" s="1636"/>
      <c r="T85" s="1636"/>
      <c r="U85" s="1636"/>
      <c r="V85" s="1636"/>
    </row>
    <row r="86" spans="1:26" ht="13.5" thickBot="1">
      <c r="A86" s="356" t="s">
        <v>1357</v>
      </c>
      <c r="B86" s="357" t="s">
        <v>397</v>
      </c>
      <c r="C86" s="358">
        <f ca="1">IF(C85&lt;=0,0,ROUND(C85*D86,0))</f>
        <v>2776</v>
      </c>
      <c r="D86" s="359">
        <f>'数据-取费表'!B41</f>
        <v>5.5000000000000007E-2</v>
      </c>
      <c r="E86" s="360"/>
      <c r="F86" s="38"/>
      <c r="G86" s="38"/>
      <c r="H86" s="867"/>
      <c r="I86" s="287"/>
      <c r="J86" s="1636"/>
      <c r="K86" s="3573"/>
      <c r="L86" s="2336" t="s">
        <v>2151</v>
      </c>
      <c r="M86" s="2326">
        <f ca="1">N69*0.5%</f>
        <v>262.255</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73"/>
      <c r="L87" s="2336" t="s">
        <v>2153</v>
      </c>
      <c r="M87" s="2326">
        <f ca="1">IF(N69&gt;=10000,(8.25+(N69-10000)*0.01%),IF(AND(N69&gt;=8000,N69&lt;10000),(7.85+(N69-8000)*0.02%),IF(AND(N69&gt;=5000,N69&lt;8000),(6.65+(N69-5000)*0.04%),IF(AND(N69&gt;=2000,N69&lt;5000),(4.25+(PN69-2000)*0.08%),IF(AND(N69&gt;=1000,N69&lt;2000),(2.75+(N69-1000)*0.15%),IF(AND(N69&gt;=100,N69&lt;1000),(0.5+(N69-100)*0.25%),IF(AND(N69&gt;0,N69&lt;100),N69*0.5%)))))))</f>
        <v>12.495100000000001</v>
      </c>
      <c r="N87" s="49">
        <f ca="1">ROUND(M87*0.9,1)</f>
        <v>11.2</v>
      </c>
      <c r="O87" s="2329"/>
      <c r="P87" s="1636"/>
      <c r="Q87" s="1636"/>
      <c r="R87" s="1636"/>
      <c r="S87" s="1636"/>
      <c r="T87" s="1636"/>
      <c r="U87" s="1636"/>
      <c r="V87" s="1636"/>
    </row>
    <row r="88" spans="1:26" s="1008" customFormat="1" ht="15" thickBot="1">
      <c r="A88" s="3552" t="s">
        <v>398</v>
      </c>
      <c r="B88" s="3553"/>
      <c r="C88" s="3553"/>
      <c r="D88" s="3553"/>
      <c r="E88" s="3553"/>
      <c r="F88" s="3553"/>
      <c r="G88" s="3553"/>
      <c r="H88" s="3553"/>
      <c r="I88" s="1120"/>
      <c r="J88" s="1650"/>
      <c r="K88" s="3573"/>
      <c r="L88" s="2336" t="s">
        <v>2154</v>
      </c>
      <c r="M88" s="2326">
        <f ca="1">IF(N69&gt;10000,N69*0.5%,IF(AND(N69&gt;5000,N69&lt;=10000),N69*1%,IF(AND(N69&gt;1000,N69&lt;=5000),N69*2%,IF(AND(N69&gt;200,N69&lt;=1000),N69*3%,N69*5%))))</f>
        <v>262.255</v>
      </c>
      <c r="N88" s="49">
        <f ca="1">ROUND(M88,1)</f>
        <v>262.3</v>
      </c>
      <c r="O88" s="2329"/>
      <c r="P88" s="1647"/>
      <c r="Q88" s="1647"/>
      <c r="R88" s="1647"/>
      <c r="S88" s="1647"/>
      <c r="T88" s="1647"/>
      <c r="U88" s="1647"/>
      <c r="V88" s="1647"/>
      <c r="W88" s="1651"/>
      <c r="X88" s="1651"/>
      <c r="Y88" s="1651"/>
      <c r="Z88" s="1651"/>
    </row>
    <row r="89" spans="1:26" s="1008" customFormat="1" ht="14.25">
      <c r="A89" s="3527" t="s">
        <v>389</v>
      </c>
      <c r="B89" s="3528"/>
      <c r="C89" s="908"/>
      <c r="D89" s="908" t="s">
        <v>390</v>
      </c>
      <c r="E89" s="361" t="s">
        <v>399</v>
      </c>
      <c r="F89" s="362"/>
      <c r="G89" s="362"/>
      <c r="H89" s="363"/>
      <c r="I89" s="1121"/>
      <c r="J89" s="1652"/>
      <c r="K89" s="3573"/>
      <c r="L89" s="2336" t="s">
        <v>16</v>
      </c>
      <c r="M89" s="2327"/>
      <c r="N89" s="49">
        <f ca="1">ROUND(SUM(N83:N88),0)</f>
        <v>851</v>
      </c>
      <c r="O89" s="2337">
        <f ca="1">N89/N69</f>
        <v>1.6224666831900249E-2</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50471</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252</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09" t="s">
        <v>407</v>
      </c>
      <c r="F94" s="3508"/>
      <c r="G94" s="3508"/>
      <c r="H94" s="3551"/>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252</v>
      </c>
      <c r="D96" s="376">
        <f>'数据-取费表'!B43</f>
        <v>5.000000000000001E-3</v>
      </c>
      <c r="E96" s="3543" t="s">
        <v>1780</v>
      </c>
      <c r="F96" s="3544"/>
      <c r="G96" s="3544"/>
      <c r="H96" s="3545"/>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50219</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199.28174603174602</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30043</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52" t="s">
        <v>414</v>
      </c>
      <c r="B101" s="3553"/>
      <c r="C101" s="3553"/>
      <c r="D101" s="3553"/>
      <c r="E101" s="3553"/>
      <c r="F101" s="3553"/>
      <c r="G101" s="3553"/>
      <c r="H101" s="3553"/>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27" t="s">
        <v>389</v>
      </c>
      <c r="B102" s="3528"/>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50471</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252</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2" t="s">
        <v>2272</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03" t="s">
        <v>2246</v>
      </c>
      <c r="H108" s="3504"/>
      <c r="I108" s="2416"/>
      <c r="J108" s="1647"/>
      <c r="K108" s="2742" t="s">
        <v>2273</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46" t="s">
        <v>422</v>
      </c>
      <c r="F109" s="3544"/>
      <c r="G109" s="3544"/>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2">
        <v>0</v>
      </c>
      <c r="E110" s="3546" t="s">
        <v>424</v>
      </c>
      <c r="F110" s="3544"/>
      <c r="G110" s="3544"/>
      <c r="H110" s="3545"/>
      <c r="I110" s="9"/>
      <c r="J110" s="1647"/>
      <c r="K110" s="2743" t="s">
        <v>2274</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252</v>
      </c>
      <c r="D111" s="376">
        <f>'数据-取费表'!B43</f>
        <v>5.000000000000001E-3</v>
      </c>
      <c r="E111" s="3543" t="s">
        <v>1780</v>
      </c>
      <c r="F111" s="3544"/>
      <c r="G111" s="3544"/>
      <c r="H111" s="3545"/>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46" t="s">
        <v>1799</v>
      </c>
      <c r="F112" s="3544"/>
      <c r="G112" s="3544"/>
      <c r="H112" s="3545"/>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50219</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199.28174603174602</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30043</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4" t="str">
        <f>项目基本情况!B1</f>
        <v>北京市顺义区仁和镇临河村棚户区改造土地开发A片区项目SY00-0702-15、16地块出让国有建设用地使用权抵押价格预评估</v>
      </c>
      <c r="C37" s="3414"/>
      <c r="D37" s="3414"/>
      <c r="E37" s="3414"/>
      <c r="F37" s="3414"/>
      <c r="G37" s="3414"/>
      <c r="H37" s="3414"/>
      <c r="I37" s="3414"/>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1" zoomScale="85" zoomScaleNormal="95" zoomScaleSheetLayoutView="85" workbookViewId="0">
      <selection activeCell="G41" sqref="G41"/>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8.5" style="1132" bestFit="1"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f>F67</f>
        <v>52154</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11170</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1" customFormat="1" ht="28.5" customHeight="1">
      <c r="A4" s="462" t="s">
        <v>469</v>
      </c>
      <c r="B4" s="397">
        <f>IF(B48="单位面积地价",C50,ROUND(B2*10000/'数据-汇总表'!D3,0))</f>
        <v>25613</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1708</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592" t="s">
        <v>471</v>
      </c>
      <c r="D6" s="3593"/>
      <c r="E6" s="3592" t="s">
        <v>472</v>
      </c>
      <c r="F6" s="3593"/>
      <c r="G6" s="3592" t="s">
        <v>473</v>
      </c>
      <c r="H6" s="3593"/>
      <c r="I6" s="3592" t="s">
        <v>474</v>
      </c>
      <c r="J6" s="3593"/>
      <c r="K6" s="465" t="s">
        <v>475</v>
      </c>
      <c r="L6" s="1741"/>
      <c r="M6" s="1740"/>
      <c r="N6" s="1740"/>
      <c r="O6" s="1742"/>
      <c r="P6" s="3594" t="s">
        <v>476</v>
      </c>
      <c r="Q6" s="3595"/>
      <c r="R6" s="3600" t="s">
        <v>472</v>
      </c>
      <c r="S6" s="3601"/>
      <c r="T6" s="3600" t="s">
        <v>473</v>
      </c>
      <c r="U6" s="3601"/>
      <c r="V6" s="3587" t="s">
        <v>474</v>
      </c>
      <c r="W6" s="3587"/>
      <c r="X6" s="1302"/>
      <c r="Y6" s="3600" t="s">
        <v>476</v>
      </c>
      <c r="Z6" s="3601"/>
      <c r="AA6" s="3589" t="s">
        <v>472</v>
      </c>
      <c r="AB6" s="3590" t="s">
        <v>473</v>
      </c>
      <c r="AC6" s="3589" t="s">
        <v>474</v>
      </c>
    </row>
    <row r="7" spans="1:29" ht="65.099999999999994" customHeight="1">
      <c r="A7" s="466"/>
      <c r="B7" s="467"/>
      <c r="C7" s="3608" t="s">
        <v>2186</v>
      </c>
      <c r="D7" s="3609"/>
      <c r="E7" s="3608" t="str">
        <f>土地!A3</f>
        <v>北京市顺义区顺义新城第31街区SY00-3101- 0808、SY00-3101-0809地块R2二类居住用地、A334托幼用地</v>
      </c>
      <c r="F7" s="3609"/>
      <c r="G7" s="3608" t="str">
        <f>土地!A4</f>
        <v>北京市顺义区顺义新城土地一级开发项目SY00-1101-0601、0603地块R2二类居住用地、SY00-1101-6002地块A334托幼用地</v>
      </c>
      <c r="H7" s="3609"/>
      <c r="I7" s="3608" t="str">
        <f>土地!A5</f>
        <v>北京市顺义区顺义新城第5街区平各庄旧村改造项目SY00-0005-6046地块R2二类居住用地、SY00-0005-6045地块A334托幼用地</v>
      </c>
      <c r="J7" s="3609"/>
      <c r="K7" s="465"/>
      <c r="L7" s="1741"/>
      <c r="M7" s="1740"/>
      <c r="N7" s="1740"/>
      <c r="O7" s="1742"/>
      <c r="P7" s="3596"/>
      <c r="Q7" s="3597"/>
      <c r="R7" s="3602"/>
      <c r="S7" s="3603"/>
      <c r="T7" s="3602"/>
      <c r="U7" s="3603"/>
      <c r="V7" s="3587"/>
      <c r="W7" s="3587"/>
      <c r="X7" s="1302"/>
      <c r="Y7" s="3602"/>
      <c r="Z7" s="3603"/>
      <c r="AA7" s="3590"/>
      <c r="AB7" s="3590"/>
      <c r="AC7" s="3590"/>
    </row>
    <row r="8" spans="1:29" ht="21" thickBot="1">
      <c r="A8" s="466"/>
      <c r="B8" s="467"/>
      <c r="C8" s="3610" t="s">
        <v>2190</v>
      </c>
      <c r="D8" s="3611"/>
      <c r="E8" s="3610" t="s">
        <v>2190</v>
      </c>
      <c r="F8" s="3611"/>
      <c r="G8" s="3606" t="s">
        <v>2190</v>
      </c>
      <c r="H8" s="3607"/>
      <c r="I8" s="3606" t="s">
        <v>2190</v>
      </c>
      <c r="J8" s="3607"/>
      <c r="K8" s="465" t="s">
        <v>477</v>
      </c>
      <c r="L8" s="1741"/>
      <c r="M8" s="1740"/>
      <c r="N8" s="1740"/>
      <c r="O8" s="1742"/>
      <c r="P8" s="3598"/>
      <c r="Q8" s="3599"/>
      <c r="R8" s="3602"/>
      <c r="S8" s="3603"/>
      <c r="T8" s="3604"/>
      <c r="U8" s="3605"/>
      <c r="V8" s="3587"/>
      <c r="W8" s="3587"/>
      <c r="X8" s="1302"/>
      <c r="Y8" s="3604"/>
      <c r="Z8" s="3605"/>
      <c r="AA8" s="3591"/>
      <c r="AB8" s="3591"/>
      <c r="AC8" s="3591"/>
    </row>
    <row r="9" spans="1:29" s="1060" customFormat="1" ht="21" thickBot="1">
      <c r="A9" s="2208"/>
      <c r="B9" s="2215" t="s">
        <v>478</v>
      </c>
      <c r="C9" s="2207">
        <f>'数据-取费表'!B2</f>
        <v>45541</v>
      </c>
      <c r="D9" s="471">
        <v>100</v>
      </c>
      <c r="E9" s="472">
        <f>土地!AG3</f>
        <v>45366.000497685185</v>
      </c>
      <c r="F9" s="473">
        <f>SUMIF(71:71,YEAR(E9)&amp;"-"&amp;INT((MONTH(E9)+2)/3),72:72)</f>
        <v>100</v>
      </c>
      <c r="G9" s="474">
        <f>土地!AG4</f>
        <v>45288.000497685185</v>
      </c>
      <c r="H9" s="471">
        <f>SUMIF(71:71,YEAR(G9)&amp;"-"&amp;INT((MONTH(G9)+2)/3),72:72)</f>
        <v>100</v>
      </c>
      <c r="I9" s="474">
        <f>土地!AG5</f>
        <v>44608.000497685185</v>
      </c>
      <c r="J9" s="471">
        <f>SUMIF(71:71,YEAR(I9)&amp;"-"&amp;INT((MONTH(I9)+2)/3),72:72)</f>
        <v>100</v>
      </c>
      <c r="K9" s="88"/>
      <c r="L9" s="1743"/>
      <c r="M9" s="1740"/>
      <c r="N9" s="1740"/>
      <c r="O9" s="1640"/>
      <c r="P9" s="3616" t="s">
        <v>479</v>
      </c>
      <c r="Q9" s="3618"/>
      <c r="R9" s="1303" t="s">
        <v>5</v>
      </c>
      <c r="S9" s="1304">
        <f t="shared" ref="S9:S17" si="0">F9</f>
        <v>100</v>
      </c>
      <c r="T9" s="1303" t="s">
        <v>5</v>
      </c>
      <c r="U9" s="1304">
        <f t="shared" ref="U9:U17" si="1">H9</f>
        <v>100</v>
      </c>
      <c r="V9" s="1303" t="s">
        <v>5</v>
      </c>
      <c r="W9" s="1304">
        <f t="shared" ref="W9:W17" si="2">J9</f>
        <v>100</v>
      </c>
      <c r="X9" s="1305"/>
      <c r="Y9" s="3616" t="s">
        <v>479</v>
      </c>
      <c r="Z9" s="3617"/>
      <c r="AA9" s="997">
        <f>D9/F9</f>
        <v>1</v>
      </c>
      <c r="AB9" s="997">
        <f>D9/H9</f>
        <v>1</v>
      </c>
      <c r="AC9" s="997">
        <f>D9/J9</f>
        <v>1</v>
      </c>
    </row>
    <row r="10" spans="1:29" s="1060"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616" t="s">
        <v>482</v>
      </c>
      <c r="Q10" s="3617"/>
      <c r="R10" s="1303" t="s">
        <v>5</v>
      </c>
      <c r="S10" s="1304">
        <f t="shared" si="0"/>
        <v>100</v>
      </c>
      <c r="T10" s="1303" t="s">
        <v>5</v>
      </c>
      <c r="U10" s="1304">
        <f t="shared" si="1"/>
        <v>100</v>
      </c>
      <c r="V10" s="1303" t="s">
        <v>5</v>
      </c>
      <c r="W10" s="1304">
        <f t="shared" si="2"/>
        <v>100</v>
      </c>
      <c r="X10" s="1305"/>
      <c r="Y10" s="3616" t="s">
        <v>482</v>
      </c>
      <c r="Z10" s="3617"/>
      <c r="AA10" s="997">
        <f t="shared" ref="AA10:AA47" si="3">D10/F10</f>
        <v>1</v>
      </c>
      <c r="AB10" s="997">
        <f t="shared" ref="AB10:AB47" si="4">D10/H10</f>
        <v>1</v>
      </c>
      <c r="AC10" s="997">
        <f t="shared" ref="AC10:AC47" si="5">D10/J10</f>
        <v>1</v>
      </c>
    </row>
    <row r="11" spans="1:29" s="1060" customFormat="1" ht="20.25">
      <c r="A11" s="2210"/>
      <c r="B11" s="2217" t="s">
        <v>2038</v>
      </c>
      <c r="C11" s="2205" t="s">
        <v>851</v>
      </c>
      <c r="D11" s="154">
        <v>100</v>
      </c>
      <c r="E11" s="2205" t="s">
        <v>851</v>
      </c>
      <c r="F11" s="154">
        <f>SUMIF(76:76,E11,77:77)-SUMIF(76:76,C11,77:77)+100</f>
        <v>100</v>
      </c>
      <c r="G11" s="2205" t="s">
        <v>851</v>
      </c>
      <c r="H11" s="154">
        <f>SUMIF(76:76,G11,77:77)-SUMIF(76:76,C11,77:77)+100</f>
        <v>100</v>
      </c>
      <c r="I11" s="2205" t="s">
        <v>851</v>
      </c>
      <c r="J11" s="154">
        <f>SUMIF(76:76,I11,77:77)-SUMIF(76:76,C11,77:77)+100</f>
        <v>100</v>
      </c>
      <c r="K11" s="88"/>
      <c r="L11" s="1743"/>
      <c r="M11" s="1740"/>
      <c r="N11" s="1740"/>
      <c r="O11" s="1744"/>
      <c r="P11" s="3586" t="s">
        <v>484</v>
      </c>
      <c r="Q11" s="818" t="str">
        <f t="shared" ref="Q11:Q17" si="6">B11</f>
        <v>用途</v>
      </c>
      <c r="R11" s="1303" t="s">
        <v>5</v>
      </c>
      <c r="S11" s="1304">
        <f t="shared" si="0"/>
        <v>100</v>
      </c>
      <c r="T11" s="1303" t="s">
        <v>5</v>
      </c>
      <c r="U11" s="1304">
        <f t="shared" si="1"/>
        <v>100</v>
      </c>
      <c r="V11" s="1303" t="s">
        <v>5</v>
      </c>
      <c r="W11" s="1304">
        <f t="shared" si="2"/>
        <v>100</v>
      </c>
      <c r="X11" s="1305"/>
      <c r="Y11" s="3534" t="s">
        <v>485</v>
      </c>
      <c r="Z11" s="997" t="str">
        <f t="shared" ref="Z11:Z17" si="7">Q11</f>
        <v>用途</v>
      </c>
      <c r="AA11" s="997">
        <f t="shared" si="3"/>
        <v>1</v>
      </c>
      <c r="AB11" s="997">
        <f t="shared" si="4"/>
        <v>1</v>
      </c>
      <c r="AC11" s="997">
        <f t="shared" si="5"/>
        <v>1</v>
      </c>
    </row>
    <row r="12" spans="1:29" s="1133" customFormat="1" ht="27">
      <c r="A12" s="2211"/>
      <c r="B12" s="2216" t="s">
        <v>2039</v>
      </c>
      <c r="C12" s="833"/>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586"/>
      <c r="Q12" s="818" t="str">
        <f t="shared" si="6"/>
        <v>土地使用年限（年）</v>
      </c>
      <c r="R12" s="1303" t="s">
        <v>5</v>
      </c>
      <c r="S12" s="1304">
        <f t="shared" si="0"/>
        <v>100</v>
      </c>
      <c r="T12" s="1303" t="s">
        <v>5</v>
      </c>
      <c r="U12" s="1304">
        <f t="shared" si="1"/>
        <v>100</v>
      </c>
      <c r="V12" s="1303" t="s">
        <v>5</v>
      </c>
      <c r="W12" s="1304">
        <f t="shared" si="2"/>
        <v>100</v>
      </c>
      <c r="X12" s="1305"/>
      <c r="Y12" s="3534"/>
      <c r="Z12" s="997" t="str">
        <f t="shared" si="7"/>
        <v>土地使用年限（年）</v>
      </c>
      <c r="AA12" s="997">
        <f t="shared" si="3"/>
        <v>1</v>
      </c>
      <c r="AB12" s="997">
        <f t="shared" si="4"/>
        <v>1</v>
      </c>
      <c r="AC12" s="997">
        <f t="shared" si="5"/>
        <v>1</v>
      </c>
    </row>
    <row r="13" spans="1:29" ht="20.25">
      <c r="A13" s="2212"/>
      <c r="B13" s="2216" t="s">
        <v>2040</v>
      </c>
      <c r="C13" s="484">
        <f>'数据-汇总表'!I4</f>
        <v>1.6</v>
      </c>
      <c r="D13" s="235">
        <v>100</v>
      </c>
      <c r="E13" s="483">
        <v>1.5</v>
      </c>
      <c r="F13" s="235">
        <f>LOOKUP(E13,81:81,82:82)-LOOKUP(C13,81:81,82:82)+100</f>
        <v>100</v>
      </c>
      <c r="G13" s="484">
        <v>1.7</v>
      </c>
      <c r="H13" s="235">
        <f>LOOKUP(G13,81:81,82:82)-LOOKUP(C13,81:81,82:82)+100</f>
        <v>100</v>
      </c>
      <c r="I13" s="483">
        <v>2</v>
      </c>
      <c r="J13" s="235">
        <f>LOOKUP(I13,81:81,82:82)-LOOKUP(C13,81:81,82:82)+100</f>
        <v>98</v>
      </c>
      <c r="K13" s="485">
        <v>2</v>
      </c>
      <c r="L13" s="1747"/>
      <c r="M13" s="1740"/>
      <c r="N13" s="1740"/>
      <c r="O13" s="1748"/>
      <c r="P13" s="3586"/>
      <c r="Q13" s="818" t="str">
        <f t="shared" si="6"/>
        <v>容积率</v>
      </c>
      <c r="R13" s="1303" t="s">
        <v>5</v>
      </c>
      <c r="S13" s="1304">
        <f t="shared" si="0"/>
        <v>100</v>
      </c>
      <c r="T13" s="1303" t="s">
        <v>5</v>
      </c>
      <c r="U13" s="1304">
        <f t="shared" si="1"/>
        <v>100</v>
      </c>
      <c r="V13" s="1303" t="s">
        <v>5</v>
      </c>
      <c r="W13" s="1304">
        <f t="shared" si="2"/>
        <v>98</v>
      </c>
      <c r="X13" s="1305"/>
      <c r="Y13" s="3534"/>
      <c r="Z13" s="997" t="str">
        <f t="shared" si="7"/>
        <v>容积率</v>
      </c>
      <c r="AA13" s="997">
        <f t="shared" si="3"/>
        <v>1</v>
      </c>
      <c r="AB13" s="997">
        <f t="shared" si="4"/>
        <v>1</v>
      </c>
      <c r="AC13" s="997">
        <f t="shared" si="5"/>
        <v>1.0204081632653061</v>
      </c>
    </row>
    <row r="14" spans="1:29" s="1060" customFormat="1" ht="20.25">
      <c r="A14" s="2209"/>
      <c r="B14" s="2218" t="s">
        <v>2041</v>
      </c>
      <c r="C14" s="3407" t="s">
        <v>3493</v>
      </c>
      <c r="D14" s="488">
        <v>100</v>
      </c>
      <c r="E14" s="3407" t="s">
        <v>3493</v>
      </c>
      <c r="F14" s="235">
        <f>SUMIF(83:83,E14,84:84)-SUMIF(83:83,C14,84:84)+100</f>
        <v>100</v>
      </c>
      <c r="G14" s="3407" t="s">
        <v>3493</v>
      </c>
      <c r="H14" s="235">
        <f>SUMIF(83:83,G14,84:84)-SUMIF(83:83,C14,84:84)+100</f>
        <v>100</v>
      </c>
      <c r="I14" s="3407" t="s">
        <v>3493</v>
      </c>
      <c r="J14" s="235">
        <f>SUMIF(83:83,I14,84:84)-SUMIF(83:83,C14,84:84)+100</f>
        <v>100</v>
      </c>
      <c r="K14" s="481"/>
      <c r="L14" s="1743"/>
      <c r="M14" s="1740"/>
      <c r="N14" s="1740"/>
      <c r="O14" s="1744"/>
      <c r="P14" s="3586"/>
      <c r="Q14" s="818" t="str">
        <f t="shared" si="6"/>
        <v>配建</v>
      </c>
      <c r="R14" s="1303" t="s">
        <v>5</v>
      </c>
      <c r="S14" s="1304">
        <f t="shared" si="0"/>
        <v>100</v>
      </c>
      <c r="T14" s="1303" t="s">
        <v>5</v>
      </c>
      <c r="U14" s="1304">
        <f t="shared" si="1"/>
        <v>100</v>
      </c>
      <c r="V14" s="1303" t="s">
        <v>5</v>
      </c>
      <c r="W14" s="1304">
        <f t="shared" si="2"/>
        <v>100</v>
      </c>
      <c r="X14" s="1305"/>
      <c r="Y14" s="3534"/>
      <c r="Z14" s="997" t="str">
        <f t="shared" si="7"/>
        <v>配建</v>
      </c>
      <c r="AA14" s="997">
        <f>D14/F14</f>
        <v>1</v>
      </c>
      <c r="AB14" s="997">
        <f>D14/H14</f>
        <v>1</v>
      </c>
      <c r="AC14" s="997">
        <f>D14/J14</f>
        <v>1</v>
      </c>
    </row>
    <row r="15" spans="1:29" ht="20.25">
      <c r="A15" s="2213"/>
      <c r="B15" s="2219">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86"/>
      <c r="Q15" s="818">
        <f t="shared" si="6"/>
        <v>111</v>
      </c>
      <c r="R15" s="1303" t="s">
        <v>5</v>
      </c>
      <c r="S15" s="1304">
        <f t="shared" si="0"/>
        <v>100</v>
      </c>
      <c r="T15" s="1303" t="s">
        <v>5</v>
      </c>
      <c r="U15" s="1304">
        <f t="shared" si="1"/>
        <v>100</v>
      </c>
      <c r="V15" s="1303" t="s">
        <v>5</v>
      </c>
      <c r="W15" s="1304">
        <f t="shared" si="2"/>
        <v>100</v>
      </c>
      <c r="X15" s="1305"/>
      <c r="Y15" s="3534"/>
      <c r="Z15" s="997">
        <f t="shared" si="7"/>
        <v>111</v>
      </c>
      <c r="AA15" s="997">
        <f>D15/F15</f>
        <v>1</v>
      </c>
      <c r="AB15" s="997">
        <f>D15/H15</f>
        <v>1</v>
      </c>
      <c r="AC15" s="997">
        <f>D15/J15</f>
        <v>1</v>
      </c>
    </row>
    <row r="16" spans="1:29" ht="21" thickBot="1">
      <c r="A16" s="2214"/>
      <c r="B16" s="2220">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86"/>
      <c r="Q16" s="818">
        <f t="shared" si="6"/>
        <v>111</v>
      </c>
      <c r="R16" s="1303" t="s">
        <v>5</v>
      </c>
      <c r="S16" s="1304">
        <f t="shared" si="0"/>
        <v>100</v>
      </c>
      <c r="T16" s="1303" t="s">
        <v>5</v>
      </c>
      <c r="U16" s="1304">
        <f t="shared" si="1"/>
        <v>100</v>
      </c>
      <c r="V16" s="1303" t="s">
        <v>5</v>
      </c>
      <c r="W16" s="1304">
        <f t="shared" si="2"/>
        <v>100</v>
      </c>
      <c r="X16" s="1305"/>
      <c r="Y16" s="3534"/>
      <c r="Z16" s="997">
        <f t="shared" si="7"/>
        <v>111</v>
      </c>
      <c r="AA16" s="997">
        <f>D16/F16</f>
        <v>1</v>
      </c>
      <c r="AB16" s="997">
        <f>D16/H16</f>
        <v>1</v>
      </c>
      <c r="AC16" s="997">
        <f>D16/J16</f>
        <v>1</v>
      </c>
    </row>
    <row r="17" spans="1:29" ht="20.25">
      <c r="A17" s="2206" t="s">
        <v>2036</v>
      </c>
      <c r="B17" s="528" t="s">
        <v>261</v>
      </c>
      <c r="C17" s="498" t="str">
        <f>估价对象房地状况!C15</f>
        <v>一般</v>
      </c>
      <c r="D17" s="501">
        <v>100</v>
      </c>
      <c r="E17" s="502"/>
      <c r="F17" s="499">
        <f>SUMIF(89:89,E18,90:90)-SUMIF(89:89,C18,90:90)+100</f>
        <v>100</v>
      </c>
      <c r="G17" s="500"/>
      <c r="H17" s="499">
        <f>SUMIF(89:89,G18,90:90)-SUMIF(89:89,C18,90:90)+100</f>
        <v>103</v>
      </c>
      <c r="I17" s="502"/>
      <c r="J17" s="499">
        <f>SUMIF(89:89,I18,90:90)-SUMIF(89:89,C18,90:90)+100</f>
        <v>103</v>
      </c>
      <c r="K17" s="485">
        <v>3</v>
      </c>
      <c r="L17" s="1749"/>
      <c r="M17" s="1740"/>
      <c r="N17" s="1740"/>
      <c r="O17" s="1748"/>
      <c r="P17" s="3619" t="s">
        <v>489</v>
      </c>
      <c r="Q17" s="1306" t="str">
        <f t="shared" si="6"/>
        <v>居住社区成熟度</v>
      </c>
      <c r="R17" s="1307" t="s">
        <v>5</v>
      </c>
      <c r="S17" s="1308">
        <f t="shared" si="0"/>
        <v>100</v>
      </c>
      <c r="T17" s="1307" t="s">
        <v>5</v>
      </c>
      <c r="U17" s="1308">
        <f t="shared" si="1"/>
        <v>103</v>
      </c>
      <c r="V17" s="1307" t="s">
        <v>5</v>
      </c>
      <c r="W17" s="1308">
        <f t="shared" si="2"/>
        <v>103</v>
      </c>
      <c r="X17" s="1302"/>
      <c r="Y17" s="3619" t="s">
        <v>489</v>
      </c>
      <c r="Z17" s="1309" t="str">
        <f t="shared" si="7"/>
        <v>居住社区成熟度</v>
      </c>
      <c r="AA17" s="1309">
        <f t="shared" si="3"/>
        <v>1</v>
      </c>
      <c r="AB17" s="1309">
        <f t="shared" si="4"/>
        <v>0.970873786407767</v>
      </c>
      <c r="AC17" s="1309">
        <f t="shared" si="5"/>
        <v>0.970873786407767</v>
      </c>
    </row>
    <row r="18" spans="1:29" ht="20.25">
      <c r="A18" s="482"/>
      <c r="B18" s="503"/>
      <c r="C18" s="504" t="s">
        <v>3355</v>
      </c>
      <c r="D18" s="507"/>
      <c r="E18" s="508" t="s">
        <v>3355</v>
      </c>
      <c r="F18" s="505"/>
      <c r="G18" s="504" t="s">
        <v>3500</v>
      </c>
      <c r="H18" s="509"/>
      <c r="I18" s="504" t="s">
        <v>3500</v>
      </c>
      <c r="J18" s="505"/>
      <c r="K18" s="481"/>
      <c r="L18" s="1749"/>
      <c r="M18" s="1740"/>
      <c r="N18" s="1740"/>
      <c r="O18" s="1748"/>
      <c r="P18" s="3620"/>
      <c r="Q18" s="1306"/>
      <c r="R18" s="1307"/>
      <c r="S18" s="1308"/>
      <c r="T18" s="1307"/>
      <c r="U18" s="1308"/>
      <c r="V18" s="1307"/>
      <c r="W18" s="1308"/>
      <c r="X18" s="1302"/>
      <c r="Y18" s="3620"/>
      <c r="Z18" s="1309"/>
      <c r="AA18" s="1309">
        <v>1</v>
      </c>
      <c r="AB18" s="1309">
        <v>1</v>
      </c>
      <c r="AC18" s="1309">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20"/>
      <c r="Q19" s="1306" t="str">
        <f>B19</f>
        <v>商业繁华度</v>
      </c>
      <c r="R19" s="1307" t="s">
        <v>5</v>
      </c>
      <c r="S19" s="1308">
        <f>F19</f>
        <v>100</v>
      </c>
      <c r="T19" s="1307" t="s">
        <v>5</v>
      </c>
      <c r="U19" s="1308">
        <f>H19</f>
        <v>100</v>
      </c>
      <c r="V19" s="1307" t="s">
        <v>5</v>
      </c>
      <c r="W19" s="1308">
        <f>J19</f>
        <v>100</v>
      </c>
      <c r="X19" s="1302"/>
      <c r="Y19" s="3620"/>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20"/>
      <c r="Q20" s="1306"/>
      <c r="R20" s="1307"/>
      <c r="S20" s="1308"/>
      <c r="T20" s="1307"/>
      <c r="U20" s="1308"/>
      <c r="V20" s="1307"/>
      <c r="W20" s="1308"/>
      <c r="X20" s="1302"/>
      <c r="Y20" s="3620"/>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20"/>
      <c r="Q21" s="1306" t="str">
        <f>B21</f>
        <v>办公集聚程度</v>
      </c>
      <c r="R21" s="1307" t="s">
        <v>5</v>
      </c>
      <c r="S21" s="1308">
        <f>F21</f>
        <v>100</v>
      </c>
      <c r="T21" s="1307" t="s">
        <v>5</v>
      </c>
      <c r="U21" s="1308">
        <f>H21</f>
        <v>100</v>
      </c>
      <c r="V21" s="1307" t="s">
        <v>5</v>
      </c>
      <c r="W21" s="1308">
        <f>J21</f>
        <v>100</v>
      </c>
      <c r="X21" s="1302"/>
      <c r="Y21" s="3620"/>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20"/>
      <c r="Q22" s="1306"/>
      <c r="R22" s="1307"/>
      <c r="S22" s="1308"/>
      <c r="T22" s="1307"/>
      <c r="U22" s="1308"/>
      <c r="V22" s="1307"/>
      <c r="W22" s="1308"/>
      <c r="X22" s="1302"/>
      <c r="Y22" s="3620"/>
      <c r="Z22" s="1309"/>
      <c r="AA22" s="1309">
        <v>1</v>
      </c>
      <c r="AB22" s="1309">
        <v>1</v>
      </c>
      <c r="AC22" s="1309">
        <v>1</v>
      </c>
    </row>
    <row r="23" spans="1:29" ht="20.25">
      <c r="A23" s="482"/>
      <c r="B23" s="510" t="s">
        <v>492</v>
      </c>
      <c r="C23" s="523" t="str">
        <f>估价对象房地状况!C18</f>
        <v>一般</v>
      </c>
      <c r="D23" s="513">
        <v>100</v>
      </c>
      <c r="E23" s="3408" t="s">
        <v>3504</v>
      </c>
      <c r="F23" s="515">
        <f>SUMIF(95:95,E24,96:96)-SUMIF(95:95,C24,96:96)+100</f>
        <v>102</v>
      </c>
      <c r="G23" s="512"/>
      <c r="H23" s="509">
        <f>SUMIF(95:95,G24,96:96)-SUMIF(95:95,C24,96:96)+100</f>
        <v>100</v>
      </c>
      <c r="I23" s="514"/>
      <c r="J23" s="509">
        <f>SUMIF(95:95,I24,96:96)-SUMIF(95:95,C24,96:96)+100</f>
        <v>100</v>
      </c>
      <c r="K23" s="485">
        <v>2</v>
      </c>
      <c r="L23" s="1749"/>
      <c r="M23" s="1740"/>
      <c r="N23" s="1740"/>
      <c r="O23" s="1748"/>
      <c r="P23" s="3620"/>
      <c r="Q23" s="1306" t="str">
        <f>B23</f>
        <v>交通便捷度</v>
      </c>
      <c r="R23" s="1307" t="s">
        <v>5</v>
      </c>
      <c r="S23" s="1308">
        <f>F23</f>
        <v>102</v>
      </c>
      <c r="T23" s="1307" t="s">
        <v>5</v>
      </c>
      <c r="U23" s="1308">
        <f>H23</f>
        <v>100</v>
      </c>
      <c r="V23" s="1307" t="s">
        <v>5</v>
      </c>
      <c r="W23" s="1308">
        <f>J23</f>
        <v>100</v>
      </c>
      <c r="X23" s="1302"/>
      <c r="Y23" s="3620"/>
      <c r="Z23" s="1309" t="str">
        <f>Q23</f>
        <v>交通便捷度</v>
      </c>
      <c r="AA23" s="1309">
        <f t="shared" si="3"/>
        <v>0.98039215686274506</v>
      </c>
      <c r="AB23" s="1309">
        <f t="shared" si="4"/>
        <v>1</v>
      </c>
      <c r="AC23" s="1309">
        <f t="shared" si="5"/>
        <v>1</v>
      </c>
    </row>
    <row r="24" spans="1:29" ht="20.25">
      <c r="A24" s="482"/>
      <c r="B24" s="528"/>
      <c r="C24" s="504" t="s">
        <v>3355</v>
      </c>
      <c r="D24" s="507"/>
      <c r="E24" s="508" t="s">
        <v>3500</v>
      </c>
      <c r="F24" s="505"/>
      <c r="G24" s="504" t="s">
        <v>3355</v>
      </c>
      <c r="H24" s="505"/>
      <c r="I24" s="504" t="s">
        <v>3355</v>
      </c>
      <c r="J24" s="505"/>
      <c r="K24" s="481"/>
      <c r="L24" s="1749"/>
      <c r="M24" s="1740"/>
      <c r="N24" s="1740"/>
      <c r="O24" s="1748"/>
      <c r="P24" s="3620"/>
      <c r="Q24" s="1306"/>
      <c r="R24" s="1307"/>
      <c r="S24" s="1308"/>
      <c r="T24" s="1307"/>
      <c r="U24" s="1308"/>
      <c r="V24" s="1307"/>
      <c r="W24" s="1308"/>
      <c r="X24" s="1302"/>
      <c r="Y24" s="3620"/>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20"/>
      <c r="Q25" s="1306" t="str">
        <f t="shared" ref="Q25:Q39" si="8">B25</f>
        <v>区域土地利用方向</v>
      </c>
      <c r="R25" s="1307" t="s">
        <v>5</v>
      </c>
      <c r="S25" s="1308">
        <f>F25</f>
        <v>100</v>
      </c>
      <c r="T25" s="1307" t="s">
        <v>5</v>
      </c>
      <c r="U25" s="1308">
        <f>H25</f>
        <v>100</v>
      </c>
      <c r="V25" s="1307" t="s">
        <v>5</v>
      </c>
      <c r="W25" s="1308">
        <f>J25</f>
        <v>100</v>
      </c>
      <c r="X25" s="1302"/>
      <c r="Y25" s="3620"/>
      <c r="Z25" s="1309" t="str">
        <f>Q25</f>
        <v>区域土地利用方向</v>
      </c>
      <c r="AA25" s="1309">
        <f t="shared" si="3"/>
        <v>1</v>
      </c>
      <c r="AB25" s="1309">
        <f t="shared" si="4"/>
        <v>1</v>
      </c>
      <c r="AC25" s="1309">
        <f t="shared" si="5"/>
        <v>1</v>
      </c>
    </row>
    <row r="26" spans="1:29" ht="20.25">
      <c r="A26" s="466"/>
      <c r="B26" s="919"/>
      <c r="C26" s="504" t="s">
        <v>3500</v>
      </c>
      <c r="D26" s="507"/>
      <c r="E26" s="504" t="s">
        <v>3500</v>
      </c>
      <c r="F26" s="505"/>
      <c r="G26" s="504" t="s">
        <v>3500</v>
      </c>
      <c r="H26" s="505"/>
      <c r="I26" s="504" t="s">
        <v>3500</v>
      </c>
      <c r="J26" s="505"/>
      <c r="K26" s="481"/>
      <c r="L26" s="1749"/>
      <c r="M26" s="1740"/>
      <c r="N26" s="1740"/>
      <c r="O26" s="1748"/>
      <c r="P26" s="3620"/>
      <c r="Q26" s="1306"/>
      <c r="R26" s="1307"/>
      <c r="S26" s="1308"/>
      <c r="T26" s="1307"/>
      <c r="U26" s="1308"/>
      <c r="V26" s="1307"/>
      <c r="W26" s="1308"/>
      <c r="X26" s="1302"/>
      <c r="Y26" s="3620"/>
      <c r="Z26" s="1309"/>
      <c r="AA26" s="1309"/>
      <c r="AB26" s="1309"/>
      <c r="AC26" s="1309"/>
    </row>
    <row r="27" spans="1:29" ht="27">
      <c r="A27" s="466"/>
      <c r="B27" s="528" t="s">
        <v>494</v>
      </c>
      <c r="C27" s="511" t="str">
        <f>估价对象房地状况!C20</f>
        <v>一般</v>
      </c>
      <c r="D27" s="513">
        <v>100</v>
      </c>
      <c r="E27" s="514"/>
      <c r="F27" s="509">
        <f>SUMIF(99:99,E28,100:100)-SUMIF(99:99,C28,100:100)+100</f>
        <v>100</v>
      </c>
      <c r="G27" s="512"/>
      <c r="H27" s="509">
        <f>SUMIF(99:99,G28,100:100)-SUMIF(99:99,C28,100:100)+100</f>
        <v>103</v>
      </c>
      <c r="I27" s="514"/>
      <c r="J27" s="509">
        <f>SUMIF(99:99,I28,100:100)-SUMIF(99:99,C28,100:100)+100</f>
        <v>103</v>
      </c>
      <c r="K27" s="485">
        <v>3</v>
      </c>
      <c r="L27" s="1749"/>
      <c r="M27" s="1740"/>
      <c r="N27" s="1740"/>
      <c r="O27" s="1748"/>
      <c r="P27" s="3620"/>
      <c r="Q27" s="1306" t="str">
        <f t="shared" si="8"/>
        <v>自然及人文环境状况</v>
      </c>
      <c r="R27" s="1307" t="s">
        <v>5</v>
      </c>
      <c r="S27" s="1308">
        <f>F27</f>
        <v>100</v>
      </c>
      <c r="T27" s="1307" t="s">
        <v>5</v>
      </c>
      <c r="U27" s="1308">
        <f>H27</f>
        <v>103</v>
      </c>
      <c r="V27" s="1307" t="s">
        <v>5</v>
      </c>
      <c r="W27" s="1308">
        <f>J27</f>
        <v>103</v>
      </c>
      <c r="X27" s="1302"/>
      <c r="Y27" s="3620"/>
      <c r="Z27" s="1309" t="str">
        <f>Q27</f>
        <v>自然及人文环境状况</v>
      </c>
      <c r="AA27" s="1309">
        <f t="shared" si="3"/>
        <v>1</v>
      </c>
      <c r="AB27" s="1309">
        <f t="shared" si="4"/>
        <v>0.970873786407767</v>
      </c>
      <c r="AC27" s="1309">
        <f t="shared" si="5"/>
        <v>0.970873786407767</v>
      </c>
    </row>
    <row r="28" spans="1:29" ht="20.25">
      <c r="A28" s="466"/>
      <c r="B28" s="516"/>
      <c r="C28" s="504" t="s">
        <v>3355</v>
      </c>
      <c r="D28" s="507"/>
      <c r="E28" s="526" t="s">
        <v>3355</v>
      </c>
      <c r="F28" s="505"/>
      <c r="G28" s="526" t="s">
        <v>3500</v>
      </c>
      <c r="H28" s="505"/>
      <c r="I28" s="504" t="s">
        <v>3500</v>
      </c>
      <c r="J28" s="505"/>
      <c r="K28" s="481"/>
      <c r="L28" s="1749"/>
      <c r="M28" s="1740"/>
      <c r="N28" s="1740"/>
      <c r="O28" s="1748"/>
      <c r="P28" s="3620"/>
      <c r="Q28" s="1306"/>
      <c r="R28" s="1307"/>
      <c r="S28" s="1308"/>
      <c r="T28" s="1307"/>
      <c r="U28" s="1308"/>
      <c r="V28" s="1307"/>
      <c r="W28" s="1308"/>
      <c r="X28" s="1302"/>
      <c r="Y28" s="3620"/>
      <c r="Z28" s="1309"/>
      <c r="AA28" s="1309">
        <v>1</v>
      </c>
      <c r="AB28" s="1309">
        <v>1</v>
      </c>
      <c r="AC28" s="1309">
        <v>1</v>
      </c>
    </row>
    <row r="29" spans="1:29" s="1060" customFormat="1" ht="20.25">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4"/>
      <c r="J29" s="509">
        <f>SUMIF(101:101,I30,102:102)-SUMIF(101:101,C30,102:102)+100</f>
        <v>100</v>
      </c>
      <c r="K29" s="485">
        <v>3</v>
      </c>
      <c r="L29" s="1743"/>
      <c r="M29" s="1740"/>
      <c r="N29" s="1740"/>
      <c r="O29" s="1744"/>
      <c r="P29" s="3620"/>
      <c r="Q29" s="818" t="str">
        <f t="shared" si="8"/>
        <v>公共配套设施</v>
      </c>
      <c r="R29" s="1303" t="s">
        <v>5</v>
      </c>
      <c r="S29" s="1304">
        <f>F29</f>
        <v>100</v>
      </c>
      <c r="T29" s="1303" t="s">
        <v>5</v>
      </c>
      <c r="U29" s="1304">
        <f>H29</f>
        <v>100</v>
      </c>
      <c r="V29" s="1303" t="s">
        <v>5</v>
      </c>
      <c r="W29" s="1304">
        <f>J29</f>
        <v>100</v>
      </c>
      <c r="X29" s="1305"/>
      <c r="Y29" s="3620"/>
      <c r="Z29" s="997" t="str">
        <f>Q29</f>
        <v>公共配套设施</v>
      </c>
      <c r="AA29" s="1309">
        <f>D29/F29</f>
        <v>1</v>
      </c>
      <c r="AB29" s="1309">
        <f>D29/H29</f>
        <v>1</v>
      </c>
      <c r="AC29" s="1309">
        <f>D29/J29</f>
        <v>1</v>
      </c>
    </row>
    <row r="30" spans="1:29" s="1060" customFormat="1" ht="20.25">
      <c r="A30" s="527"/>
      <c r="B30" s="516"/>
      <c r="C30" s="504" t="s">
        <v>3355</v>
      </c>
      <c r="D30" s="507"/>
      <c r="E30" s="504" t="s">
        <v>3355</v>
      </c>
      <c r="F30" s="505"/>
      <c r="G30" s="504" t="s">
        <v>3355</v>
      </c>
      <c r="H30" s="505"/>
      <c r="I30" s="504" t="s">
        <v>3355</v>
      </c>
      <c r="J30" s="505"/>
      <c r="K30" s="481"/>
      <c r="L30" s="1743"/>
      <c r="M30" s="1740"/>
      <c r="N30" s="1740"/>
      <c r="O30" s="1744"/>
      <c r="P30" s="3620"/>
      <c r="Q30" s="818"/>
      <c r="R30" s="1303"/>
      <c r="S30" s="1304"/>
      <c r="T30" s="1303"/>
      <c r="U30" s="1304"/>
      <c r="V30" s="1303"/>
      <c r="W30" s="1304"/>
      <c r="X30" s="1305"/>
      <c r="Y30" s="3620"/>
      <c r="Z30" s="997"/>
      <c r="AA30" s="1309">
        <v>1</v>
      </c>
      <c r="AB30" s="1309">
        <v>1</v>
      </c>
      <c r="AC30" s="1309">
        <v>1</v>
      </c>
    </row>
    <row r="31" spans="1:29" s="1060" customFormat="1" ht="20.25">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20"/>
      <c r="Q31" s="818" t="str">
        <f>B31</f>
        <v>基础设施水平</v>
      </c>
      <c r="R31" s="1303" t="s">
        <v>5</v>
      </c>
      <c r="S31" s="1304">
        <f>F31</f>
        <v>100</v>
      </c>
      <c r="T31" s="1303" t="s">
        <v>5</v>
      </c>
      <c r="U31" s="1304">
        <f>H31</f>
        <v>100</v>
      </c>
      <c r="V31" s="1303" t="s">
        <v>5</v>
      </c>
      <c r="W31" s="1304">
        <f>J31</f>
        <v>100</v>
      </c>
      <c r="X31" s="1305"/>
      <c r="Y31" s="3620"/>
      <c r="Z31" s="997" t="str">
        <f>Q31</f>
        <v>基础设施水平</v>
      </c>
      <c r="AA31" s="1309">
        <f>D31/F31</f>
        <v>1</v>
      </c>
      <c r="AB31" s="1309">
        <f>D31/H31</f>
        <v>1</v>
      </c>
      <c r="AC31" s="1309">
        <f>D31/J31</f>
        <v>1</v>
      </c>
    </row>
    <row r="32" spans="1:29" s="1060" customFormat="1" ht="20.25">
      <c r="A32" s="527"/>
      <c r="B32" s="516"/>
      <c r="C32" s="529" t="s">
        <v>3502</v>
      </c>
      <c r="D32" s="507"/>
      <c r="E32" s="529" t="s">
        <v>3502</v>
      </c>
      <c r="F32" s="505"/>
      <c r="G32" s="529" t="s">
        <v>3502</v>
      </c>
      <c r="H32" s="505"/>
      <c r="I32" s="529" t="s">
        <v>3502</v>
      </c>
      <c r="J32" s="505"/>
      <c r="K32" s="481"/>
      <c r="L32" s="1743"/>
      <c r="M32" s="1740"/>
      <c r="N32" s="1740"/>
      <c r="O32" s="1744"/>
      <c r="P32" s="3620"/>
      <c r="Q32" s="818"/>
      <c r="R32" s="1303"/>
      <c r="S32" s="1304"/>
      <c r="T32" s="1303"/>
      <c r="U32" s="1304"/>
      <c r="V32" s="1303"/>
      <c r="W32" s="1304"/>
      <c r="X32" s="1305"/>
      <c r="Y32" s="3620"/>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20"/>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20"/>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20"/>
      <c r="Q34" s="1306" t="str">
        <f t="shared" si="8"/>
        <v>毗邻道路的类型与等级</v>
      </c>
      <c r="R34" s="1307" t="s">
        <v>5</v>
      </c>
      <c r="S34" s="1308">
        <f t="shared" si="9"/>
        <v>100</v>
      </c>
      <c r="T34" s="1307" t="s">
        <v>5</v>
      </c>
      <c r="U34" s="1308">
        <f t="shared" si="10"/>
        <v>100</v>
      </c>
      <c r="V34" s="1307" t="s">
        <v>5</v>
      </c>
      <c r="W34" s="1308">
        <f t="shared" si="11"/>
        <v>100</v>
      </c>
      <c r="X34" s="1302"/>
      <c r="Y34" s="3620"/>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20"/>
      <c r="Q35" s="1306"/>
      <c r="R35" s="1307"/>
      <c r="S35" s="1308"/>
      <c r="T35" s="1307"/>
      <c r="U35" s="1308"/>
      <c r="V35" s="1307"/>
      <c r="W35" s="1308"/>
      <c r="X35" s="1302"/>
      <c r="Y35" s="3620"/>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20"/>
      <c r="Q36" s="1306" t="str">
        <f t="shared" si="8"/>
        <v>土地级别</v>
      </c>
      <c r="R36" s="1307" t="s">
        <v>5</v>
      </c>
      <c r="S36" s="1308">
        <f t="shared" si="9"/>
        <v>100</v>
      </c>
      <c r="T36" s="1307" t="s">
        <v>5</v>
      </c>
      <c r="U36" s="1308">
        <f t="shared" si="10"/>
        <v>100</v>
      </c>
      <c r="V36" s="1307" t="s">
        <v>5</v>
      </c>
      <c r="W36" s="1308">
        <f t="shared" si="11"/>
        <v>100</v>
      </c>
      <c r="X36" s="1302"/>
      <c r="Y36" s="3620"/>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20"/>
      <c r="Q37" s="1306">
        <f t="shared" si="8"/>
        <v>111</v>
      </c>
      <c r="R37" s="1307" t="s">
        <v>5</v>
      </c>
      <c r="S37" s="1308">
        <f t="shared" si="9"/>
        <v>100</v>
      </c>
      <c r="T37" s="1307" t="s">
        <v>5</v>
      </c>
      <c r="U37" s="1308">
        <f t="shared" si="10"/>
        <v>100</v>
      </c>
      <c r="V37" s="1307" t="s">
        <v>5</v>
      </c>
      <c r="W37" s="1308">
        <f t="shared" si="11"/>
        <v>100</v>
      </c>
      <c r="X37" s="1302"/>
      <c r="Y37" s="3620"/>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21" t="s">
        <v>499</v>
      </c>
      <c r="Q38" s="1306">
        <f t="shared" si="8"/>
        <v>111</v>
      </c>
      <c r="R38" s="1307" t="s">
        <v>5</v>
      </c>
      <c r="S38" s="1308">
        <f t="shared" si="9"/>
        <v>100</v>
      </c>
      <c r="T38" s="1307" t="s">
        <v>5</v>
      </c>
      <c r="U38" s="1308">
        <f t="shared" si="10"/>
        <v>100</v>
      </c>
      <c r="V38" s="1307" t="s">
        <v>5</v>
      </c>
      <c r="W38" s="1308">
        <f t="shared" si="11"/>
        <v>100</v>
      </c>
      <c r="X38" s="1302"/>
      <c r="Y38" s="3622"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22"/>
      <c r="Q39" s="1306">
        <f t="shared" si="8"/>
        <v>111</v>
      </c>
      <c r="R39" s="1310" t="s">
        <v>5</v>
      </c>
      <c r="S39" s="1311">
        <f t="shared" si="9"/>
        <v>100</v>
      </c>
      <c r="T39" s="1310" t="s">
        <v>5</v>
      </c>
      <c r="U39" s="1311">
        <f t="shared" si="10"/>
        <v>100</v>
      </c>
      <c r="V39" s="1310" t="s">
        <v>5</v>
      </c>
      <c r="W39" s="1311">
        <f t="shared" si="11"/>
        <v>100</v>
      </c>
      <c r="X39" s="1312"/>
      <c r="Y39" s="3622"/>
      <c r="Z39" s="1313">
        <f t="shared" si="12"/>
        <v>111</v>
      </c>
      <c r="AA39" s="1309">
        <f t="shared" si="3"/>
        <v>1</v>
      </c>
      <c r="AB39" s="1309">
        <f t="shared" si="4"/>
        <v>1</v>
      </c>
      <c r="AC39" s="1309">
        <f t="shared" si="5"/>
        <v>1</v>
      </c>
    </row>
    <row r="40" spans="1:29" ht="20.25">
      <c r="A40" s="2204" t="s">
        <v>2037</v>
      </c>
      <c r="B40" s="544" t="s">
        <v>501</v>
      </c>
      <c r="C40" s="545">
        <f>'数据-汇总表'!D3</f>
        <v>20362.47</v>
      </c>
      <c r="D40" s="546">
        <v>100</v>
      </c>
      <c r="E40" s="545">
        <f>土地!I3</f>
        <v>30551.17</v>
      </c>
      <c r="F40" s="546">
        <f>LOOKUP(E40,118:118,119:119)-LOOKUP(C40,118:118,119:119)+100</f>
        <v>100</v>
      </c>
      <c r="G40" s="545">
        <f>土地!I4</f>
        <v>69893.14</v>
      </c>
      <c r="H40" s="546">
        <f>LOOKUP(G40,118:118,119:119)-LOOKUP(C40,118:118,119:119)+100</f>
        <v>108</v>
      </c>
      <c r="I40" s="547">
        <f>土地!I5</f>
        <v>40739.620000000003</v>
      </c>
      <c r="J40" s="546">
        <f>LOOKUP(I40,118:118,119:119)-LOOKUP(C40,118:118,119:119)+100</f>
        <v>104</v>
      </c>
      <c r="K40" s="531"/>
      <c r="L40" s="1749"/>
      <c r="M40" s="1740"/>
      <c r="N40" s="1740"/>
      <c r="O40" s="1748"/>
      <c r="P40" s="3622"/>
      <c r="Q40" s="1306" t="str">
        <f>B40</f>
        <v>宗地面积</v>
      </c>
      <c r="R40" s="1307" t="s">
        <v>5</v>
      </c>
      <c r="S40" s="1308">
        <f t="shared" si="9"/>
        <v>100</v>
      </c>
      <c r="T40" s="1307" t="s">
        <v>5</v>
      </c>
      <c r="U40" s="1308">
        <f t="shared" si="10"/>
        <v>108</v>
      </c>
      <c r="V40" s="1307" t="s">
        <v>5</v>
      </c>
      <c r="W40" s="1308">
        <f t="shared" si="11"/>
        <v>104</v>
      </c>
      <c r="X40" s="1302"/>
      <c r="Y40" s="3622"/>
      <c r="Z40" s="1309" t="str">
        <f t="shared" si="12"/>
        <v>宗地面积</v>
      </c>
      <c r="AA40" s="1309">
        <f t="shared" si="3"/>
        <v>1</v>
      </c>
      <c r="AB40" s="1309">
        <f t="shared" si="4"/>
        <v>0.92592592592592593</v>
      </c>
      <c r="AC40" s="1309">
        <f t="shared" si="5"/>
        <v>0.96153846153846156</v>
      </c>
    </row>
    <row r="41" spans="1:29" ht="20.25">
      <c r="A41" s="543"/>
      <c r="B41" s="477" t="s">
        <v>502</v>
      </c>
      <c r="C41" s="548" t="s">
        <v>3503</v>
      </c>
      <c r="D41" s="490">
        <v>100</v>
      </c>
      <c r="E41" s="548" t="s">
        <v>3505</v>
      </c>
      <c r="F41" s="490">
        <f>SUMIF(120:120,E41,121:121)-SUMIF(120:120,C41,121:121)+100</f>
        <v>97</v>
      </c>
      <c r="G41" s="548" t="s">
        <v>3503</v>
      </c>
      <c r="H41" s="490">
        <f>SUMIF(120:120,G41,121:121)-SUMIF(120:120,C41,121:121)+100</f>
        <v>100</v>
      </c>
      <c r="I41" s="548" t="s">
        <v>3544</v>
      </c>
      <c r="J41" s="490">
        <f>SUMIF(120:120,I41,121:121)-SUMIF(120:120,C41,121:121)+100</f>
        <v>103</v>
      </c>
      <c r="K41" s="533">
        <v>3</v>
      </c>
      <c r="L41" s="1749"/>
      <c r="M41" s="1740"/>
      <c r="N41" s="1740"/>
      <c r="O41" s="1748"/>
      <c r="P41" s="3622"/>
      <c r="Q41" s="1306" t="str">
        <f t="shared" ref="Q41:Q47" si="13">B41</f>
        <v>宗地形状</v>
      </c>
      <c r="R41" s="1307" t="s">
        <v>5</v>
      </c>
      <c r="S41" s="1308">
        <f t="shared" si="9"/>
        <v>97</v>
      </c>
      <c r="T41" s="1307" t="s">
        <v>5</v>
      </c>
      <c r="U41" s="1308">
        <f t="shared" si="10"/>
        <v>100</v>
      </c>
      <c r="V41" s="1307" t="s">
        <v>5</v>
      </c>
      <c r="W41" s="1308">
        <f t="shared" si="11"/>
        <v>103</v>
      </c>
      <c r="X41" s="1302"/>
      <c r="Y41" s="3622"/>
      <c r="Z41" s="1309" t="str">
        <f t="shared" si="12"/>
        <v>宗地形状</v>
      </c>
      <c r="AA41" s="1309">
        <f t="shared" si="3"/>
        <v>1.0309278350515463</v>
      </c>
      <c r="AB41" s="1309">
        <f t="shared" si="4"/>
        <v>1</v>
      </c>
      <c r="AC41" s="1309">
        <f t="shared" si="5"/>
        <v>0.970873786407767</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22"/>
      <c r="Q42" s="1306" t="str">
        <f t="shared" si="13"/>
        <v>临街宽度及深度</v>
      </c>
      <c r="R42" s="1307" t="s">
        <v>5</v>
      </c>
      <c r="S42" s="1308">
        <f t="shared" si="9"/>
        <v>100</v>
      </c>
      <c r="T42" s="1307" t="s">
        <v>5</v>
      </c>
      <c r="U42" s="1308">
        <f t="shared" si="10"/>
        <v>100</v>
      </c>
      <c r="V42" s="1307" t="s">
        <v>5</v>
      </c>
      <c r="W42" s="1308">
        <f t="shared" si="11"/>
        <v>100</v>
      </c>
      <c r="X42" s="1302"/>
      <c r="Y42" s="3622"/>
      <c r="Z42" s="1309" t="str">
        <f t="shared" si="12"/>
        <v>临街宽度及深度</v>
      </c>
      <c r="AA42" s="1309">
        <f t="shared" si="3"/>
        <v>1</v>
      </c>
      <c r="AB42" s="1309">
        <f t="shared" si="4"/>
        <v>1</v>
      </c>
      <c r="AC42" s="1309">
        <f t="shared" si="5"/>
        <v>1</v>
      </c>
    </row>
    <row r="43" spans="1:29" s="1060" customFormat="1" ht="20.25">
      <c r="A43" s="549"/>
      <c r="B43" s="1554" t="s">
        <v>1776</v>
      </c>
      <c r="C43" s="550" t="s">
        <v>3501</v>
      </c>
      <c r="D43" s="235">
        <v>100</v>
      </c>
      <c r="E43" s="550" t="s">
        <v>3501</v>
      </c>
      <c r="F43" s="490">
        <f>SUMIF(124:124,E43,125:125)-SUMIF(124:124,C43,125:125)+100</f>
        <v>100</v>
      </c>
      <c r="G43" s="550" t="s">
        <v>3501</v>
      </c>
      <c r="H43" s="490">
        <f>SUMIF(124:124,G43,125:125)-SUMIF(124:124,C43,125:125)+100</f>
        <v>100</v>
      </c>
      <c r="I43" s="550" t="s">
        <v>3540</v>
      </c>
      <c r="J43" s="490">
        <f>SUMIF(124:124,I43,125:125)-SUMIF(124:124,C43,125:125)+100</f>
        <v>98</v>
      </c>
      <c r="K43" s="533">
        <v>1</v>
      </c>
      <c r="L43" s="1743"/>
      <c r="M43" s="1740"/>
      <c r="N43" s="1740"/>
      <c r="O43" s="1744"/>
      <c r="P43" s="3622"/>
      <c r="Q43" s="1306" t="str">
        <f t="shared" si="13"/>
        <v>宗地开发程度</v>
      </c>
      <c r="R43" s="1303" t="s">
        <v>5</v>
      </c>
      <c r="S43" s="1304">
        <f t="shared" si="9"/>
        <v>100</v>
      </c>
      <c r="T43" s="1303" t="s">
        <v>5</v>
      </c>
      <c r="U43" s="1304">
        <f t="shared" si="10"/>
        <v>100</v>
      </c>
      <c r="V43" s="1303" t="s">
        <v>5</v>
      </c>
      <c r="W43" s="1304">
        <f t="shared" si="11"/>
        <v>98</v>
      </c>
      <c r="X43" s="1305"/>
      <c r="Y43" s="3622"/>
      <c r="Z43" s="997" t="str">
        <f t="shared" si="12"/>
        <v>宗地开发程度</v>
      </c>
      <c r="AA43" s="997">
        <f t="shared" si="3"/>
        <v>1</v>
      </c>
      <c r="AB43" s="997">
        <f t="shared" si="4"/>
        <v>1</v>
      </c>
      <c r="AC43" s="997">
        <f t="shared" si="5"/>
        <v>1.0204081632653061</v>
      </c>
    </row>
    <row r="44" spans="1:29" ht="20.25">
      <c r="A44" s="543"/>
      <c r="B44" s="477" t="s">
        <v>504</v>
      </c>
      <c r="C44" s="548" t="s">
        <v>3500</v>
      </c>
      <c r="D44" s="490">
        <v>100</v>
      </c>
      <c r="E44" s="548" t="s">
        <v>3500</v>
      </c>
      <c r="F44" s="490">
        <f>SUMIF(126:126,E44,127:127)-SUMIF(126:126,C44,127:127)+100</f>
        <v>100</v>
      </c>
      <c r="G44" s="548" t="s">
        <v>3500</v>
      </c>
      <c r="H44" s="490">
        <f>SUMIF(126:126,G44,127:127)-SUMIF(126:126,C44,127:127)+100</f>
        <v>100</v>
      </c>
      <c r="I44" s="548" t="s">
        <v>3500</v>
      </c>
      <c r="J44" s="490">
        <f>SUMIF(126:126,I44,127:127)-SUMIF(126:126,C44,127:127)+100</f>
        <v>100</v>
      </c>
      <c r="K44" s="533">
        <v>2</v>
      </c>
      <c r="L44" s="1749"/>
      <c r="M44" s="1740"/>
      <c r="N44" s="1740"/>
      <c r="O44" s="1748"/>
      <c r="P44" s="3622" t="s">
        <v>499</v>
      </c>
      <c r="Q44" s="1306" t="str">
        <f t="shared" si="13"/>
        <v>工程地质条件</v>
      </c>
      <c r="R44" s="1307" t="s">
        <v>5</v>
      </c>
      <c r="S44" s="1308">
        <f t="shared" si="9"/>
        <v>100</v>
      </c>
      <c r="T44" s="1307" t="s">
        <v>5</v>
      </c>
      <c r="U44" s="1308">
        <f t="shared" si="10"/>
        <v>100</v>
      </c>
      <c r="V44" s="1307" t="s">
        <v>5</v>
      </c>
      <c r="W44" s="1308">
        <f t="shared" si="11"/>
        <v>100</v>
      </c>
      <c r="X44" s="1302"/>
      <c r="Y44" s="3622"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22"/>
      <c r="Q45" s="1306">
        <f t="shared" si="13"/>
        <v>111</v>
      </c>
      <c r="R45" s="1307" t="s">
        <v>5</v>
      </c>
      <c r="S45" s="1308">
        <f t="shared" si="9"/>
        <v>100</v>
      </c>
      <c r="T45" s="1307" t="s">
        <v>5</v>
      </c>
      <c r="U45" s="1308">
        <f t="shared" si="10"/>
        <v>100</v>
      </c>
      <c r="V45" s="1307" t="s">
        <v>5</v>
      </c>
      <c r="W45" s="1308">
        <f t="shared" si="11"/>
        <v>100</v>
      </c>
      <c r="X45" s="1302"/>
      <c r="Y45" s="3622"/>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22"/>
      <c r="Q46" s="1306">
        <f t="shared" si="13"/>
        <v>111</v>
      </c>
      <c r="R46" s="1307" t="s">
        <v>5</v>
      </c>
      <c r="S46" s="1308">
        <f t="shared" si="9"/>
        <v>100</v>
      </c>
      <c r="T46" s="1307" t="s">
        <v>5</v>
      </c>
      <c r="U46" s="1308">
        <f t="shared" si="10"/>
        <v>100</v>
      </c>
      <c r="V46" s="1307" t="s">
        <v>5</v>
      </c>
      <c r="W46" s="1308">
        <f t="shared" si="11"/>
        <v>100</v>
      </c>
      <c r="X46" s="1302"/>
      <c r="Y46" s="3622"/>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22"/>
      <c r="Q47" s="1306">
        <f t="shared" si="13"/>
        <v>111</v>
      </c>
      <c r="R47" s="1310" t="s">
        <v>5</v>
      </c>
      <c r="S47" s="1311">
        <f t="shared" si="9"/>
        <v>100</v>
      </c>
      <c r="T47" s="1310" t="s">
        <v>5</v>
      </c>
      <c r="U47" s="1311">
        <f t="shared" si="10"/>
        <v>100</v>
      </c>
      <c r="V47" s="1310" t="s">
        <v>5</v>
      </c>
      <c r="W47" s="1311">
        <f t="shared" si="11"/>
        <v>100</v>
      </c>
      <c r="X47" s="1312"/>
      <c r="Y47" s="3622"/>
      <c r="Z47" s="1313">
        <f t="shared" si="12"/>
        <v>111</v>
      </c>
      <c r="AA47" s="1309">
        <f t="shared" si="3"/>
        <v>1</v>
      </c>
      <c r="AB47" s="1309">
        <f t="shared" si="4"/>
        <v>1</v>
      </c>
      <c r="AC47" s="1309">
        <f t="shared" si="5"/>
        <v>1</v>
      </c>
    </row>
    <row r="48" spans="1:29" ht="20.25">
      <c r="A48" s="556" t="s">
        <v>505</v>
      </c>
      <c r="B48" s="557" t="s">
        <v>3541</v>
      </c>
      <c r="C48" s="558" t="s">
        <v>0</v>
      </c>
      <c r="D48" s="559"/>
      <c r="E48" s="560">
        <f>土地!AW3</f>
        <v>14486</v>
      </c>
      <c r="F48" s="561"/>
      <c r="G48" s="562">
        <f>土地!AW4</f>
        <v>18524</v>
      </c>
      <c r="H48" s="563"/>
      <c r="I48" s="560">
        <f>土地!AW5</f>
        <v>18671</v>
      </c>
      <c r="J48" s="563"/>
      <c r="K48" s="1135"/>
      <c r="L48" s="1751"/>
      <c r="M48" s="1740"/>
      <c r="N48" s="1740"/>
      <c r="O48" s="1742"/>
      <c r="P48" s="3586" t="str">
        <f>A48</f>
        <v>成交单价</v>
      </c>
      <c r="Q48" s="3586"/>
      <c r="R48" s="3587">
        <f>E48</f>
        <v>14486</v>
      </c>
      <c r="S48" s="3587"/>
      <c r="T48" s="3587">
        <f>G48</f>
        <v>18524</v>
      </c>
      <c r="U48" s="3587"/>
      <c r="V48" s="3587">
        <f>I48</f>
        <v>18671</v>
      </c>
      <c r="W48" s="3587"/>
      <c r="X48" s="799"/>
      <c r="Y48" s="1314"/>
      <c r="Z48" s="799"/>
      <c r="AA48" s="799"/>
      <c r="AB48" s="799"/>
      <c r="AC48" s="799"/>
    </row>
    <row r="49" spans="1:29" ht="21" thickBot="1">
      <c r="A49" s="564" t="s">
        <v>1975</v>
      </c>
      <c r="B49" s="565"/>
      <c r="C49" s="566">
        <f>R50</f>
        <v>15972</v>
      </c>
      <c r="D49" s="2549" t="s">
        <v>2255</v>
      </c>
      <c r="E49" s="566">
        <f>R49</f>
        <v>14641</v>
      </c>
      <c r="F49" s="2550"/>
      <c r="G49" s="567">
        <f>T49</f>
        <v>16167</v>
      </c>
      <c r="H49" s="2550"/>
      <c r="I49" s="566">
        <f>V49</f>
        <v>17107</v>
      </c>
      <c r="J49" s="2550"/>
      <c r="K49" s="2551">
        <f>F49+H49+J49</f>
        <v>0</v>
      </c>
      <c r="L49" s="1751"/>
      <c r="M49" s="1740"/>
      <c r="N49" s="1740"/>
      <c r="O49" s="1742"/>
      <c r="P49" s="3586" t="str">
        <f>A49</f>
        <v>比较价格（元/平方米）</v>
      </c>
      <c r="Q49" s="3586"/>
      <c r="R49" s="3588">
        <f>ROUND(PRODUCT(R48,AA9:AA47),0)</f>
        <v>14641</v>
      </c>
      <c r="S49" s="3588"/>
      <c r="T49" s="3588">
        <f>ROUND(PRODUCT(T48,AB9:AB47),0)</f>
        <v>16167</v>
      </c>
      <c r="U49" s="3588"/>
      <c r="V49" s="3588">
        <f>ROUND(PRODUCT(V48,AC9:AC47),0)</f>
        <v>17107</v>
      </c>
      <c r="W49" s="3588"/>
      <c r="X49" s="799"/>
      <c r="Y49" s="799"/>
      <c r="Z49" s="799"/>
      <c r="AA49" s="799"/>
      <c r="AB49" s="799"/>
      <c r="AC49" s="799"/>
    </row>
    <row r="50" spans="1:29" ht="21" thickBot="1">
      <c r="A50" s="568" t="s">
        <v>2192</v>
      </c>
      <c r="B50" s="569"/>
      <c r="C50" s="570">
        <f>R50</f>
        <v>15972</v>
      </c>
      <c r="D50" s="570"/>
      <c r="E50" s="570"/>
      <c r="F50" s="570"/>
      <c r="G50" s="570"/>
      <c r="H50" s="570"/>
      <c r="I50" s="570"/>
      <c r="J50" s="570"/>
      <c r="K50" s="1136"/>
      <c r="L50" s="1751"/>
      <c r="M50" s="1740"/>
      <c r="N50" s="1740"/>
      <c r="O50" s="1742"/>
      <c r="P50" s="3623" t="str">
        <f>A50</f>
        <v>估价对象XX用房的比较价格（楼面单价，元/平方米）</v>
      </c>
      <c r="Q50" s="3624"/>
      <c r="R50" s="3585">
        <f>ROUND(IF(D49="简单平均",AVERAGE(R49:W49),R49*F49+T49*H49+V49*J49),0)</f>
        <v>15972</v>
      </c>
      <c r="S50" s="3585"/>
      <c r="T50" s="3585"/>
      <c r="U50" s="3585"/>
      <c r="V50" s="3585"/>
      <c r="W50" s="3585"/>
      <c r="X50" s="799"/>
      <c r="Y50" s="799"/>
      <c r="Z50" s="799"/>
      <c r="AA50" s="799"/>
      <c r="AB50" s="799"/>
      <c r="AC50" s="799"/>
    </row>
    <row r="51" spans="1:29" ht="20.25">
      <c r="A51" s="2718"/>
      <c r="B51" s="2718"/>
      <c r="C51" s="2718"/>
      <c r="D51" s="2718"/>
      <c r="E51" s="2718"/>
      <c r="F51" s="2718"/>
      <c r="G51" s="2720"/>
      <c r="H51" s="2718"/>
      <c r="I51" s="2718"/>
      <c r="J51" s="2718"/>
      <c r="K51" s="2721"/>
      <c r="L51" s="1755"/>
      <c r="M51" s="1740"/>
      <c r="N51" s="1740"/>
      <c r="O51" s="1742"/>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1.0699986193566158E-2</v>
      </c>
      <c r="F53" s="574" t="str">
        <f>IF(OR(E53&gt;=0.3,E53&lt;=-0.3),"超过30%","")</f>
        <v/>
      </c>
      <c r="G53" s="573">
        <f>IF(G48&lt;G49,G49/G48-1,G48/G49-1)</f>
        <v>0.14579080843693948</v>
      </c>
      <c r="H53" s="574" t="str">
        <f>IF(OR(G53&gt;=0.3,G53&lt;=-0.3),"超过30%","")</f>
        <v/>
      </c>
      <c r="I53" s="573">
        <f>IF(I48&lt;I49,I49/I48-1,I48/I49-1)</f>
        <v>9.1424563044367746E-2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0.10422785328870976</v>
      </c>
      <c r="F54" s="574" t="str">
        <f>IF(OR(E54&gt;=0.2,E54&lt;=-0.2),"超过20%","")</f>
        <v/>
      </c>
      <c r="G54" s="573">
        <f>IF(G49&lt;I49,I49/G49-1,G49/I49-1)</f>
        <v>5.814313106946245E-2</v>
      </c>
      <c r="H54" s="574" t="str">
        <f>IF(OR(G54&gt;=0.2,G54&lt;=-0.2),"超过20%","")</f>
        <v/>
      </c>
      <c r="I54" s="573">
        <f>IF(I49&lt;E49,E49/I49-1,I49/E49-1)</f>
        <v>0.16843111809302647</v>
      </c>
      <c r="J54" s="574" t="str">
        <f>IF(OR(I54&gt;=0.2,I54&lt;=-0.2),"超过20%","")</f>
        <v/>
      </c>
      <c r="K54" s="2721"/>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f>IF(E48&lt;G48,G48/E48-1,E48/G48-1)</f>
        <v>0.27875189838464731</v>
      </c>
      <c r="F55" s="574" t="str">
        <f>IF(OR(E55&gt;=0.3,E55&lt;=-0.3),"超过30%","")</f>
        <v/>
      </c>
      <c r="G55" s="573">
        <f>IF(G48&lt;I48,I48/G48-1,G48/I48-1)</f>
        <v>7.9356510472901043E-3</v>
      </c>
      <c r="H55" s="574" t="str">
        <f>IF(OR(G55&gt;=0.3,G55&lt;=-0.3),"超过30%","")</f>
        <v/>
      </c>
      <c r="I55" s="573">
        <f>IF(I48&lt;E48,E48/I48-1,I48/E48-1)</f>
        <v>0.28889962722628737</v>
      </c>
      <c r="J55" s="574" t="str">
        <f>IF(OR(I55&gt;=0.3,I55&lt;=-0.3),"超过30%","")</f>
        <v/>
      </c>
      <c r="K55" s="2722"/>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12" t="s">
        <v>1639</v>
      </c>
      <c r="H57" s="3613"/>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f>C50</f>
        <v>15972</v>
      </c>
      <c r="C58" s="582">
        <v>1</v>
      </c>
      <c r="D58" s="1822">
        <v>1</v>
      </c>
      <c r="E58" s="582">
        <f>'数据-汇总表'!E8+'数据-汇总表'!E9</f>
        <v>32315.351999999999</v>
      </c>
      <c r="F58" s="583">
        <f t="shared" ref="F58:F66" si="14">ROUND(B58*E58/10000,0)</f>
        <v>51614</v>
      </c>
      <c r="G58" s="3614"/>
      <c r="H58" s="3615"/>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f>ROUND($C$50*C59*D59,0)</f>
        <v>2396</v>
      </c>
      <c r="C59" s="348">
        <f t="shared" ref="C59:C66" si="15">IF($C$57="北京市系数",I59,J59)</f>
        <v>0.6</v>
      </c>
      <c r="D59" s="1823">
        <v>0.25</v>
      </c>
      <c r="E59" s="586">
        <v>0</v>
      </c>
      <c r="F59" s="583">
        <f t="shared" si="14"/>
        <v>0</v>
      </c>
      <c r="G59" s="3025" t="s">
        <v>1640</v>
      </c>
      <c r="H59" s="1607" t="str">
        <f>项目基本情况!B43</f>
        <v>七级</v>
      </c>
      <c r="I59" s="1298">
        <f>SUMIF(修正!$A$57:$A$68,H59,修正!B57:B68)</f>
        <v>0.6</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f t="shared" ref="B60:B66" si="16">ROUND($C$50*C60*D60,0)</f>
        <v>1198</v>
      </c>
      <c r="C60" s="348">
        <f t="shared" si="15"/>
        <v>0.3</v>
      </c>
      <c r="D60" s="1823">
        <v>0.25</v>
      </c>
      <c r="E60" s="586">
        <v>0</v>
      </c>
      <c r="F60" s="583">
        <f t="shared" si="14"/>
        <v>0</v>
      </c>
      <c r="G60" s="3026"/>
      <c r="H60" s="1607" t="str">
        <f>项目基本情况!B43</f>
        <v>七级</v>
      </c>
      <c r="I60" s="1298">
        <f>SUMIF(修正!$A$57:$A$68,H60,修正!C57:C68)</f>
        <v>0.3</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f t="shared" si="16"/>
        <v>998</v>
      </c>
      <c r="C61" s="348">
        <f t="shared" si="15"/>
        <v>0.25</v>
      </c>
      <c r="D61" s="1823">
        <v>0.25</v>
      </c>
      <c r="E61" s="586">
        <v>0</v>
      </c>
      <c r="F61" s="583">
        <f t="shared" si="14"/>
        <v>0</v>
      </c>
      <c r="G61" s="3026"/>
      <c r="H61" s="1607" t="str">
        <f>项目基本情况!B43</f>
        <v>七级</v>
      </c>
      <c r="I61" s="1298">
        <f>SUMIF(修正!$A$57:$A$68,H61,修正!D57:D68)</f>
        <v>0.25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f t="shared" si="16"/>
        <v>998</v>
      </c>
      <c r="C62" s="348">
        <f t="shared" si="15"/>
        <v>0.25</v>
      </c>
      <c r="D62" s="1823">
        <v>0.25</v>
      </c>
      <c r="E62" s="588">
        <f>'数据-汇总表'!E11</f>
        <v>0</v>
      </c>
      <c r="F62" s="583">
        <f t="shared" si="14"/>
        <v>0</v>
      </c>
      <c r="G62" s="1604" t="s">
        <v>1641</v>
      </c>
      <c r="H62" s="1607" t="str">
        <f>项目基本情况!C43</f>
        <v>七级</v>
      </c>
      <c r="I62" s="1298">
        <f>SUMIF(修正!$A$57:$A$68,H62,修正!E57:E68)</f>
        <v>0.25</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f t="shared" si="16"/>
        <v>998</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SUMIF(修正!$A$57:$A$68,H63,修正!F57:F68)</f>
        <v>0.25</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f t="shared" si="16"/>
        <v>599</v>
      </c>
      <c r="C64" s="348">
        <f t="shared" si="15"/>
        <v>0.15</v>
      </c>
      <c r="D64" s="1823">
        <v>0.25</v>
      </c>
      <c r="E64" s="588">
        <f>'数据-汇总表'!E13</f>
        <v>9011.2199999999993</v>
      </c>
      <c r="F64" s="583">
        <f t="shared" si="14"/>
        <v>540</v>
      </c>
      <c r="G64" s="1605" t="s">
        <v>851</v>
      </c>
      <c r="H64" s="1603" t="str">
        <f>IF(G64="商业",项目基本情况!B43,IF(G64="办公",项目基本情况!C43,IF(G64="住宅",项目基本情况!D43,项目基本情况!E43)))</f>
        <v>七级</v>
      </c>
      <c r="I64" s="1298">
        <f>SUMIF(修正!$A$57:$A$68,H64,修正!G57:G68)</f>
        <v>0.15</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f t="shared" si="16"/>
        <v>599</v>
      </c>
      <c r="C65" s="348">
        <f t="shared" si="15"/>
        <v>0.15</v>
      </c>
      <c r="D65" s="1823">
        <v>0.25</v>
      </c>
      <c r="E65" s="588">
        <f>'数据-汇总表'!E14</f>
        <v>0</v>
      </c>
      <c r="F65" s="583">
        <f t="shared" si="14"/>
        <v>0</v>
      </c>
      <c r="G65" s="1604" t="s">
        <v>1640</v>
      </c>
      <c r="H65" s="1607" t="str">
        <f>项目基本情况!B43</f>
        <v>七级</v>
      </c>
      <c r="I65" s="1298">
        <f>SUMIF(修正!$A$57:$A$68,H65,修正!G57:G68)</f>
        <v>0.15</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f t="shared" si="16"/>
        <v>599</v>
      </c>
      <c r="C66" s="348">
        <f t="shared" si="15"/>
        <v>0.15</v>
      </c>
      <c r="D66" s="1823">
        <v>0.25</v>
      </c>
      <c r="E66" s="588">
        <f>'数据-汇总表'!E15</f>
        <v>0</v>
      </c>
      <c r="F66" s="583">
        <f t="shared" si="14"/>
        <v>0</v>
      </c>
      <c r="G66" s="1606" t="s">
        <v>1641</v>
      </c>
      <c r="H66" s="1608" t="str">
        <f>项目基本情况!C43</f>
        <v>七级</v>
      </c>
      <c r="I66" s="1298">
        <f>SUMIF(修正!$A$57:$A$68,H66,修正!G57:G68)</f>
        <v>0.15</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41326.572</v>
      </c>
      <c r="F67" s="591">
        <f>IF(B48="楼面地价",SUM(F58:F66),ROUND(C50*E67/10000,0))</f>
        <v>52154</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2024-9-1</v>
      </c>
      <c r="D69" s="2111">
        <f>EDATE(C69,-3)</f>
        <v>45444</v>
      </c>
      <c r="E69" s="2111">
        <f t="shared" ref="E69:N69" si="17">EDATE(D69,-3)</f>
        <v>45352</v>
      </c>
      <c r="F69" s="2111">
        <f t="shared" si="17"/>
        <v>45261</v>
      </c>
      <c r="G69" s="2111">
        <f t="shared" si="17"/>
        <v>45170</v>
      </c>
      <c r="H69" s="2111">
        <f t="shared" si="17"/>
        <v>45078</v>
      </c>
      <c r="I69" s="2111">
        <f t="shared" si="17"/>
        <v>44986</v>
      </c>
      <c r="J69" s="2111">
        <f t="shared" si="17"/>
        <v>44896</v>
      </c>
      <c r="K69" s="2111">
        <f t="shared" si="17"/>
        <v>44805</v>
      </c>
      <c r="L69" s="2111">
        <f t="shared" si="17"/>
        <v>44713</v>
      </c>
      <c r="M69" s="2111">
        <f t="shared" si="17"/>
        <v>44621</v>
      </c>
      <c r="N69" s="2111">
        <f t="shared" si="17"/>
        <v>44531</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v>100</v>
      </c>
      <c r="M72" s="79">
        <v>100</v>
      </c>
      <c r="N72" s="79">
        <v>100</v>
      </c>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4" t="s">
        <v>3492</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3405" t="s">
        <v>3494</v>
      </c>
      <c r="D83" s="1166" t="s">
        <v>3495</v>
      </c>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v>100</v>
      </c>
      <c r="D84" s="613">
        <v>102</v>
      </c>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20000(含)-40000</v>
      </c>
      <c r="E117" s="645" t="str">
        <f t="shared" si="24"/>
        <v>40000(含)-60000</v>
      </c>
      <c r="F117" s="645" t="str">
        <f t="shared" si="24"/>
        <v>60000(含)-80000</v>
      </c>
      <c r="G117" s="645" t="str">
        <f t="shared" si="24"/>
        <v>80000(含)-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40000</v>
      </c>
      <c r="F118" s="79">
        <v>60000</v>
      </c>
      <c r="G118" s="79">
        <v>80000</v>
      </c>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C119+4</f>
        <v>104</v>
      </c>
      <c r="E119" s="666">
        <f t="shared" ref="E119:G119" si="25">D119+4</f>
        <v>108</v>
      </c>
      <c r="F119" s="666">
        <f t="shared" si="25"/>
        <v>112</v>
      </c>
      <c r="G119" s="666">
        <f t="shared" si="25"/>
        <v>116</v>
      </c>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6" t="s">
        <v>3496</v>
      </c>
      <c r="D120" s="3406" t="s">
        <v>3497</v>
      </c>
      <c r="E120" s="3406" t="s">
        <v>3498</v>
      </c>
      <c r="F120" s="3406" t="s">
        <v>3499</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97</v>
      </c>
      <c r="E121" s="621">
        <f t="shared" si="26"/>
        <v>94</v>
      </c>
      <c r="F121" s="621">
        <f t="shared" si="26"/>
        <v>91</v>
      </c>
      <c r="G121" s="621">
        <f t="shared" si="26"/>
        <v>88</v>
      </c>
      <c r="H121" s="621">
        <f t="shared" si="26"/>
        <v>85</v>
      </c>
      <c r="I121" s="621">
        <f t="shared" si="26"/>
        <v>82</v>
      </c>
      <c r="J121" s="621">
        <f t="shared" si="26"/>
        <v>79</v>
      </c>
      <c r="K121" s="621">
        <f t="shared" si="26"/>
        <v>76</v>
      </c>
      <c r="L121" s="621">
        <f t="shared" si="26"/>
        <v>73</v>
      </c>
      <c r="M121" s="622">
        <f t="shared" si="26"/>
        <v>70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
  <sheetViews>
    <sheetView topLeftCell="J1" workbookViewId="0">
      <selection activeCell="AS2" sqref="AS2"/>
    </sheetView>
  </sheetViews>
  <sheetFormatPr defaultRowHeight="13.5"/>
  <cols>
    <col min="1" max="1" width="37.25" customWidth="1"/>
    <col min="2" max="4" width="8.75" hidden="1" customWidth="1"/>
    <col min="5" max="6" width="8.75" customWidth="1"/>
    <col min="7" max="7" width="25.5" bestFit="1" customWidth="1"/>
    <col min="8" max="8" width="0" hidden="1" customWidth="1"/>
    <col min="11" max="14" width="0" hidden="1" customWidth="1"/>
    <col min="16" max="16" width="40.875" customWidth="1"/>
    <col min="17" max="17" width="30.625" customWidth="1"/>
    <col min="20" max="32" width="0" hidden="1" customWidth="1"/>
    <col min="33" max="33" width="11.375" bestFit="1" customWidth="1"/>
    <col min="34" max="35" width="0" hidden="1" customWidth="1"/>
    <col min="36" max="36" width="12.75" bestFit="1" customWidth="1"/>
    <col min="37" max="42" width="0" hidden="1" customWidth="1"/>
    <col min="44" max="44" width="0" hidden="1" customWidth="1"/>
    <col min="46" max="46" width="0" hidden="1" customWidth="1"/>
    <col min="48" max="48" width="0" hidden="1" customWidth="1"/>
    <col min="50" max="54" width="0" hidden="1" customWidth="1"/>
    <col min="60" max="60" width="16.75" customWidth="1"/>
  </cols>
  <sheetData>
    <row r="1" spans="1:61" s="2234" customFormat="1">
      <c r="A1" s="2234" t="s">
        <v>3357</v>
      </c>
      <c r="B1" s="2234" t="s">
        <v>3358</v>
      </c>
      <c r="C1" s="2234" t="s">
        <v>3359</v>
      </c>
      <c r="D1" s="2234" t="s">
        <v>3360</v>
      </c>
      <c r="E1" s="2234" t="s">
        <v>3361</v>
      </c>
      <c r="F1" s="2234" t="s">
        <v>3362</v>
      </c>
      <c r="G1" s="2234" t="s">
        <v>3363</v>
      </c>
      <c r="H1" s="2234" t="s">
        <v>3364</v>
      </c>
      <c r="I1" s="2234" t="s">
        <v>3365</v>
      </c>
      <c r="J1" s="2234" t="s">
        <v>3366</v>
      </c>
      <c r="K1" s="2234" t="s">
        <v>3367</v>
      </c>
      <c r="L1" s="2234" t="s">
        <v>3368</v>
      </c>
      <c r="M1" s="2234" t="s">
        <v>3369</v>
      </c>
      <c r="N1" s="2234" t="s">
        <v>3370</v>
      </c>
      <c r="O1" s="2234" t="s">
        <v>3371</v>
      </c>
      <c r="P1" s="2234" t="s">
        <v>3372</v>
      </c>
      <c r="Q1" s="2234" t="s">
        <v>3373</v>
      </c>
      <c r="R1" s="2234" t="s">
        <v>3374</v>
      </c>
      <c r="S1" s="2234" t="s">
        <v>1550</v>
      </c>
      <c r="T1" s="2234" t="s">
        <v>3375</v>
      </c>
      <c r="U1" s="2234" t="s">
        <v>3376</v>
      </c>
      <c r="V1" s="2234" t="s">
        <v>3377</v>
      </c>
      <c r="W1" s="2234" t="s">
        <v>3378</v>
      </c>
      <c r="X1" s="2234" t="s">
        <v>3379</v>
      </c>
      <c r="Y1" s="2234" t="s">
        <v>3380</v>
      </c>
      <c r="Z1" s="2234" t="s">
        <v>3381</v>
      </c>
      <c r="AA1" s="2234" t="s">
        <v>3382</v>
      </c>
      <c r="AB1" s="2234" t="s">
        <v>3383</v>
      </c>
      <c r="AC1" s="2234" t="s">
        <v>3384</v>
      </c>
      <c r="AD1" s="2234" t="s">
        <v>3385</v>
      </c>
      <c r="AE1" s="2234" t="s">
        <v>3386</v>
      </c>
      <c r="AF1" s="2234" t="s">
        <v>3387</v>
      </c>
      <c r="AG1" s="2234" t="s">
        <v>3388</v>
      </c>
      <c r="AH1" s="2234" t="s">
        <v>3389</v>
      </c>
      <c r="AI1" s="2234" t="s">
        <v>3390</v>
      </c>
      <c r="AJ1" s="2234" t="s">
        <v>3391</v>
      </c>
      <c r="AK1" s="2234" t="s">
        <v>3392</v>
      </c>
      <c r="AL1" s="2234" t="s">
        <v>3393</v>
      </c>
      <c r="AM1" s="2234" t="s">
        <v>3394</v>
      </c>
      <c r="AN1" s="2234" t="s">
        <v>3395</v>
      </c>
      <c r="AO1" s="2234" t="s">
        <v>3396</v>
      </c>
      <c r="AP1" s="2234" t="s">
        <v>3397</v>
      </c>
      <c r="AQ1" s="2234" t="s">
        <v>3398</v>
      </c>
      <c r="AR1" s="2234" t="s">
        <v>3399</v>
      </c>
      <c r="AS1" s="2234" t="s">
        <v>3400</v>
      </c>
      <c r="AT1" s="2234" t="s">
        <v>3401</v>
      </c>
      <c r="AU1" s="2234" t="s">
        <v>3402</v>
      </c>
      <c r="AV1" s="2234" t="s">
        <v>3403</v>
      </c>
      <c r="AW1" s="2234" t="s">
        <v>3404</v>
      </c>
      <c r="AX1" s="2234" t="s">
        <v>3405</v>
      </c>
      <c r="AY1" s="2234" t="s">
        <v>3406</v>
      </c>
      <c r="AZ1" s="2234" t="s">
        <v>3407</v>
      </c>
      <c r="BA1" s="2234" t="s">
        <v>3408</v>
      </c>
      <c r="BB1" s="2234" t="s">
        <v>3409</v>
      </c>
      <c r="BC1" s="2234" t="s">
        <v>3410</v>
      </c>
      <c r="BD1" s="2234" t="s">
        <v>3411</v>
      </c>
      <c r="BE1" s="2234" t="s">
        <v>3412</v>
      </c>
      <c r="BF1" s="2234" t="s">
        <v>3413</v>
      </c>
      <c r="BG1" s="2234" t="s">
        <v>3414</v>
      </c>
      <c r="BH1" s="2234" t="s">
        <v>3415</v>
      </c>
      <c r="BI1" s="2234" t="s">
        <v>3416</v>
      </c>
    </row>
    <row r="2" spans="1:61" s="3400" customFormat="1">
      <c r="A2" s="3400" t="s">
        <v>3417</v>
      </c>
      <c r="B2" s="3400" t="s">
        <v>1465</v>
      </c>
      <c r="C2" s="3400" t="s">
        <v>3418</v>
      </c>
      <c r="D2" s="3400" t="s">
        <v>3419</v>
      </c>
      <c r="E2" s="3400" t="s">
        <v>3420</v>
      </c>
      <c r="F2" s="3400" t="s">
        <v>3421</v>
      </c>
      <c r="G2" s="3400" t="s">
        <v>3422</v>
      </c>
      <c r="H2" s="3400" t="s">
        <v>3423</v>
      </c>
      <c r="I2" s="3400">
        <v>50136.84</v>
      </c>
      <c r="J2" s="3400">
        <v>77018.94</v>
      </c>
      <c r="K2" s="3400">
        <v>0</v>
      </c>
      <c r="L2" s="3400">
        <v>0</v>
      </c>
      <c r="M2" s="3400">
        <v>0</v>
      </c>
      <c r="N2" s="3400">
        <v>0</v>
      </c>
      <c r="O2" s="3400" t="s">
        <v>3424</v>
      </c>
      <c r="P2" s="3400" t="s">
        <v>3425</v>
      </c>
      <c r="Q2" s="3400" t="s">
        <v>3426</v>
      </c>
      <c r="R2" s="3400" t="s">
        <v>3427</v>
      </c>
      <c r="S2" s="3400" t="s">
        <v>3428</v>
      </c>
      <c r="T2" s="3400">
        <v>1.6</v>
      </c>
      <c r="U2" s="3400" t="s">
        <v>3429</v>
      </c>
      <c r="V2" s="3400">
        <v>30</v>
      </c>
      <c r="W2" s="3400" t="s">
        <v>3430</v>
      </c>
      <c r="X2" s="3400" t="s">
        <v>3431</v>
      </c>
      <c r="Y2" s="3400" t="s">
        <v>3432</v>
      </c>
      <c r="Z2" s="3400" t="s">
        <v>3433</v>
      </c>
      <c r="AA2" s="3400" t="s">
        <v>3434</v>
      </c>
      <c r="AB2" s="3400" t="s">
        <v>3429</v>
      </c>
      <c r="AC2" s="3400" t="s">
        <v>3429</v>
      </c>
      <c r="AD2" s="3401">
        <v>45436.000497685185</v>
      </c>
      <c r="AE2" s="3401">
        <v>45456.000497685185</v>
      </c>
      <c r="AF2" s="3401">
        <v>45470.000497685185</v>
      </c>
      <c r="AG2" s="3401">
        <v>45470.000497685185</v>
      </c>
      <c r="AH2" s="3400" t="s">
        <v>3435</v>
      </c>
      <c r="AI2" s="3400" t="s">
        <v>3436</v>
      </c>
      <c r="AJ2" s="3400" t="s">
        <v>3437</v>
      </c>
      <c r="AK2" s="3400" t="s">
        <v>3438</v>
      </c>
      <c r="AL2" s="3400" t="s">
        <v>3439</v>
      </c>
      <c r="AM2" s="3400" t="s">
        <v>3440</v>
      </c>
      <c r="AN2" s="3400">
        <v>119000</v>
      </c>
      <c r="AO2" s="3400">
        <v>23800</v>
      </c>
      <c r="AP2" s="3400" t="s">
        <v>3441</v>
      </c>
      <c r="AQ2" s="3400">
        <v>119000</v>
      </c>
      <c r="AR2" s="3400">
        <v>23735.040000000001</v>
      </c>
      <c r="AS2" s="3400">
        <v>23735.040000000001</v>
      </c>
      <c r="AT2" s="3400">
        <v>1582.34</v>
      </c>
      <c r="AU2" s="3400">
        <v>1582.34</v>
      </c>
      <c r="AV2" s="3400">
        <v>15451</v>
      </c>
      <c r="AW2" s="3400">
        <v>15451</v>
      </c>
      <c r="AX2" s="3400" t="s">
        <v>3429</v>
      </c>
      <c r="AY2" s="3400" t="s">
        <v>3429</v>
      </c>
      <c r="AZ2" s="3400">
        <v>0</v>
      </c>
      <c r="BA2" s="3400">
        <v>136850</v>
      </c>
      <c r="BB2" s="3400" t="s">
        <v>3442</v>
      </c>
      <c r="BC2" s="3400">
        <v>44000</v>
      </c>
      <c r="BD2" s="3400">
        <v>44000</v>
      </c>
      <c r="BE2" s="3400">
        <v>17768</v>
      </c>
      <c r="BF2" s="3400">
        <v>15</v>
      </c>
      <c r="BG2" s="3400">
        <v>27879</v>
      </c>
      <c r="BH2" s="3400" t="s">
        <v>3443</v>
      </c>
      <c r="BI2" s="3400" t="s">
        <v>3444</v>
      </c>
    </row>
    <row r="3" spans="1:61" s="3402" customFormat="1">
      <c r="A3" s="3402" t="s">
        <v>3445</v>
      </c>
      <c r="B3" s="3402" t="s">
        <v>1465</v>
      </c>
      <c r="C3" s="3402" t="s">
        <v>3418</v>
      </c>
      <c r="D3" s="3402" t="s">
        <v>3419</v>
      </c>
      <c r="E3" s="3402" t="s">
        <v>3446</v>
      </c>
      <c r="F3" s="3402" t="s">
        <v>3447</v>
      </c>
      <c r="G3" s="3402" t="s">
        <v>3448</v>
      </c>
      <c r="H3" s="3402" t="s">
        <v>3449</v>
      </c>
      <c r="I3" s="3402">
        <v>30551.17</v>
      </c>
      <c r="J3" s="3402">
        <v>42798.91</v>
      </c>
      <c r="K3" s="3402" t="s">
        <v>3429</v>
      </c>
      <c r="L3" s="3402" t="s">
        <v>3429</v>
      </c>
      <c r="M3" s="3402">
        <v>0</v>
      </c>
      <c r="N3" s="3402">
        <v>0</v>
      </c>
      <c r="O3" s="3402" t="s">
        <v>3424</v>
      </c>
      <c r="P3" s="3402" t="s">
        <v>3450</v>
      </c>
      <c r="Q3" s="3402" t="s">
        <v>3451</v>
      </c>
      <c r="R3" s="3402" t="s">
        <v>3452</v>
      </c>
      <c r="S3" s="3402" t="s">
        <v>3453</v>
      </c>
      <c r="T3" s="3402">
        <v>1.5</v>
      </c>
      <c r="U3" s="3402" t="s">
        <v>3429</v>
      </c>
      <c r="V3" s="3402">
        <v>30</v>
      </c>
      <c r="W3" s="3402" t="s">
        <v>3454</v>
      </c>
      <c r="X3" s="3402" t="s">
        <v>3431</v>
      </c>
      <c r="Y3" s="3402" t="s">
        <v>3432</v>
      </c>
      <c r="Z3" s="3402" t="s">
        <v>3433</v>
      </c>
      <c r="AA3" s="3402" t="s">
        <v>3429</v>
      </c>
      <c r="AB3" s="3402" t="s">
        <v>3429</v>
      </c>
      <c r="AC3" s="3402" t="s">
        <v>3429</v>
      </c>
      <c r="AD3" s="3403">
        <v>45330.000497685185</v>
      </c>
      <c r="AE3" s="3403">
        <v>45352.000497685185</v>
      </c>
      <c r="AF3" s="3403">
        <v>45366.000497685185</v>
      </c>
      <c r="AG3" s="3403">
        <v>45366.000497685185</v>
      </c>
      <c r="AH3" s="3402" t="s">
        <v>3435</v>
      </c>
      <c r="AI3" s="3402" t="s">
        <v>3436</v>
      </c>
      <c r="AJ3" s="3402" t="s">
        <v>3455</v>
      </c>
      <c r="AK3" s="3402" t="s">
        <v>3456</v>
      </c>
      <c r="AL3" s="3402" t="s">
        <v>3457</v>
      </c>
      <c r="AM3" s="3402" t="s">
        <v>3458</v>
      </c>
      <c r="AN3" s="3402">
        <v>62000</v>
      </c>
      <c r="AO3" s="3402">
        <v>12500</v>
      </c>
      <c r="AP3" s="3402" t="s">
        <v>3459</v>
      </c>
      <c r="AQ3" s="3402">
        <v>62000</v>
      </c>
      <c r="AR3" s="3402">
        <v>20293.82</v>
      </c>
      <c r="AS3" s="3402">
        <v>20293.82</v>
      </c>
      <c r="AT3" s="3402">
        <v>1352.92</v>
      </c>
      <c r="AU3" s="3402">
        <v>1352.92</v>
      </c>
      <c r="AV3" s="3402">
        <v>14486</v>
      </c>
      <c r="AW3" s="3402">
        <v>14486</v>
      </c>
      <c r="AX3" s="3402" t="s">
        <v>3429</v>
      </c>
      <c r="AY3" s="3402" t="s">
        <v>3429</v>
      </c>
      <c r="AZ3" s="3402">
        <v>0</v>
      </c>
      <c r="BA3" s="3402">
        <v>71300</v>
      </c>
      <c r="BB3" s="3402" t="s">
        <v>3442</v>
      </c>
      <c r="BC3" s="3402">
        <v>45000</v>
      </c>
      <c r="BD3" s="3402">
        <v>45000</v>
      </c>
      <c r="BE3" s="3402">
        <v>16659</v>
      </c>
      <c r="BF3" s="3402">
        <v>15</v>
      </c>
      <c r="BG3" s="3402">
        <v>29239</v>
      </c>
      <c r="BH3" s="3402" t="s">
        <v>3443</v>
      </c>
      <c r="BI3" s="3402" t="s">
        <v>3444</v>
      </c>
    </row>
    <row r="4" spans="1:61" s="3402" customFormat="1">
      <c r="A4" s="3402" t="s">
        <v>3460</v>
      </c>
      <c r="B4" s="3402" t="s">
        <v>1465</v>
      </c>
      <c r="C4" s="3402" t="s">
        <v>3418</v>
      </c>
      <c r="D4" s="3402" t="s">
        <v>3419</v>
      </c>
      <c r="E4" s="3402" t="s">
        <v>3461</v>
      </c>
      <c r="F4" s="3402" t="s">
        <v>3462</v>
      </c>
      <c r="G4" s="3402" t="s">
        <v>3463</v>
      </c>
      <c r="H4" s="3402" t="s">
        <v>3464</v>
      </c>
      <c r="I4" s="3402">
        <v>69893.14</v>
      </c>
      <c r="J4" s="3402">
        <v>107430.41</v>
      </c>
      <c r="K4" s="3402" t="s">
        <v>3429</v>
      </c>
      <c r="L4" s="3402" t="s">
        <v>3429</v>
      </c>
      <c r="M4" s="3402">
        <v>0</v>
      </c>
      <c r="N4" s="3402">
        <v>0</v>
      </c>
      <c r="O4" s="3402" t="s">
        <v>3424</v>
      </c>
      <c r="P4" s="3402" t="s">
        <v>3465</v>
      </c>
      <c r="Q4" s="3402" t="s">
        <v>3466</v>
      </c>
      <c r="R4" s="3402" t="s">
        <v>3467</v>
      </c>
      <c r="S4" s="3402" t="s">
        <v>3468</v>
      </c>
      <c r="T4" s="3402">
        <v>1.7</v>
      </c>
      <c r="U4" s="3402" t="s">
        <v>3429</v>
      </c>
      <c r="V4" s="3402" t="s">
        <v>3469</v>
      </c>
      <c r="W4" s="3402">
        <v>36</v>
      </c>
      <c r="X4" s="3402" t="s">
        <v>3431</v>
      </c>
      <c r="Y4" s="3402" t="s">
        <v>3432</v>
      </c>
      <c r="Z4" s="3402" t="s">
        <v>3433</v>
      </c>
      <c r="AA4" s="3402" t="s">
        <v>3429</v>
      </c>
      <c r="AB4" s="3402" t="s">
        <v>3429</v>
      </c>
      <c r="AC4" s="3402" t="s">
        <v>3429</v>
      </c>
      <c r="AD4" s="3403">
        <v>45254.000497685185</v>
      </c>
      <c r="AE4" s="3403">
        <v>45274.000497685185</v>
      </c>
      <c r="AF4" s="3403">
        <v>45288.000497685185</v>
      </c>
      <c r="AG4" s="3403">
        <v>45288.000497685185</v>
      </c>
      <c r="AH4" s="3402" t="s">
        <v>3435</v>
      </c>
      <c r="AI4" s="3402" t="s">
        <v>3436</v>
      </c>
      <c r="AJ4" s="3402" t="s">
        <v>3470</v>
      </c>
      <c r="AK4" s="3402" t="s">
        <v>3471</v>
      </c>
      <c r="AL4" s="3402" t="s">
        <v>3472</v>
      </c>
      <c r="AM4" s="3402" t="s">
        <v>3429</v>
      </c>
      <c r="AN4" s="3402">
        <v>199000</v>
      </c>
      <c r="AO4" s="3402">
        <v>40000</v>
      </c>
      <c r="AP4" s="3402" t="s">
        <v>3473</v>
      </c>
      <c r="AQ4" s="3402">
        <v>199000</v>
      </c>
      <c r="AR4" s="3402">
        <v>28472.03</v>
      </c>
      <c r="AS4" s="3402">
        <v>28472.03</v>
      </c>
      <c r="AT4" s="3402">
        <v>1898.14</v>
      </c>
      <c r="AU4" s="3402">
        <v>1898.14</v>
      </c>
      <c r="AV4" s="3402">
        <v>18524</v>
      </c>
      <c r="AW4" s="3402">
        <v>18524</v>
      </c>
      <c r="AX4" s="3402" t="s">
        <v>3429</v>
      </c>
      <c r="AY4" s="3402" t="s">
        <v>3429</v>
      </c>
      <c r="AZ4" s="3402">
        <v>0</v>
      </c>
      <c r="BA4" s="3402">
        <v>228850</v>
      </c>
      <c r="BB4" s="3402" t="s">
        <v>3442</v>
      </c>
      <c r="BC4" s="3402">
        <v>43000</v>
      </c>
      <c r="BD4" s="3402">
        <v>43000</v>
      </c>
      <c r="BE4" s="3402">
        <v>21302</v>
      </c>
      <c r="BF4" s="3402">
        <v>15</v>
      </c>
      <c r="BG4" s="3402">
        <v>23745</v>
      </c>
      <c r="BH4" s="3402" t="s">
        <v>3474</v>
      </c>
      <c r="BI4" s="3402" t="s">
        <v>3475</v>
      </c>
    </row>
    <row r="5" spans="1:61" s="3402" customFormat="1">
      <c r="A5" s="3402" t="s">
        <v>3476</v>
      </c>
      <c r="B5" s="3402" t="s">
        <v>1465</v>
      </c>
      <c r="C5" s="3402" t="s">
        <v>3418</v>
      </c>
      <c r="D5" s="3402" t="s">
        <v>3419</v>
      </c>
      <c r="E5" s="3402" t="s">
        <v>3477</v>
      </c>
      <c r="F5" s="3402" t="s">
        <v>3478</v>
      </c>
      <c r="G5" s="3402" t="s">
        <v>3479</v>
      </c>
      <c r="H5" s="3402" t="s">
        <v>3480</v>
      </c>
      <c r="I5" s="3402">
        <v>40739.620000000003</v>
      </c>
      <c r="J5" s="3402">
        <v>75359.210000000006</v>
      </c>
      <c r="K5" s="3402" t="s">
        <v>3429</v>
      </c>
      <c r="L5" s="3402" t="s">
        <v>3429</v>
      </c>
      <c r="M5" s="3402">
        <v>0</v>
      </c>
      <c r="N5" s="3402">
        <v>0</v>
      </c>
      <c r="O5" s="3402" t="s">
        <v>3424</v>
      </c>
      <c r="P5" s="3402" t="s">
        <v>3425</v>
      </c>
      <c r="Q5" s="3402" t="s">
        <v>3426</v>
      </c>
      <c r="R5" s="3402" t="s">
        <v>3481</v>
      </c>
      <c r="S5" s="3402" t="s">
        <v>3482</v>
      </c>
      <c r="T5" s="3402">
        <v>2</v>
      </c>
      <c r="U5" s="3402">
        <v>0</v>
      </c>
      <c r="V5" s="3402">
        <v>0.3</v>
      </c>
      <c r="W5" s="3402" t="s">
        <v>3483</v>
      </c>
      <c r="X5" s="3402" t="s">
        <v>3431</v>
      </c>
      <c r="Y5" s="3402" t="s">
        <v>3484</v>
      </c>
      <c r="Z5" s="3402" t="s">
        <v>3485</v>
      </c>
      <c r="AA5" s="3402" t="s">
        <v>3486</v>
      </c>
      <c r="AB5" s="3402" t="s">
        <v>3429</v>
      </c>
      <c r="AC5" s="3402" t="s">
        <v>3429</v>
      </c>
      <c r="AD5" s="3403">
        <v>44568.000497685185</v>
      </c>
      <c r="AE5" s="3403">
        <v>44589.000497685185</v>
      </c>
      <c r="AF5" s="3403">
        <v>44608.000497685185</v>
      </c>
      <c r="AG5" s="3403">
        <v>44608.000497685185</v>
      </c>
      <c r="AH5" s="3402" t="s">
        <v>3435</v>
      </c>
      <c r="AI5" s="3402" t="s">
        <v>3487</v>
      </c>
      <c r="AJ5" s="3402" t="s">
        <v>3488</v>
      </c>
      <c r="AK5" s="3402" t="s">
        <v>3489</v>
      </c>
      <c r="AL5" s="3402" t="s">
        <v>3490</v>
      </c>
      <c r="AM5" s="3402" t="s">
        <v>3429</v>
      </c>
      <c r="AN5" s="3402">
        <v>140000</v>
      </c>
      <c r="AO5" s="3402">
        <v>28000</v>
      </c>
      <c r="AP5" s="3402" t="s">
        <v>3491</v>
      </c>
      <c r="AQ5" s="3402">
        <v>140700</v>
      </c>
      <c r="AR5" s="3402">
        <v>34364.58</v>
      </c>
      <c r="AS5" s="3402">
        <v>34536.400000000001</v>
      </c>
      <c r="AT5" s="3402">
        <v>2290.9699999999998</v>
      </c>
      <c r="AU5" s="3402">
        <v>2302.4299999999998</v>
      </c>
      <c r="AV5" s="3402">
        <v>18578</v>
      </c>
      <c r="AW5" s="3402">
        <v>18671</v>
      </c>
      <c r="AX5" s="3402" t="s">
        <v>3429</v>
      </c>
      <c r="AY5" s="3402" t="s">
        <v>3429</v>
      </c>
      <c r="AZ5" s="3402">
        <v>0.5</v>
      </c>
      <c r="BA5" s="3402">
        <v>161000</v>
      </c>
      <c r="BB5" s="3402" t="s">
        <v>3442</v>
      </c>
      <c r="BC5" s="3402">
        <v>44000</v>
      </c>
      <c r="BD5" s="3402">
        <v>44000</v>
      </c>
      <c r="BE5" s="3402">
        <v>21364</v>
      </c>
      <c r="BF5" s="3402">
        <v>15</v>
      </c>
      <c r="BG5" s="3402">
        <v>24260</v>
      </c>
      <c r="BH5" s="3402" t="s">
        <v>3443</v>
      </c>
      <c r="BI5" s="3402" t="s">
        <v>3444</v>
      </c>
    </row>
    <row r="8" spans="1:61">
      <c r="AJ8">
        <f>AW2*J2</f>
        <v>1190019641.9400001</v>
      </c>
    </row>
  </sheetData>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80" zoomScaleNormal="80" zoomScaleSheetLayoutView="80" workbookViewId="0">
      <selection activeCell="M37" sqref="M37"/>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31" s="1654" customFormat="1" ht="18" customHeight="1">
      <c r="A2" s="1709" t="s">
        <v>427</v>
      </c>
      <c r="B2" s="1713">
        <f ca="1">C36</f>
        <v>53835</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11530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26438</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1763</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116634</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2735</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'不动产比较法-住宅'!C48</f>
        <v>34447</v>
      </c>
      <c r="D8" s="2140">
        <f>'不动产比较法-车位'!B3</f>
        <v>5900</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32315.351999999999</v>
      </c>
      <c r="D9" s="411">
        <f>SUMIF('数据-汇总表'!$C19:$C33,'剩余法-待开发'!D7,'数据-汇总表'!$E19:$E33)</f>
        <v>9011.2199999999993</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ROUND(C8*C9/10000,0)</f>
        <v>111317</v>
      </c>
      <c r="D10" s="2314">
        <f>ROUND(D8*D9/10000,0)</f>
        <v>5317</v>
      </c>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26875</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806</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1050</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934</v>
      </c>
      <c r="D16" s="2150">
        <f ca="1">IF(B1="",'数据-汇总表'!E3,INDIRECT("'数据-取费表'!K"&amp;$K$1)+INDIRECT("'数据-取费表'!S"&amp;$K$1))</f>
        <v>46690.582000000002</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538</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30203</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140</v>
      </c>
      <c r="D19" s="2159">
        <f ca="1">D16</f>
        <v>46690.582000000002</v>
      </c>
      <c r="E19" s="1631">
        <f>'数据-取费表'!B32</f>
        <v>30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805</v>
      </c>
      <c r="D20" s="2159"/>
      <c r="E20" s="1631"/>
      <c r="F20" s="2160"/>
      <c r="G20" s="2343"/>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517</v>
      </c>
      <c r="D21" s="2150">
        <f ca="1">IF(B1="",'数据-汇总表'!E5,IF(INDIRECT("'数据-取费表'!c"&amp;$K$1)="住宅",INDIRECT("'数据-取费表'!k"&amp;$K$1),0))</f>
        <v>32315.351999999999</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288</v>
      </c>
      <c r="D22" s="2150">
        <f ca="1">IF(B1="",'数据-汇总表'!E6,IF(INDIRECT("'数据-取费表'!c"&amp;$K$1)="住宅",INDIRECT("'数据-取费表'!s"&amp;$K$1),INDIRECT("'数据-取费表'!k"&amp;$K$1)+INDIRECT("'数据-取费表'!s"&amp;$K$1)))</f>
        <v>14375.230000000003</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f ca="1">ROUND((C18+C19+C20)*F23,0)</f>
        <v>623</v>
      </c>
      <c r="D23" s="437"/>
      <c r="E23" s="437"/>
      <c r="F23" s="2161">
        <f>'数据-取费表'!B37</f>
        <v>0.02</v>
      </c>
      <c r="G23" s="2122" t="s">
        <v>1782</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ROUND(C6*F24,0)</f>
        <v>2333</v>
      </c>
      <c r="D24" s="444"/>
      <c r="E24" s="442"/>
      <c r="F24" s="2161">
        <f>'数据-取费表'!B38</f>
        <v>0.02</v>
      </c>
      <c r="G24" s="2127" t="s">
        <v>459</v>
      </c>
      <c r="H24" s="1061"/>
      <c r="I24" s="1061"/>
      <c r="J24" s="1061"/>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2111</v>
      </c>
      <c r="C26" s="2162">
        <f ca="1">C28</f>
        <v>1142</v>
      </c>
      <c r="D26" s="436">
        <f ca="1">C27</f>
        <v>7.0099999999999996E-2</v>
      </c>
      <c r="E26" s="438" t="s">
        <v>455</v>
      </c>
      <c r="F26" s="440">
        <f ca="1">'数据-取费表'!B40</f>
        <v>3.3500000000000002E-2</v>
      </c>
      <c r="G26" s="2045" t="str">
        <f>IF('数据-取费表'!B22&lt;=1,"单利计息。","复利计息。")&amp;"后续开发成本、管理费用及销售费用产生的利息。"</f>
        <v>复利计息。后续开发成本、管理费用及销售费用产生的利息。</v>
      </c>
      <c r="H26" s="1043"/>
      <c r="I26" s="1043"/>
      <c r="J26" s="1043"/>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7.0099999999999996E-2</v>
      </c>
      <c r="D27" s="441"/>
      <c r="E27" s="442"/>
      <c r="F27" s="443"/>
      <c r="G27" s="2045" t="str">
        <f>IF('数据-取费表'!B22&lt;=1,"（1+取得税费率/(1+5%)）×年利率×建设期","（1+取得税费率）/(1+5%)×((1+年利率)^建设期-1)")</f>
        <v>（1+取得税费率）/(1+5%)×((1+年利率)^建设期-1)</v>
      </c>
      <c r="H27" s="1061"/>
      <c r="I27" s="1061"/>
      <c r="J27" s="1061"/>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2113</v>
      </c>
      <c r="C28" s="2165">
        <f ca="1">ROUND(IF('数据-取费表'!B22&lt;=1,(C18+C19+C20+C23+C24)*F26*'数据-取费表'!B24/2,(C18+C19+C20+C23+C24)*(POWER((1+F26),'数据-取费表'!B24/2)-1)),0)</f>
        <v>1142</v>
      </c>
      <c r="D28" s="441"/>
      <c r="E28" s="442"/>
      <c r="F28" s="443"/>
      <c r="G28" s="2045" t="str">
        <f>IF('数据-取费表'!B22&lt;=1,"（1）-（4）项×年利率×建设期÷2","（1）-（4）项×((1+年利率)^(建设期÷2)-1)")</f>
        <v>（1）-（4）项×((1+年利率)^(建设期÷2)-1)</v>
      </c>
      <c r="H28" s="1061"/>
      <c r="I28" s="1061"/>
      <c r="J28" s="1061"/>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ROUND(C6*F29/(1+'数据-取费表'!C42),0)</f>
        <v>6109</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41355</v>
      </c>
      <c r="D30" s="446">
        <f ca="1">C32</f>
        <v>9.9099999999999994E-2</v>
      </c>
      <c r="E30" s="438" t="s">
        <v>455</v>
      </c>
      <c r="F30" s="440"/>
      <c r="G30" s="2126" t="s">
        <v>2224</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41355</v>
      </c>
      <c r="D31" s="441"/>
      <c r="E31" s="442"/>
      <c r="F31" s="443"/>
      <c r="G31" s="241"/>
      <c r="H31" s="1061"/>
      <c r="I31" s="1061"/>
      <c r="J31" s="1061"/>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9.9099999999999994E-2</v>
      </c>
      <c r="D32" s="441"/>
      <c r="E32" s="442"/>
      <c r="F32" s="443"/>
      <c r="G32" s="241"/>
      <c r="H32" s="1061"/>
      <c r="I32" s="1061"/>
      <c r="J32" s="1061"/>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2108</v>
      </c>
      <c r="B33" s="2315" t="s">
        <v>2106</v>
      </c>
      <c r="C33" s="447">
        <f ca="1">C35</f>
        <v>6139</v>
      </c>
      <c r="D33" s="436">
        <f ca="1">C34</f>
        <v>0.1852</v>
      </c>
      <c r="E33" s="438" t="s">
        <v>455</v>
      </c>
      <c r="F33" s="448">
        <f ca="1">IF(B1="",'数据-取费表'!Q16,INDIRECT("'数据-取费表'!q"&amp;$K$1))</f>
        <v>0.18</v>
      </c>
      <c r="G33" s="1042"/>
      <c r="H33" s="1043"/>
      <c r="I33" s="1043"/>
      <c r="J33" s="1043"/>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0.1852</v>
      </c>
      <c r="D34" s="441"/>
      <c r="E34" s="442"/>
      <c r="F34" s="449"/>
      <c r="G34" s="241" t="s">
        <v>1648</v>
      </c>
      <c r="H34" s="1061"/>
      <c r="I34" s="1061"/>
      <c r="J34" s="1061"/>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2114</v>
      </c>
      <c r="C35" s="1350">
        <f ca="1">ROUND((C18+C19+C20+C23+C24)*F33,0)</f>
        <v>6139</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53835</v>
      </c>
      <c r="D36" s="2132"/>
      <c r="E36" s="2132"/>
      <c r="F36" s="2132"/>
      <c r="G36" s="2131" t="s">
        <v>2115</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26875</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806</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1050</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934</v>
      </c>
      <c r="D16" s="420">
        <f ca="1">IF(B1="",'数据-汇总表'!E3,INDIRECT("'数据-取费表'!K"&amp;$K$1)+INDIRECT("'数据-取费表'!S"&amp;$K$1))</f>
        <v>46690.582000000002</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538</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30203</v>
      </c>
      <c r="D18" s="430"/>
      <c r="E18" s="431"/>
      <c r="F18" s="431"/>
      <c r="G18" s="1130" t="s">
        <v>1783</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604</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1032</v>
      </c>
      <c r="D20" s="431">
        <f ca="1">ROUND(((1+F20)^'数据-取费表'!B20)-1,4)</f>
        <v>6.8099999999999994E-2</v>
      </c>
      <c r="E20" s="431"/>
      <c r="F20" s="440">
        <f ca="1">'数据-取费表'!B40</f>
        <v>3.3500000000000002E-2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1800</v>
      </c>
      <c r="M20" s="2714"/>
      <c r="N20" s="2714"/>
      <c r="O20" s="2714"/>
      <c r="P20" s="2714"/>
      <c r="Q20" s="2707"/>
      <c r="R20" s="2707"/>
      <c r="S20" s="2707"/>
      <c r="T20" s="2707"/>
      <c r="U20" s="2707"/>
      <c r="V20" s="2707"/>
      <c r="W20" s="2707"/>
      <c r="X20" s="2707"/>
      <c r="Y20" s="2707"/>
      <c r="Z20" s="2707"/>
    </row>
    <row r="21" spans="1:26" s="1728" customFormat="1" ht="13.5" customHeight="1">
      <c r="A21" s="1356" t="s">
        <v>2291</v>
      </c>
      <c r="B21" s="2315" t="s">
        <v>2107</v>
      </c>
      <c r="C21" s="447">
        <f ca="1">ROUND((C18+C19)*F21,0)</f>
        <v>5545</v>
      </c>
      <c r="D21" s="2784"/>
      <c r="E21" s="431"/>
      <c r="F21" s="448">
        <f ca="1">IF(B1="",'数据-取费表'!Q16,INDIRECT("'数据-取费表'!q"&amp;$K$1))</f>
        <v>0.18</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2292</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25" t="s">
        <v>1394</v>
      </c>
      <c r="B24" s="3626"/>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25" t="s">
        <v>2289</v>
      </c>
      <c r="B25" s="3626"/>
      <c r="C25" s="2794">
        <f>ROUND(C6*F25,0)</f>
        <v>0</v>
      </c>
      <c r="D25" s="2795"/>
      <c r="E25" s="2796"/>
      <c r="F25" s="2800">
        <f>'数据-取费表'!B38</f>
        <v>0.02</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25" t="s">
        <v>2290</v>
      </c>
      <c r="B26" s="3626"/>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27" t="s">
        <v>2288</v>
      </c>
      <c r="B27" s="3628"/>
      <c r="C27" s="2802">
        <f ca="1">(C6-C23-C24-C25)/((1+F26)*(1+D20+F21))</f>
        <v>0</v>
      </c>
      <c r="D27" s="2803"/>
      <c r="E27" s="2803"/>
      <c r="F27" s="2803"/>
      <c r="G27" s="2804" t="s">
        <v>2225</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592" t="s">
        <v>471</v>
      </c>
      <c r="D6" s="3593"/>
      <c r="E6" s="3631" t="s">
        <v>472</v>
      </c>
      <c r="F6" s="3632"/>
      <c r="G6" s="3592" t="s">
        <v>473</v>
      </c>
      <c r="H6" s="3593"/>
      <c r="I6" s="3592" t="s">
        <v>474</v>
      </c>
      <c r="J6" s="3593"/>
      <c r="K6" s="465" t="s">
        <v>475</v>
      </c>
      <c r="L6" s="1741"/>
      <c r="M6" s="1742"/>
      <c r="N6" s="1742"/>
      <c r="O6" s="1742"/>
      <c r="P6" s="3594" t="s">
        <v>476</v>
      </c>
      <c r="Q6" s="3595"/>
      <c r="R6" s="3600" t="s">
        <v>472</v>
      </c>
      <c r="S6" s="3601"/>
      <c r="T6" s="3600" t="s">
        <v>473</v>
      </c>
      <c r="U6" s="3601"/>
      <c r="V6" s="3587" t="s">
        <v>474</v>
      </c>
      <c r="W6" s="3587"/>
      <c r="X6" s="1302"/>
      <c r="Y6" s="3600" t="s">
        <v>476</v>
      </c>
      <c r="Z6" s="3601"/>
      <c r="AA6" s="3589" t="s">
        <v>472</v>
      </c>
      <c r="AB6" s="3590" t="s">
        <v>473</v>
      </c>
      <c r="AC6" s="3589" t="s">
        <v>474</v>
      </c>
    </row>
    <row r="7" spans="1:29" ht="15">
      <c r="A7" s="466"/>
      <c r="B7" s="467"/>
      <c r="C7" s="3608" t="s">
        <v>2186</v>
      </c>
      <c r="D7" s="3609"/>
      <c r="E7" s="3633" t="s">
        <v>2187</v>
      </c>
      <c r="F7" s="3634"/>
      <c r="G7" s="3608" t="s">
        <v>2188</v>
      </c>
      <c r="H7" s="3609"/>
      <c r="I7" s="3608" t="s">
        <v>2189</v>
      </c>
      <c r="J7" s="3609"/>
      <c r="K7" s="465"/>
      <c r="L7" s="1741"/>
      <c r="M7" s="1742"/>
      <c r="N7" s="1742"/>
      <c r="O7" s="1742"/>
      <c r="P7" s="3596"/>
      <c r="Q7" s="3597"/>
      <c r="R7" s="3602"/>
      <c r="S7" s="3603"/>
      <c r="T7" s="3602"/>
      <c r="U7" s="3603"/>
      <c r="V7" s="3587"/>
      <c r="W7" s="3587"/>
      <c r="X7" s="1302"/>
      <c r="Y7" s="3602"/>
      <c r="Z7" s="3603"/>
      <c r="AA7" s="3590"/>
      <c r="AB7" s="3590"/>
      <c r="AC7" s="3590"/>
    </row>
    <row r="8" spans="1:29" ht="15.75" thickBot="1">
      <c r="A8" s="468"/>
      <c r="B8" s="469"/>
      <c r="C8" s="3606" t="s">
        <v>2190</v>
      </c>
      <c r="D8" s="3607"/>
      <c r="E8" s="3629" t="s">
        <v>2190</v>
      </c>
      <c r="F8" s="3630"/>
      <c r="G8" s="3606" t="s">
        <v>2190</v>
      </c>
      <c r="H8" s="3607"/>
      <c r="I8" s="3606" t="s">
        <v>2190</v>
      </c>
      <c r="J8" s="3607"/>
      <c r="K8" s="465" t="s">
        <v>477</v>
      </c>
      <c r="L8" s="1741"/>
      <c r="M8" s="1742"/>
      <c r="N8" s="1742"/>
      <c r="O8" s="1742"/>
      <c r="P8" s="3598"/>
      <c r="Q8" s="3599"/>
      <c r="R8" s="3602"/>
      <c r="S8" s="3603"/>
      <c r="T8" s="3604"/>
      <c r="U8" s="3605"/>
      <c r="V8" s="3587"/>
      <c r="W8" s="3587"/>
      <c r="X8" s="1302"/>
      <c r="Y8" s="3604"/>
      <c r="Z8" s="3605"/>
      <c r="AA8" s="3591"/>
      <c r="AB8" s="3591"/>
      <c r="AC8" s="3591"/>
    </row>
    <row r="9" spans="1:29" s="1060" customFormat="1" ht="15.75" thickBot="1">
      <c r="A9" s="2208"/>
      <c r="B9" s="2215" t="s">
        <v>478</v>
      </c>
      <c r="C9" s="470">
        <f>'数据-取费表'!B2</f>
        <v>45541</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16" t="s">
        <v>479</v>
      </c>
      <c r="Q9" s="3618"/>
      <c r="R9" s="1303" t="s">
        <v>5</v>
      </c>
      <c r="S9" s="1304">
        <f t="shared" ref="S9:S17" si="0">F9</f>
        <v>0</v>
      </c>
      <c r="T9" s="1303" t="s">
        <v>5</v>
      </c>
      <c r="U9" s="1304">
        <f t="shared" ref="U9:U17" si="1">H9</f>
        <v>0</v>
      </c>
      <c r="V9" s="1303" t="s">
        <v>5</v>
      </c>
      <c r="W9" s="1304">
        <f t="shared" ref="W9:W17" si="2">J9</f>
        <v>0</v>
      </c>
      <c r="X9" s="1305"/>
      <c r="Y9" s="3616" t="s">
        <v>479</v>
      </c>
      <c r="Z9" s="3617"/>
      <c r="AA9" s="997" t="e">
        <f>D9/F9</f>
        <v>#DIV/0!</v>
      </c>
      <c r="AB9" s="997" t="e">
        <f>D9/H9</f>
        <v>#DIV/0!</v>
      </c>
      <c r="AC9" s="997" t="e">
        <f>D9/J9</f>
        <v>#DIV/0!</v>
      </c>
    </row>
    <row r="10" spans="1:29" s="1060"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16" t="s">
        <v>482</v>
      </c>
      <c r="Q10" s="3617"/>
      <c r="R10" s="1303" t="s">
        <v>5</v>
      </c>
      <c r="S10" s="1304">
        <f t="shared" si="0"/>
        <v>0</v>
      </c>
      <c r="T10" s="1303" t="s">
        <v>5</v>
      </c>
      <c r="U10" s="1304">
        <f t="shared" si="1"/>
        <v>0</v>
      </c>
      <c r="V10" s="1303" t="s">
        <v>5</v>
      </c>
      <c r="W10" s="1304">
        <f t="shared" si="2"/>
        <v>0</v>
      </c>
      <c r="X10" s="1305"/>
      <c r="Y10" s="3616" t="s">
        <v>482</v>
      </c>
      <c r="Z10" s="3617"/>
      <c r="AA10" s="997" t="e">
        <f t="shared" ref="AA10:AA42" si="3">D10/F10</f>
        <v>#DIV/0!</v>
      </c>
      <c r="AB10" s="997" t="e">
        <f t="shared" ref="AB10:AB42" si="4">D10/H10</f>
        <v>#DIV/0!</v>
      </c>
      <c r="AC10" s="997" t="e">
        <f t="shared" ref="AC10:AC42" si="5">D10/J10</f>
        <v>#DIV/0!</v>
      </c>
    </row>
    <row r="11" spans="1:29" s="1060" customFormat="1" ht="15">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86" t="s">
        <v>484</v>
      </c>
      <c r="Q11" s="818" t="str">
        <f t="shared" ref="Q11:Q17" si="6">B11</f>
        <v>用途</v>
      </c>
      <c r="R11" s="1303" t="s">
        <v>5</v>
      </c>
      <c r="S11" s="1304">
        <f t="shared" si="0"/>
        <v>100</v>
      </c>
      <c r="T11" s="1303" t="s">
        <v>5</v>
      </c>
      <c r="U11" s="1304">
        <f t="shared" si="1"/>
        <v>100</v>
      </c>
      <c r="V11" s="1303" t="s">
        <v>5</v>
      </c>
      <c r="W11" s="1304">
        <f t="shared" si="2"/>
        <v>100</v>
      </c>
      <c r="X11" s="1305"/>
      <c r="Y11" s="3534" t="s">
        <v>485</v>
      </c>
      <c r="Z11" s="997" t="str">
        <f t="shared" ref="Z11:Z17" si="7">Q11</f>
        <v>用途</v>
      </c>
      <c r="AA11" s="997">
        <f t="shared" si="3"/>
        <v>1</v>
      </c>
      <c r="AB11" s="997">
        <f t="shared" si="4"/>
        <v>1</v>
      </c>
      <c r="AC11" s="997">
        <f t="shared" si="5"/>
        <v>1</v>
      </c>
    </row>
    <row r="12" spans="1:29" s="1133" customFormat="1" ht="27">
      <c r="A12" s="2211"/>
      <c r="B12" s="2216"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586"/>
      <c r="Q12" s="818" t="str">
        <f t="shared" si="6"/>
        <v>土地使用年限（年）</v>
      </c>
      <c r="R12" s="1303" t="s">
        <v>5</v>
      </c>
      <c r="S12" s="1304">
        <f t="shared" si="0"/>
        <v>100</v>
      </c>
      <c r="T12" s="1303" t="s">
        <v>5</v>
      </c>
      <c r="U12" s="1304">
        <f t="shared" si="1"/>
        <v>100</v>
      </c>
      <c r="V12" s="1303" t="s">
        <v>5</v>
      </c>
      <c r="W12" s="1304">
        <f t="shared" si="2"/>
        <v>100</v>
      </c>
      <c r="X12" s="1305"/>
      <c r="Y12" s="3534"/>
      <c r="Z12" s="997" t="str">
        <f t="shared" si="7"/>
        <v>土地使用年限（年）</v>
      </c>
      <c r="AA12" s="997">
        <f t="shared" si="3"/>
        <v>1</v>
      </c>
      <c r="AB12" s="997">
        <f t="shared" si="4"/>
        <v>1</v>
      </c>
      <c r="AC12" s="997">
        <f t="shared" si="5"/>
        <v>1</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86"/>
      <c r="Q13" s="818" t="str">
        <f t="shared" si="6"/>
        <v>容积率</v>
      </c>
      <c r="R13" s="1303" t="s">
        <v>5</v>
      </c>
      <c r="S13" s="1304" t="e">
        <f t="shared" si="0"/>
        <v>#N/A</v>
      </c>
      <c r="T13" s="1303" t="s">
        <v>5</v>
      </c>
      <c r="U13" s="1304" t="e">
        <f t="shared" si="1"/>
        <v>#N/A</v>
      </c>
      <c r="V13" s="1303" t="s">
        <v>5</v>
      </c>
      <c r="W13" s="1304" t="e">
        <f t="shared" si="2"/>
        <v>#N/A</v>
      </c>
      <c r="X13" s="1305"/>
      <c r="Y13" s="3534"/>
      <c r="Z13" s="997" t="str">
        <f t="shared" si="7"/>
        <v>容积率</v>
      </c>
      <c r="AA13" s="997" t="e">
        <f t="shared" si="3"/>
        <v>#N/A</v>
      </c>
      <c r="AB13" s="997" t="e">
        <f t="shared" si="4"/>
        <v>#N/A</v>
      </c>
      <c r="AC13" s="997" t="e">
        <f t="shared" si="5"/>
        <v>#N/A</v>
      </c>
    </row>
    <row r="14" spans="1:29" s="1060"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86"/>
      <c r="Q14" s="818">
        <f t="shared" si="6"/>
        <v>111</v>
      </c>
      <c r="R14" s="1303" t="s">
        <v>5</v>
      </c>
      <c r="S14" s="1304">
        <f t="shared" si="0"/>
        <v>100</v>
      </c>
      <c r="T14" s="1303" t="s">
        <v>5</v>
      </c>
      <c r="U14" s="1304">
        <f t="shared" si="1"/>
        <v>100</v>
      </c>
      <c r="V14" s="1303" t="s">
        <v>5</v>
      </c>
      <c r="W14" s="1304">
        <f t="shared" si="2"/>
        <v>100</v>
      </c>
      <c r="X14" s="1305"/>
      <c r="Y14" s="3534"/>
      <c r="Z14" s="997">
        <f t="shared" si="7"/>
        <v>111</v>
      </c>
      <c r="AA14" s="997">
        <f>D14/F14</f>
        <v>1</v>
      </c>
      <c r="AB14" s="997">
        <f>D14/H14</f>
        <v>1</v>
      </c>
      <c r="AC14" s="997">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86"/>
      <c r="Q15" s="818">
        <f t="shared" si="6"/>
        <v>111</v>
      </c>
      <c r="R15" s="1303" t="s">
        <v>5</v>
      </c>
      <c r="S15" s="1304">
        <f t="shared" si="0"/>
        <v>100</v>
      </c>
      <c r="T15" s="1303" t="s">
        <v>5</v>
      </c>
      <c r="U15" s="1304">
        <f t="shared" si="1"/>
        <v>100</v>
      </c>
      <c r="V15" s="1303" t="s">
        <v>5</v>
      </c>
      <c r="W15" s="1304">
        <f t="shared" si="2"/>
        <v>100</v>
      </c>
      <c r="X15" s="1305"/>
      <c r="Y15" s="3534"/>
      <c r="Z15" s="997">
        <f t="shared" si="7"/>
        <v>111</v>
      </c>
      <c r="AA15" s="997">
        <f t="shared" si="3"/>
        <v>1</v>
      </c>
      <c r="AB15" s="997">
        <f t="shared" si="4"/>
        <v>1</v>
      </c>
      <c r="AC15" s="997">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86"/>
      <c r="Q16" s="818">
        <f t="shared" si="6"/>
        <v>111</v>
      </c>
      <c r="R16" s="1303" t="s">
        <v>5</v>
      </c>
      <c r="S16" s="1304">
        <f t="shared" si="0"/>
        <v>100</v>
      </c>
      <c r="T16" s="1303" t="s">
        <v>5</v>
      </c>
      <c r="U16" s="1304">
        <f t="shared" si="1"/>
        <v>100</v>
      </c>
      <c r="V16" s="1303" t="s">
        <v>5</v>
      </c>
      <c r="W16" s="1304">
        <f t="shared" si="2"/>
        <v>100</v>
      </c>
      <c r="X16" s="1305"/>
      <c r="Y16" s="3534"/>
      <c r="Z16" s="997">
        <f t="shared" si="7"/>
        <v>111</v>
      </c>
      <c r="AA16" s="997">
        <f t="shared" si="3"/>
        <v>1</v>
      </c>
      <c r="AB16" s="997">
        <f t="shared" si="4"/>
        <v>1</v>
      </c>
      <c r="AC16" s="997">
        <f t="shared" si="5"/>
        <v>1</v>
      </c>
    </row>
    <row r="17" spans="1:29" ht="57">
      <c r="A17" s="2206"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9" t="s">
        <v>489</v>
      </c>
      <c r="Q17" s="1306" t="str">
        <f t="shared" si="6"/>
        <v>产业集聚程度</v>
      </c>
      <c r="R17" s="1307" t="s">
        <v>5</v>
      </c>
      <c r="S17" s="1308">
        <f t="shared" si="0"/>
        <v>100</v>
      </c>
      <c r="T17" s="1307" t="s">
        <v>5</v>
      </c>
      <c r="U17" s="1308">
        <f t="shared" si="1"/>
        <v>100</v>
      </c>
      <c r="V17" s="1307" t="s">
        <v>5</v>
      </c>
      <c r="W17" s="1308">
        <f t="shared" si="2"/>
        <v>100</v>
      </c>
      <c r="X17" s="1302"/>
      <c r="Y17" s="3619"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20"/>
      <c r="Q18" s="1306"/>
      <c r="R18" s="1307"/>
      <c r="S18" s="1308"/>
      <c r="T18" s="1307"/>
      <c r="U18" s="1308"/>
      <c r="V18" s="1307"/>
      <c r="W18" s="1308"/>
      <c r="X18" s="1302"/>
      <c r="Y18" s="3620"/>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20"/>
      <c r="Q19" s="1306" t="str">
        <f>B19</f>
        <v>交通便捷度</v>
      </c>
      <c r="R19" s="1307" t="s">
        <v>5</v>
      </c>
      <c r="S19" s="1308">
        <f>F19</f>
        <v>100</v>
      </c>
      <c r="T19" s="1307" t="s">
        <v>5</v>
      </c>
      <c r="U19" s="1308">
        <f>H19</f>
        <v>100</v>
      </c>
      <c r="V19" s="1307" t="s">
        <v>5</v>
      </c>
      <c r="W19" s="1308">
        <f>J19</f>
        <v>100</v>
      </c>
      <c r="X19" s="1302"/>
      <c r="Y19" s="3620"/>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20"/>
      <c r="Q20" s="1306"/>
      <c r="R20" s="1307"/>
      <c r="S20" s="1308"/>
      <c r="T20" s="1307"/>
      <c r="U20" s="1308"/>
      <c r="V20" s="1307"/>
      <c r="W20" s="1308"/>
      <c r="X20" s="1302"/>
      <c r="Y20" s="3620"/>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20"/>
      <c r="Q21" s="1306" t="str">
        <f t="shared" ref="Q21:Q35" si="8">B21</f>
        <v>区域土地利用方向</v>
      </c>
      <c r="R21" s="1307" t="s">
        <v>5</v>
      </c>
      <c r="S21" s="1308">
        <f>F21</f>
        <v>100</v>
      </c>
      <c r="T21" s="1307" t="s">
        <v>5</v>
      </c>
      <c r="U21" s="1308">
        <f>H21</f>
        <v>100</v>
      </c>
      <c r="V21" s="1307" t="s">
        <v>5</v>
      </c>
      <c r="W21" s="1308">
        <f>J21</f>
        <v>100</v>
      </c>
      <c r="X21" s="1302"/>
      <c r="Y21" s="3620"/>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20"/>
      <c r="Q22" s="1306"/>
      <c r="R22" s="1307"/>
      <c r="S22" s="1308"/>
      <c r="T22" s="1307"/>
      <c r="U22" s="1308"/>
      <c r="V22" s="1307"/>
      <c r="W22" s="1308"/>
      <c r="X22" s="1302"/>
      <c r="Y22" s="3620"/>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20"/>
      <c r="Q23" s="1306" t="str">
        <f t="shared" si="8"/>
        <v>环境状况</v>
      </c>
      <c r="R23" s="1307" t="s">
        <v>5</v>
      </c>
      <c r="S23" s="1308">
        <f>F23</f>
        <v>100</v>
      </c>
      <c r="T23" s="1307" t="s">
        <v>5</v>
      </c>
      <c r="U23" s="1308">
        <f>H23</f>
        <v>100</v>
      </c>
      <c r="V23" s="1307" t="s">
        <v>5</v>
      </c>
      <c r="W23" s="1308">
        <f>J23</f>
        <v>100</v>
      </c>
      <c r="X23" s="1302"/>
      <c r="Y23" s="3620"/>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20"/>
      <c r="Q24" s="1306"/>
      <c r="R24" s="1307"/>
      <c r="S24" s="1308"/>
      <c r="T24" s="1307"/>
      <c r="U24" s="1308"/>
      <c r="V24" s="1307"/>
      <c r="W24" s="1308"/>
      <c r="X24" s="1302"/>
      <c r="Y24" s="3620"/>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20"/>
      <c r="Q25" s="818" t="str">
        <f t="shared" si="8"/>
        <v>公共配套设施</v>
      </c>
      <c r="R25" s="1303" t="s">
        <v>5</v>
      </c>
      <c r="S25" s="1304">
        <f>F25</f>
        <v>100</v>
      </c>
      <c r="T25" s="1303" t="s">
        <v>5</v>
      </c>
      <c r="U25" s="1304">
        <f>H25</f>
        <v>100</v>
      </c>
      <c r="V25" s="1303" t="s">
        <v>5</v>
      </c>
      <c r="W25" s="1304">
        <f>J25</f>
        <v>100</v>
      </c>
      <c r="X25" s="1305"/>
      <c r="Y25" s="3620"/>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20"/>
      <c r="Q26" s="818"/>
      <c r="R26" s="1303"/>
      <c r="S26" s="1304"/>
      <c r="T26" s="1303"/>
      <c r="U26" s="1304"/>
      <c r="V26" s="1303"/>
      <c r="W26" s="1304"/>
      <c r="X26" s="1305"/>
      <c r="Y26" s="3620"/>
      <c r="Z26" s="997"/>
      <c r="AA26" s="997">
        <v>1</v>
      </c>
      <c r="AB26" s="997">
        <v>1</v>
      </c>
      <c r="AC26" s="997">
        <v>1</v>
      </c>
    </row>
    <row r="27" spans="1:29" s="1060" customFormat="1" ht="28.5">
      <c r="A27" s="527"/>
      <c r="B27" s="2052"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20"/>
      <c r="Q27" s="818" t="str">
        <f>B27</f>
        <v>基础设施水平</v>
      </c>
      <c r="R27" s="1303" t="s">
        <v>5</v>
      </c>
      <c r="S27" s="1304">
        <f>F27</f>
        <v>100</v>
      </c>
      <c r="T27" s="1303" t="s">
        <v>5</v>
      </c>
      <c r="U27" s="1304">
        <f>H27</f>
        <v>100</v>
      </c>
      <c r="V27" s="1303" t="s">
        <v>5</v>
      </c>
      <c r="W27" s="1304">
        <f>J27</f>
        <v>100</v>
      </c>
      <c r="X27" s="1305"/>
      <c r="Y27" s="3620"/>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20"/>
      <c r="Q28" s="818"/>
      <c r="R28" s="1303"/>
      <c r="S28" s="1304"/>
      <c r="T28" s="1303"/>
      <c r="U28" s="1304"/>
      <c r="V28" s="1303"/>
      <c r="W28" s="1304"/>
      <c r="X28" s="1305"/>
      <c r="Y28" s="3620"/>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20"/>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20"/>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20"/>
      <c r="Q30" s="1306" t="str">
        <f t="shared" si="8"/>
        <v>毗邻道路的类型与等级</v>
      </c>
      <c r="R30" s="1307" t="s">
        <v>5</v>
      </c>
      <c r="S30" s="1308">
        <f t="shared" si="9"/>
        <v>100</v>
      </c>
      <c r="T30" s="1307" t="s">
        <v>5</v>
      </c>
      <c r="U30" s="1308">
        <f t="shared" si="10"/>
        <v>100</v>
      </c>
      <c r="V30" s="1307" t="s">
        <v>5</v>
      </c>
      <c r="W30" s="1308">
        <f t="shared" si="11"/>
        <v>100</v>
      </c>
      <c r="X30" s="1302"/>
      <c r="Y30" s="3620"/>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20"/>
      <c r="Q31" s="1306"/>
      <c r="R31" s="1307"/>
      <c r="S31" s="1308"/>
      <c r="T31" s="1307"/>
      <c r="U31" s="1308"/>
      <c r="V31" s="1307"/>
      <c r="W31" s="1308"/>
      <c r="X31" s="1302"/>
      <c r="Y31" s="3620"/>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20"/>
      <c r="Q32" s="1306" t="str">
        <f t="shared" si="8"/>
        <v>土地级别</v>
      </c>
      <c r="R32" s="1307" t="s">
        <v>5</v>
      </c>
      <c r="S32" s="1308">
        <f t="shared" si="9"/>
        <v>100</v>
      </c>
      <c r="T32" s="1307" t="s">
        <v>5</v>
      </c>
      <c r="U32" s="1308">
        <f t="shared" si="10"/>
        <v>100</v>
      </c>
      <c r="V32" s="1307" t="s">
        <v>5</v>
      </c>
      <c r="W32" s="1308">
        <f t="shared" si="11"/>
        <v>100</v>
      </c>
      <c r="X32" s="1302"/>
      <c r="Y32" s="3620"/>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20"/>
      <c r="Q33" s="1306">
        <f t="shared" si="8"/>
        <v>111</v>
      </c>
      <c r="R33" s="1307" t="s">
        <v>5</v>
      </c>
      <c r="S33" s="1308">
        <f t="shared" si="9"/>
        <v>100</v>
      </c>
      <c r="T33" s="1307" t="s">
        <v>5</v>
      </c>
      <c r="U33" s="1308">
        <f t="shared" si="10"/>
        <v>100</v>
      </c>
      <c r="V33" s="1307" t="s">
        <v>5</v>
      </c>
      <c r="W33" s="1308">
        <f t="shared" si="11"/>
        <v>100</v>
      </c>
      <c r="X33" s="1302"/>
      <c r="Y33" s="3620"/>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21" t="s">
        <v>499</v>
      </c>
      <c r="Q34" s="1306">
        <f t="shared" si="8"/>
        <v>111</v>
      </c>
      <c r="R34" s="1307" t="s">
        <v>5</v>
      </c>
      <c r="S34" s="1308">
        <f t="shared" si="9"/>
        <v>100</v>
      </c>
      <c r="T34" s="1307" t="s">
        <v>5</v>
      </c>
      <c r="U34" s="1308">
        <f t="shared" si="10"/>
        <v>100</v>
      </c>
      <c r="V34" s="1307" t="s">
        <v>5</v>
      </c>
      <c r="W34" s="1308">
        <f t="shared" si="11"/>
        <v>100</v>
      </c>
      <c r="X34" s="1302"/>
      <c r="Y34" s="3622"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22"/>
      <c r="Q35" s="1306">
        <f t="shared" si="8"/>
        <v>111</v>
      </c>
      <c r="R35" s="1310" t="s">
        <v>5</v>
      </c>
      <c r="S35" s="1311">
        <f t="shared" si="9"/>
        <v>100</v>
      </c>
      <c r="T35" s="1310" t="s">
        <v>5</v>
      </c>
      <c r="U35" s="1311">
        <f t="shared" si="10"/>
        <v>100</v>
      </c>
      <c r="V35" s="1310" t="s">
        <v>5</v>
      </c>
      <c r="W35" s="1311">
        <f t="shared" si="11"/>
        <v>100</v>
      </c>
      <c r="X35" s="1312"/>
      <c r="Y35" s="3622"/>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22"/>
      <c r="Q36" s="1306" t="str">
        <f>B36</f>
        <v>宗地面积</v>
      </c>
      <c r="R36" s="1307" t="s">
        <v>5</v>
      </c>
      <c r="S36" s="1308" t="e">
        <f t="shared" si="9"/>
        <v>#N/A</v>
      </c>
      <c r="T36" s="1307" t="s">
        <v>5</v>
      </c>
      <c r="U36" s="1308" t="e">
        <f t="shared" si="10"/>
        <v>#N/A</v>
      </c>
      <c r="V36" s="1307" t="s">
        <v>5</v>
      </c>
      <c r="W36" s="1308" t="e">
        <f t="shared" si="11"/>
        <v>#N/A</v>
      </c>
      <c r="X36" s="1302"/>
      <c r="Y36" s="3622"/>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22"/>
      <c r="Q37" s="1306" t="str">
        <f t="shared" ref="Q37:Q42" si="13">B37</f>
        <v>宗地形状</v>
      </c>
      <c r="R37" s="1307" t="s">
        <v>5</v>
      </c>
      <c r="S37" s="1308">
        <f t="shared" si="9"/>
        <v>100</v>
      </c>
      <c r="T37" s="1307" t="s">
        <v>5</v>
      </c>
      <c r="U37" s="1308">
        <f t="shared" si="10"/>
        <v>100</v>
      </c>
      <c r="V37" s="1307" t="s">
        <v>5</v>
      </c>
      <c r="W37" s="1308">
        <f t="shared" si="11"/>
        <v>100</v>
      </c>
      <c r="X37" s="1302"/>
      <c r="Y37" s="3622"/>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22"/>
      <c r="Q38" s="1306" t="str">
        <f t="shared" si="13"/>
        <v>宗地开发程度</v>
      </c>
      <c r="R38" s="1303" t="s">
        <v>5</v>
      </c>
      <c r="S38" s="1304">
        <f t="shared" si="9"/>
        <v>100</v>
      </c>
      <c r="T38" s="1303" t="s">
        <v>5</v>
      </c>
      <c r="U38" s="1304">
        <f t="shared" si="10"/>
        <v>100</v>
      </c>
      <c r="V38" s="1303" t="s">
        <v>5</v>
      </c>
      <c r="W38" s="1304">
        <f t="shared" si="11"/>
        <v>100</v>
      </c>
      <c r="X38" s="1305"/>
      <c r="Y38" s="3622"/>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22" t="s">
        <v>549</v>
      </c>
      <c r="Q39" s="1306" t="str">
        <f t="shared" si="13"/>
        <v>工程地质条件</v>
      </c>
      <c r="R39" s="1307" t="s">
        <v>5</v>
      </c>
      <c r="S39" s="1308">
        <f t="shared" si="9"/>
        <v>100</v>
      </c>
      <c r="T39" s="1307" t="s">
        <v>5</v>
      </c>
      <c r="U39" s="1308">
        <f t="shared" si="10"/>
        <v>100</v>
      </c>
      <c r="V39" s="1307" t="s">
        <v>5</v>
      </c>
      <c r="W39" s="1308">
        <f t="shared" si="11"/>
        <v>100</v>
      </c>
      <c r="X39" s="1302"/>
      <c r="Y39" s="3622"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22"/>
      <c r="Q40" s="1306">
        <f t="shared" si="13"/>
        <v>111</v>
      </c>
      <c r="R40" s="1307" t="s">
        <v>5</v>
      </c>
      <c r="S40" s="1308">
        <f t="shared" si="9"/>
        <v>100</v>
      </c>
      <c r="T40" s="1307" t="s">
        <v>5</v>
      </c>
      <c r="U40" s="1308">
        <f t="shared" si="10"/>
        <v>100</v>
      </c>
      <c r="V40" s="1307" t="s">
        <v>5</v>
      </c>
      <c r="W40" s="1308">
        <f t="shared" si="11"/>
        <v>100</v>
      </c>
      <c r="X40" s="1302"/>
      <c r="Y40" s="3622"/>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22"/>
      <c r="Q41" s="1306">
        <f t="shared" si="13"/>
        <v>111</v>
      </c>
      <c r="R41" s="1307" t="s">
        <v>5</v>
      </c>
      <c r="S41" s="1308">
        <f t="shared" si="9"/>
        <v>100</v>
      </c>
      <c r="T41" s="1307" t="s">
        <v>5</v>
      </c>
      <c r="U41" s="1308">
        <f t="shared" si="10"/>
        <v>100</v>
      </c>
      <c r="V41" s="1307" t="s">
        <v>5</v>
      </c>
      <c r="W41" s="1308">
        <f t="shared" si="11"/>
        <v>100</v>
      </c>
      <c r="X41" s="1302"/>
      <c r="Y41" s="3622"/>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22"/>
      <c r="Q42" s="1306">
        <f t="shared" si="13"/>
        <v>111</v>
      </c>
      <c r="R42" s="1310" t="s">
        <v>5</v>
      </c>
      <c r="S42" s="1311">
        <f t="shared" si="9"/>
        <v>100</v>
      </c>
      <c r="T42" s="1310" t="s">
        <v>5</v>
      </c>
      <c r="U42" s="1311">
        <f t="shared" si="10"/>
        <v>100</v>
      </c>
      <c r="V42" s="1310" t="s">
        <v>5</v>
      </c>
      <c r="W42" s="1311">
        <f t="shared" si="11"/>
        <v>100</v>
      </c>
      <c r="X42" s="1312"/>
      <c r="Y42" s="3622"/>
      <c r="Z42" s="1313">
        <f t="shared" si="12"/>
        <v>111</v>
      </c>
      <c r="AA42" s="1309">
        <f t="shared" si="3"/>
        <v>1</v>
      </c>
      <c r="AB42" s="1309">
        <f t="shared" si="4"/>
        <v>1</v>
      </c>
      <c r="AC42" s="1309">
        <f t="shared" si="5"/>
        <v>1</v>
      </c>
    </row>
    <row r="43" spans="1:29" ht="15">
      <c r="A43" s="556" t="s">
        <v>505</v>
      </c>
      <c r="B43" s="557" t="s">
        <v>2191</v>
      </c>
      <c r="C43" s="558" t="s">
        <v>0</v>
      </c>
      <c r="D43" s="559"/>
      <c r="E43" s="560"/>
      <c r="F43" s="561"/>
      <c r="G43" s="562"/>
      <c r="H43" s="563"/>
      <c r="I43" s="560"/>
      <c r="J43" s="563"/>
      <c r="K43" s="1135"/>
      <c r="L43" s="1751"/>
      <c r="M43" s="1742"/>
      <c r="N43" s="1742"/>
      <c r="O43" s="1742"/>
      <c r="P43" s="3586" t="str">
        <f>A43</f>
        <v>成交单价</v>
      </c>
      <c r="Q43" s="3586"/>
      <c r="R43" s="3587">
        <f>E43</f>
        <v>0</v>
      </c>
      <c r="S43" s="3587"/>
      <c r="T43" s="3587">
        <f>G43</f>
        <v>0</v>
      </c>
      <c r="U43" s="3587"/>
      <c r="V43" s="3587">
        <f>I43</f>
        <v>0</v>
      </c>
      <c r="W43" s="3587"/>
      <c r="X43" s="799"/>
      <c r="Y43" s="1314"/>
      <c r="Z43" s="799"/>
      <c r="AA43" s="799"/>
      <c r="AB43" s="799"/>
      <c r="AC43" s="799"/>
    </row>
    <row r="44" spans="1:29" ht="15.75" thickBot="1">
      <c r="A44" s="564" t="s">
        <v>1975</v>
      </c>
      <c r="B44" s="565"/>
      <c r="C44" s="566" t="e">
        <f>R45</f>
        <v>#DIV/0!</v>
      </c>
      <c r="D44" s="2549" t="s">
        <v>2255</v>
      </c>
      <c r="E44" s="566" t="e">
        <f>R44</f>
        <v>#DIV/0!</v>
      </c>
      <c r="F44" s="2550"/>
      <c r="G44" s="567" t="e">
        <f>T44</f>
        <v>#DIV/0!</v>
      </c>
      <c r="H44" s="2550"/>
      <c r="I44" s="566" t="e">
        <f>V44</f>
        <v>#DIV/0!</v>
      </c>
      <c r="J44" s="2550"/>
      <c r="K44" s="2551">
        <f>F44+H44+J44</f>
        <v>0</v>
      </c>
      <c r="L44" s="1751"/>
      <c r="M44" s="1742"/>
      <c r="N44" s="1742"/>
      <c r="O44" s="1742"/>
      <c r="P44" s="3586" t="str">
        <f>A44</f>
        <v>比较价格（元/平方米）</v>
      </c>
      <c r="Q44" s="3586"/>
      <c r="R44" s="3588" t="e">
        <f>ROUND(PRODUCT(R43,AA9:AA42),0)</f>
        <v>#DIV/0!</v>
      </c>
      <c r="S44" s="3588"/>
      <c r="T44" s="3588" t="e">
        <f>ROUND(PRODUCT(T43,AB9:AB42),0)</f>
        <v>#DIV/0!</v>
      </c>
      <c r="U44" s="3588"/>
      <c r="V44" s="3588" t="e">
        <f>ROUND(PRODUCT(V43,AC9:AC42),0)</f>
        <v>#DIV/0!</v>
      </c>
      <c r="W44" s="3588"/>
      <c r="X44" s="799"/>
      <c r="Y44" s="799"/>
      <c r="Z44" s="799"/>
      <c r="AA44" s="799"/>
      <c r="AB44" s="799"/>
      <c r="AC44" s="799"/>
    </row>
    <row r="45" spans="1:29" ht="15.75" thickBot="1">
      <c r="A45" s="568" t="s">
        <v>2192</v>
      </c>
      <c r="B45" s="569"/>
      <c r="C45" s="570" t="e">
        <f>R45</f>
        <v>#DIV/0!</v>
      </c>
      <c r="D45" s="570"/>
      <c r="E45" s="570"/>
      <c r="F45" s="570"/>
      <c r="G45" s="570"/>
      <c r="H45" s="570"/>
      <c r="I45" s="570"/>
      <c r="J45" s="570"/>
      <c r="K45" s="1136"/>
      <c r="L45" s="1751"/>
      <c r="M45" s="1742"/>
      <c r="N45" s="1742"/>
      <c r="O45" s="1742"/>
      <c r="P45" s="3623" t="str">
        <f>A45</f>
        <v>估价对象XX用房的比较价格（楼面单价，元/平方米）</v>
      </c>
      <c r="Q45" s="3624"/>
      <c r="R45" s="3639" t="e">
        <f>ROUND(IF(D44="简单平均",AVERAGE(R44:W44),R44*F44+T44*H44+V44*J44),0)</f>
        <v>#DIV/0!</v>
      </c>
      <c r="S45" s="3639"/>
      <c r="T45" s="3639"/>
      <c r="U45" s="3639"/>
      <c r="V45" s="3639"/>
      <c r="W45" s="3639"/>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35" t="s">
        <v>1642</v>
      </c>
      <c r="H52" s="3636"/>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2.75">
      <c r="A53" s="580" t="s">
        <v>513</v>
      </c>
      <c r="B53" s="581" t="e">
        <f>C45</f>
        <v>#DIV/0!</v>
      </c>
      <c r="C53" s="582">
        <v>1</v>
      </c>
      <c r="D53" s="1822">
        <v>1</v>
      </c>
      <c r="E53" s="582">
        <f>'数据-汇总表'!E8+'数据-汇总表'!E9</f>
        <v>32315.351999999999</v>
      </c>
      <c r="F53" s="1609" t="e">
        <f t="shared" ref="F53:F61" si="14">ROUND(B53*E53/10000,0)</f>
        <v>#DIV/0!</v>
      </c>
      <c r="G53" s="3637"/>
      <c r="H53" s="3638"/>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2.75">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SUMIF(修正!$A$57:$A$68,H54,修正!B57:B68)</f>
        <v>0.6</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2.75">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SUMIF(修正!$A$57:$A$68,H55,修正!C57:C68)</f>
        <v>0.3</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2.75">
      <c r="A56" s="584" t="s">
        <v>516</v>
      </c>
      <c r="B56" s="585" t="e">
        <f t="shared" si="16"/>
        <v>#DIV/0!</v>
      </c>
      <c r="C56" s="348">
        <f t="shared" si="15"/>
        <v>0.25</v>
      </c>
      <c r="D56" s="1823">
        <v>0.25</v>
      </c>
      <c r="E56" s="586"/>
      <c r="F56" s="1609" t="e">
        <f t="shared" si="14"/>
        <v>#DIV/0!</v>
      </c>
      <c r="G56" s="3028"/>
      <c r="H56" s="1614" t="str">
        <f>项目基本情况!B43</f>
        <v>七级</v>
      </c>
      <c r="I56" s="1612">
        <f>SUMIF(修正!$A$57:$A$68,H56,修正!D57:D68)</f>
        <v>0.25</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2.75">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SUMIF(修正!$A$57:$A$68,H57,修正!E57:E68)</f>
        <v>0.25</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2.75">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SUMIF(修正!$A$57:$A$68,H58,修正!F57:F68)</f>
        <v>0.25</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518</v>
      </c>
      <c r="B59" s="585" t="e">
        <f t="shared" si="16"/>
        <v>#DIV/0!</v>
      </c>
      <c r="C59" s="348">
        <f t="shared" si="15"/>
        <v>0.15</v>
      </c>
      <c r="D59" s="1823">
        <v>0.25</v>
      </c>
      <c r="E59" s="588">
        <f>'数据-汇总表'!E13</f>
        <v>9011.2199999999993</v>
      </c>
      <c r="F59" s="1609" t="e">
        <f t="shared" si="14"/>
        <v>#DIV/0!</v>
      </c>
      <c r="G59" s="1605" t="s">
        <v>851</v>
      </c>
      <c r="H59" s="1613" t="str">
        <f>IF(G59="商业",项目基本情况!B43,IF(G59="办公",项目基本情况!C43,IF(G59="住宅",项目基本情况!D43,项目基本情况!E43)))</f>
        <v>七级</v>
      </c>
      <c r="I59" s="1612">
        <f>SUMIF(修正!$A$57:$A$68,H59,修正!G57:G68)</f>
        <v>0.15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SUMIF(修正!$A$57:$A$68,H60,修正!G57:G68)</f>
        <v>0.15</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5"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SUMIF(修正!$A$57:$A$68,H61,修正!G57:G68)</f>
        <v>0.15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5" thickBot="1">
      <c r="A62" s="589" t="s">
        <v>521</v>
      </c>
      <c r="B62" s="590" t="s">
        <v>11</v>
      </c>
      <c r="C62" s="590" t="s">
        <v>12</v>
      </c>
      <c r="D62" s="590" t="s">
        <v>1651</v>
      </c>
      <c r="E62" s="590">
        <f>IF(B43="楼面地价",SUM(E53:E61),'数据-汇总表'!D3)</f>
        <v>20362.47</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2024-9-1</v>
      </c>
      <c r="D64" s="2111">
        <f>EDATE(C64,-3)</f>
        <v>45444</v>
      </c>
      <c r="E64" s="2111">
        <f t="shared" ref="E64:N64" si="17">EDATE(D64,-3)</f>
        <v>45352</v>
      </c>
      <c r="F64" s="2111">
        <f t="shared" si="17"/>
        <v>45261</v>
      </c>
      <c r="G64" s="2111">
        <f t="shared" si="17"/>
        <v>45170</v>
      </c>
      <c r="H64" s="2111">
        <f t="shared" si="17"/>
        <v>45078</v>
      </c>
      <c r="I64" s="2111">
        <f t="shared" si="17"/>
        <v>44986</v>
      </c>
      <c r="J64" s="2111">
        <f t="shared" si="17"/>
        <v>44896</v>
      </c>
      <c r="K64" s="2111">
        <f t="shared" si="17"/>
        <v>44805</v>
      </c>
      <c r="L64" s="2111">
        <f t="shared" si="17"/>
        <v>44713</v>
      </c>
      <c r="M64" s="2111">
        <f t="shared" si="17"/>
        <v>44621</v>
      </c>
      <c r="N64" s="2111">
        <f t="shared" si="17"/>
        <v>44531</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5">
      <c r="A66" s="2042" t="s">
        <v>1816</v>
      </c>
      <c r="B66" s="593"/>
      <c r="C66" s="155" t="str">
        <f>YEAR(C64)&amp;"-"&amp;ROUNDUP(MONTH(C64)/3,0)</f>
        <v>2024-3</v>
      </c>
      <c r="D66" s="155" t="str">
        <f t="shared" ref="D66:N66" si="18">YEAR(D64)&amp;"-"&amp;ROUNDUP(MONTH(D64)/3,0)</f>
        <v>2024-2</v>
      </c>
      <c r="E66" s="155" t="str">
        <f t="shared" si="18"/>
        <v>2024-1</v>
      </c>
      <c r="F66" s="155" t="str">
        <f t="shared" si="18"/>
        <v>2023-4</v>
      </c>
      <c r="G66" s="155" t="str">
        <f t="shared" si="18"/>
        <v>2023-3</v>
      </c>
      <c r="H66" s="155" t="str">
        <f t="shared" si="18"/>
        <v>2023-2</v>
      </c>
      <c r="I66" s="155" t="str">
        <f t="shared" si="18"/>
        <v>2023-1</v>
      </c>
      <c r="J66" s="155" t="str">
        <f t="shared" si="18"/>
        <v>2022-4</v>
      </c>
      <c r="K66" s="155" t="str">
        <f t="shared" si="18"/>
        <v>2022-3</v>
      </c>
      <c r="L66" s="155" t="str">
        <f t="shared" si="18"/>
        <v>2022-2</v>
      </c>
      <c r="M66" s="155" t="str">
        <f t="shared" si="18"/>
        <v>2022-1</v>
      </c>
      <c r="N66" s="155" t="str">
        <f t="shared" si="18"/>
        <v>2021-4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60"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4"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4"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4"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1" t="s">
        <v>2043</v>
      </c>
      <c r="S1" s="2231" t="s">
        <v>2044</v>
      </c>
      <c r="T1" s="2231" t="s">
        <v>2061</v>
      </c>
      <c r="U1" s="2231" t="s">
        <v>2062</v>
      </c>
      <c r="V1" s="2231" t="s">
        <v>2063</v>
      </c>
      <c r="W1" s="1789"/>
      <c r="X1" s="1789"/>
      <c r="Y1" s="1789"/>
      <c r="Z1" s="1789"/>
      <c r="AA1" s="1789"/>
      <c r="AB1" s="1789"/>
      <c r="AC1" s="1790"/>
    </row>
    <row r="2" spans="1:39" ht="15.75">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1.5019</v>
      </c>
      <c r="T2" s="2232" t="e">
        <f>ROUND($C$5*$C$22*$C$23*$C$24*S2*$C$28,0)</f>
        <v>#DIV/0!</v>
      </c>
      <c r="U2" s="2222"/>
      <c r="V2" s="2232" t="e">
        <f>ROUND(T2*U2/10000,0)</f>
        <v>#DIV/0!</v>
      </c>
      <c r="W2" s="1789"/>
      <c r="X2" s="1789"/>
      <c r="Y2" s="1789"/>
      <c r="Z2" s="1789"/>
      <c r="AA2" s="1789"/>
      <c r="AB2" s="1789"/>
      <c r="AC2" s="1790"/>
    </row>
    <row r="3" spans="1:39" ht="15.75">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1.1838</v>
      </c>
      <c r="T3" s="2232" t="e">
        <f t="shared" ref="T3:T16" si="0">ROUND($C$5*$C$22*$C$23*$C$24*S3*$C$28,0)</f>
        <v>#DIV/0!</v>
      </c>
      <c r="U3" s="2222"/>
      <c r="V3" s="2232"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6"/>
      <c r="L4" s="1544" t="s">
        <v>1600</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1.0004999999999999</v>
      </c>
      <c r="T4" s="2232" t="e">
        <f t="shared" si="0"/>
        <v>#DIV/0!</v>
      </c>
      <c r="U4" s="2222"/>
      <c r="V4" s="2232" t="e">
        <f t="shared" si="1"/>
        <v>#DIV/0!</v>
      </c>
      <c r="W4" s="1789"/>
      <c r="X4" s="1789"/>
      <c r="Y4" s="1789"/>
      <c r="Z4" s="1789"/>
      <c r="AA4" s="1789"/>
      <c r="AB4" s="1789"/>
      <c r="AC4" s="1790"/>
    </row>
    <row r="5" spans="1:39" s="1203" customFormat="1" ht="15.75" thickBot="1">
      <c r="A5" s="1359" t="s">
        <v>1352</v>
      </c>
      <c r="B5" s="1197" t="s">
        <v>859</v>
      </c>
      <c r="C5" s="944" t="e">
        <f>ROUND(IF(E2="商业",C6*C7*C17+C20,(IF(E2="住宅",C6*C13*C17+C20,IF(E2="办公",C6*C12*C17+C20,C6+C20)))),0)</f>
        <v>#DIV/0!</v>
      </c>
      <c r="D5" s="2357" t="e">
        <f>ROUND(C6*C17+C20,0)</f>
        <v>#DIV/0!</v>
      </c>
      <c r="E5" s="2357"/>
      <c r="F5" s="1198"/>
      <c r="G5" s="1199"/>
      <c r="H5" s="1199"/>
      <c r="I5" s="1199"/>
      <c r="J5" s="1200"/>
      <c r="K5" s="2737"/>
      <c r="L5" s="1544" t="s">
        <v>1601</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0.88239999999999996</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0.84799999999999998</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75" thickBot="1">
      <c r="A7" s="3253" t="s">
        <v>3189</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0"/>
      <c r="Q7" s="1789"/>
      <c r="R7" s="2232">
        <v>6</v>
      </c>
      <c r="S7" s="2222"/>
      <c r="T7" s="2232" t="e">
        <f t="shared" si="0"/>
        <v>#DIV/0!</v>
      </c>
      <c r="U7" s="2222"/>
      <c r="V7" s="2232" t="e">
        <f t="shared" si="1"/>
        <v>#DIV/0!</v>
      </c>
      <c r="W7" s="2230" t="s">
        <v>2046</v>
      </c>
      <c r="X7" s="2223" t="str">
        <f>G2</f>
        <v>七级</v>
      </c>
      <c r="Y7" s="2223" t="s">
        <v>2047</v>
      </c>
      <c r="Z7" s="2224">
        <f>G3</f>
        <v>0</v>
      </c>
      <c r="AA7" s="1792"/>
      <c r="AB7" s="1792"/>
      <c r="AC7" s="1793"/>
      <c r="AD7" s="2225"/>
      <c r="AE7" s="2225"/>
      <c r="AF7" s="2225"/>
      <c r="AG7" s="2225"/>
      <c r="AH7" s="2225"/>
      <c r="AI7" s="2225"/>
      <c r="AJ7" s="2226"/>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41" t="s">
        <v>2060</v>
      </c>
      <c r="X8" s="3642"/>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40"/>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40"/>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5" thickBot="1">
      <c r="A12" s="3253" t="s">
        <v>3190</v>
      </c>
      <c r="B12" s="3235" t="s">
        <v>3191</v>
      </c>
      <c r="C12" s="3241">
        <v>1.02</v>
      </c>
      <c r="D12" s="3236" t="s">
        <v>3192</v>
      </c>
      <c r="E12" s="3237" t="s">
        <v>3193</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15.75" thickBot="1">
      <c r="A13" s="3253" t="s">
        <v>3194</v>
      </c>
      <c r="B13" s="1210" t="s">
        <v>874</v>
      </c>
      <c r="C13" s="3254">
        <f>ROUND(C16*D16*E16*F16*G16*H16*I16*J16,4)</f>
        <v>0</v>
      </c>
      <c r="D13" s="3272" t="s">
        <v>3195</v>
      </c>
      <c r="E13" s="3273"/>
      <c r="F13" s="3273"/>
      <c r="G13" s="3273"/>
      <c r="H13" s="3273"/>
      <c r="I13" s="3273"/>
      <c r="J13" s="3274"/>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5"/>
      <c r="B14" s="1214" t="s">
        <v>1229</v>
      </c>
      <c r="C14" s="3191" t="s">
        <v>1230</v>
      </c>
      <c r="D14" s="1216" t="s">
        <v>1231</v>
      </c>
      <c r="E14" s="750" t="s">
        <v>3196</v>
      </c>
      <c r="F14" s="3276" t="s">
        <v>1178</v>
      </c>
      <c r="G14" s="3276" t="s">
        <v>1178</v>
      </c>
      <c r="H14" s="3277" t="s">
        <v>1178</v>
      </c>
      <c r="I14" s="3277" t="s">
        <v>1178</v>
      </c>
      <c r="J14" s="3277" t="s">
        <v>1178</v>
      </c>
      <c r="K14" s="2738"/>
      <c r="L14" s="2738"/>
      <c r="M14" s="2738"/>
      <c r="N14" s="2738"/>
      <c r="O14" s="2738"/>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5"/>
      <c r="B15" s="1216"/>
      <c r="C15" s="3278"/>
      <c r="D15" s="3279"/>
      <c r="E15" s="3280"/>
      <c r="F15" s="3280"/>
      <c r="G15" s="1038" t="s">
        <v>3197</v>
      </c>
      <c r="H15" s="3244"/>
      <c r="I15" s="3245"/>
      <c r="J15" s="3246"/>
      <c r="K15" s="3247"/>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5"/>
      <c r="B16" s="2405" t="s">
        <v>1232</v>
      </c>
      <c r="C16" s="3242"/>
      <c r="D16" s="3242"/>
      <c r="E16" s="3242"/>
      <c r="F16" s="3242"/>
      <c r="G16" s="3242">
        <v>1</v>
      </c>
      <c r="H16" s="3242">
        <v>1</v>
      </c>
      <c r="I16" s="3242">
        <v>1</v>
      </c>
      <c r="J16" s="3243">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2" t="s">
        <v>3198</v>
      </c>
      <c r="B17" s="3283" t="s">
        <v>3199</v>
      </c>
      <c r="C17" s="3291">
        <f>ROUND(IF(OR(E2="工业",E2="公共服务"),1,IF(AND(E18=0,E19=0),1,IF(AND(E18=J24,E19=G19),0.8,IF(E19=0,1+E17*(-0.2),1+E17*G17*(-0.2))))),4)</f>
        <v>1</v>
      </c>
      <c r="D17" s="3284" t="s">
        <v>3200</v>
      </c>
      <c r="E17" s="3291" t="e">
        <f>ROUND(G18/I18,2)</f>
        <v>#DIV/0!</v>
      </c>
      <c r="F17" s="3284" t="s">
        <v>3203</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3201</v>
      </c>
      <c r="E18" s="3290"/>
      <c r="F18" s="3287" t="s">
        <v>3204</v>
      </c>
      <c r="G18" s="3289">
        <f>ROUND(1-(1/(POWER(1+G24,E18))),4)</f>
        <v>0</v>
      </c>
      <c r="H18" s="3287" t="s">
        <v>3206</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3202</v>
      </c>
      <c r="E19" s="3292"/>
      <c r="F19" s="3288" t="s">
        <v>3205</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51" t="s">
        <v>1370</v>
      </c>
      <c r="B20" s="1205" t="s">
        <v>875</v>
      </c>
      <c r="C20" s="948" t="e">
        <f>ROUND(IF(F21="与级别开发程度一致",0,(G21-E21)/C21),0)</f>
        <v>#DIV/0!</v>
      </c>
      <c r="D20" s="3646" t="s">
        <v>879</v>
      </c>
      <c r="E20" s="3647"/>
      <c r="F20" s="3646" t="s">
        <v>876</v>
      </c>
      <c r="G20" s="3647"/>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52"/>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315</v>
      </c>
      <c r="F21" s="2404"/>
      <c r="G21" s="2403">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0</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23" t="s">
        <v>882</v>
      </c>
      <c r="E23" s="950">
        <v>44197</v>
      </c>
      <c r="F23" s="1223" t="s">
        <v>883</v>
      </c>
      <c r="G23" s="951">
        <f>'数据-取费表'!B2</f>
        <v>45541</v>
      </c>
      <c r="H23" s="1224" t="s">
        <v>2241</v>
      </c>
      <c r="I23" s="2101" t="str">
        <f>IF(H23="季度增幅（自定义）",SUMIF(N25:N28,E2,O25:O28),"")</f>
        <v/>
      </c>
      <c r="J23" s="3293" t="s">
        <v>3259</v>
      </c>
      <c r="K23" s="2737"/>
      <c r="L23" s="2322" t="s">
        <v>2116</v>
      </c>
      <c r="M23" s="2323">
        <f>ROUND(SUMIF(地价!B2:F2,E2,地价!B41:F41),0)</f>
        <v>0</v>
      </c>
      <c r="N23" s="2103" t="s">
        <v>1211</v>
      </c>
      <c r="O23" s="2102">
        <f>ROUNDDOWN(DATEDIF(E23,G23,"M")/3,0)</f>
        <v>14</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1365</v>
      </c>
      <c r="B24" s="2096" t="s">
        <v>896</v>
      </c>
      <c r="C24" s="2097" t="e">
        <f>ROUND(POWER(1+G24,J24-I24)*(POWER(1+G24,I24)-1)/(POWER(1+G24,J24)-1),4)</f>
        <v>#DIV/0!</v>
      </c>
      <c r="D24" s="2098" t="s">
        <v>897</v>
      </c>
      <c r="E24" s="2349">
        <f>存贷款利率!E26/100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1"/>
      <c r="R24" s="1795"/>
      <c r="S24" s="1795"/>
      <c r="T24" s="1795"/>
      <c r="U24" s="1795"/>
      <c r="V24" s="1795"/>
      <c r="W24" s="1795"/>
      <c r="X24" s="1795"/>
      <c r="Y24" s="1221"/>
      <c r="Z24" s="1221"/>
      <c r="AA24" s="1221"/>
      <c r="AB24" s="1221"/>
      <c r="AC24" s="1221"/>
      <c r="AD24" s="1221"/>
    </row>
    <row r="25" spans="1:40" ht="14.25">
      <c r="A25" s="1362" t="s">
        <v>1366</v>
      </c>
      <c r="B25" s="1229" t="s">
        <v>2271</v>
      </c>
      <c r="C25" s="1004">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3207</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3208</v>
      </c>
      <c r="J26" s="952"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4">
        <f>SUMIF(A47:A101,E2,B47:B101)</f>
        <v>0</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3234</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t="e">
        <f>ROUND(C5*C22*C23*C24*C25*C28,0)</f>
        <v>#DIV/0!</v>
      </c>
      <c r="D33" s="1252"/>
      <c r="E33" s="1538" t="e">
        <f>ROUND(C33*D33/10000,0)</f>
        <v>#DIV/0!</v>
      </c>
      <c r="F33" s="3295" t="s">
        <v>3209</v>
      </c>
      <c r="G33" s="1253"/>
      <c r="H33" s="1253"/>
      <c r="I33" s="1253"/>
      <c r="J33" s="1254"/>
      <c r="K33" s="2741"/>
      <c r="L33" s="3363" t="s">
        <v>3235</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t="e">
        <f>ROUND(IF(E2="工业",C33*M42,IF(B25="楼层修正",SUM(V2:V16)*M41*10000/D34,C33*M41)),0)</f>
        <v>#DIV/0!</v>
      </c>
      <c r="D34" s="1257"/>
      <c r="E34" s="1538" t="e">
        <f>ROUND(IF(B25="楼层修正",SUM(V2:V16)*#REF!,C34*D34/10000),0)</f>
        <v>#DIV/0!</v>
      </c>
      <c r="F34" s="3296" t="s">
        <v>3210</v>
      </c>
      <c r="G34" s="1258"/>
      <c r="H34" s="1258"/>
      <c r="I34" s="1258"/>
      <c r="J34" s="1259"/>
      <c r="K34" s="1789"/>
      <c r="L34" s="3363" t="s">
        <v>3236</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3237</v>
      </c>
      <c r="L36" s="3367">
        <f ca="1">'数据-取费表'!B40</f>
        <v>3.3500000000000002E-2</v>
      </c>
      <c r="M36" s="3368">
        <f ca="1">ROUND($L$36*(1+M31),3)</f>
        <v>4.2000000000000003E-2</v>
      </c>
      <c r="N36" s="3368">
        <f ca="1">ROUND($L$36*(1+N31),3)</f>
        <v>0.04</v>
      </c>
      <c r="O36" s="3368">
        <f ca="1">ROUND($L$36*(1+O31),3)</f>
        <v>3.9E-2</v>
      </c>
      <c r="P36" s="3368">
        <f ca="1">ROUND($L$36*(1+P31),3)</f>
        <v>3.6999999999999998E-2</v>
      </c>
      <c r="Q36" s="3368">
        <f ca="1">ROUND($L$36*(1+Q31),3)</f>
        <v>3.9E-2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48"/>
      <c r="B37" s="1270" t="s">
        <v>923</v>
      </c>
      <c r="C37" s="955" t="e">
        <f>ROUND(D5*C22*C23*C24*C28*F37,0)</f>
        <v>#DIV/0!</v>
      </c>
      <c r="D37" s="1282"/>
      <c r="E37" s="946" t="e">
        <f>ROUND(C37*D37/10000,0)</f>
        <v>#DIV/0!</v>
      </c>
      <c r="F37" s="946">
        <f>SUMIF(修正!A57:A68,G2,修正!B57:B68)</f>
        <v>0.6</v>
      </c>
      <c r="G37" s="946" t="e">
        <f>ROUND(IF(E2="工业",C37*$M$42,C37*$M$41),0)</f>
        <v>#DIV/0!</v>
      </c>
      <c r="H37" s="946">
        <f>D37</f>
        <v>0</v>
      </c>
      <c r="I37" s="946" t="e">
        <f>ROUND(G37*H37/10000,0)</f>
        <v>#DIV/0!</v>
      </c>
      <c r="J37" s="3648"/>
      <c r="K37" s="3366" t="s">
        <v>3238</v>
      </c>
      <c r="L37" s="3367">
        <f ca="1">L36+K38</f>
        <v>3.85E-2</v>
      </c>
      <c r="M37" s="3368">
        <f ca="1">ROUND($L$37*(1+M31),3)</f>
        <v>4.8000000000000001E-2</v>
      </c>
      <c r="N37" s="3368">
        <f t="shared" ref="N37:Q37" ca="1" si="3">ROUND($L$37*(1+N31),3)</f>
        <v>4.5999999999999999E-2</v>
      </c>
      <c r="O37" s="3368">
        <f t="shared" ca="1" si="3"/>
        <v>4.3999999999999997E-2</v>
      </c>
      <c r="P37" s="3368">
        <f t="shared" ca="1" si="3"/>
        <v>4.2000000000000003E-2</v>
      </c>
      <c r="Q37" s="3368">
        <f t="shared" ca="1" si="3"/>
        <v>4.3999999999999997E-2</v>
      </c>
      <c r="R37" s="1790"/>
      <c r="S37" s="1790"/>
      <c r="T37" s="1790"/>
      <c r="U37" s="1790"/>
      <c r="V37" s="1790"/>
      <c r="W37" s="1789"/>
      <c r="X37" s="1789"/>
      <c r="Y37" s="1789"/>
      <c r="Z37" s="1789"/>
      <c r="AA37" s="1789"/>
      <c r="AB37" s="1789"/>
      <c r="AC37" s="1790"/>
    </row>
    <row r="38" spans="1:44" ht="12.75">
      <c r="A38" s="3649"/>
      <c r="B38" s="1215" t="s">
        <v>924</v>
      </c>
      <c r="C38" s="955" t="e">
        <f>ROUND(D5*C22*C23*C24*C28*F38,0)</f>
        <v>#DIV/0!</v>
      </c>
      <c r="D38" s="1282"/>
      <c r="E38" s="946" t="e">
        <f t="shared" ref="E38:E42" si="4">ROUND(C38*D38/10000,0)</f>
        <v>#DIV/0!</v>
      </c>
      <c r="F38" s="946">
        <f>SUMIF(修正!A57:A68,G2,修正!C57:C68)</f>
        <v>0.3</v>
      </c>
      <c r="G38" s="946" t="e">
        <f>ROUND(IF(E2="工业",C38*$M$42,C38*$M$41),0)</f>
        <v>#DIV/0!</v>
      </c>
      <c r="H38" s="946">
        <f t="shared" ref="H38:H42" si="5">D38</f>
        <v>0</v>
      </c>
      <c r="I38" s="946" t="e">
        <f t="shared" ref="I38:I42" si="6">ROUND(G38*H38/10000,0)</f>
        <v>#DIV/0!</v>
      </c>
      <c r="J38" s="3649"/>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49"/>
      <c r="B39" s="3297" t="s">
        <v>3211</v>
      </c>
      <c r="C39" s="955" t="e">
        <f>ROUND(D5*C22*C23*C24*C28*F39,0)</f>
        <v>#DIV/0!</v>
      </c>
      <c r="D39" s="1282"/>
      <c r="E39" s="946" t="e">
        <f t="shared" si="4"/>
        <v>#DIV/0!</v>
      </c>
      <c r="F39" s="946">
        <f>SUMIF(修正!A57:A68,G2,修正!D57:D68)</f>
        <v>0.25</v>
      </c>
      <c r="G39" s="946" t="e">
        <f>ROUND(IF(E2="工业",C39*$M$42,C39*$M$41),0)</f>
        <v>#DIV/0!</v>
      </c>
      <c r="H39" s="946">
        <f t="shared" si="5"/>
        <v>0</v>
      </c>
      <c r="I39" s="946" t="e">
        <f t="shared" si="6"/>
        <v>#DIV/0!</v>
      </c>
      <c r="J39" s="3649"/>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t="e">
        <f>ROUND(D5*C22*C23*C24*C28*F40,0)</f>
        <v>#DIV/0!</v>
      </c>
      <c r="D40" s="1282"/>
      <c r="E40" s="946" t="e">
        <f t="shared" si="4"/>
        <v>#DIV/0!</v>
      </c>
      <c r="F40" s="955">
        <f>SUMIF(修正!A57:A68,G2,修正!E57:E68)</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t="e">
        <f>ROUND(D5*C22*C23*C44*C28*F41,0)</f>
        <v>#DIV/0!</v>
      </c>
      <c r="D41" s="1282"/>
      <c r="E41" s="946" t="e">
        <f t="shared" si="4"/>
        <v>#DIV/0!</v>
      </c>
      <c r="F41" s="955">
        <f>SUMIF(修正!A57:A68,G2,修正!F57:F68)</f>
        <v>0.25</v>
      </c>
      <c r="G41" s="946" t="e">
        <f>ROUND(IF(E2="工业",C41*$M$42,C41*$M$41),0)</f>
        <v>#DIV/0!</v>
      </c>
      <c r="H41" s="946">
        <f t="shared" si="5"/>
        <v>0</v>
      </c>
      <c r="I41" s="946" t="e">
        <f t="shared" si="6"/>
        <v>#DIV/0!</v>
      </c>
      <c r="J41" s="1271"/>
      <c r="K41" s="1789"/>
      <c r="L41" s="3369" t="s">
        <v>3239</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t="e">
        <f>ROUND(D5*C22*C23*C44*C28*F42,0)</f>
        <v>#DIV/0!</v>
      </c>
      <c r="D42" s="1283"/>
      <c r="E42" s="947" t="e">
        <f t="shared" si="4"/>
        <v>#DIV/0!</v>
      </c>
      <c r="F42" s="957">
        <f>SUMIF(修正!A57:A68,G2,修正!G57:G68)</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2237</v>
      </c>
      <c r="C44" s="773" t="e">
        <f>ROUND(POWER(1+E44,H44-G44)*(POWER(1+E44,G44)-1)/(POWER(1+E44,H44)-1),4)</f>
        <v>#DIV/0!</v>
      </c>
      <c r="D44" s="348" t="s">
        <v>2235</v>
      </c>
      <c r="E44" s="2394">
        <f>G24</f>
        <v>0</v>
      </c>
      <c r="F44" s="348" t="s">
        <v>2236</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3213</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2194</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2193</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3213</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2195</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2193</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36">
      <c r="A74" s="3298" t="s">
        <v>3213</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24">
      <c r="A78" s="3315" t="s">
        <v>947</v>
      </c>
      <c r="B78" s="3332" t="s">
        <v>2193</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24">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24.75"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2193</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3222</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3223</v>
      </c>
      <c r="B92" s="3300"/>
      <c r="C92" s="3300" t="s">
        <v>3228</v>
      </c>
      <c r="D92" s="3300" t="s">
        <v>3215</v>
      </c>
      <c r="E92" s="346" t="s">
        <v>3216</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3224</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3225</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3213</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3217</v>
      </c>
      <c r="B96" s="3304" t="s">
        <v>3218</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3219</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3226</v>
      </c>
      <c r="B98" s="3331" t="s">
        <v>2193</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3227</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3220</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3221</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53" t="s">
        <v>1172</v>
      </c>
      <c r="B104" s="3653"/>
      <c r="C104" s="3653"/>
      <c r="D104" s="3653"/>
      <c r="E104" s="3653"/>
      <c r="F104" s="3653"/>
      <c r="G104" s="3653"/>
      <c r="H104" s="3653"/>
      <c r="I104" s="3653"/>
      <c r="J104" s="3653"/>
      <c r="K104" s="1001"/>
      <c r="L104" s="1001"/>
      <c r="M104" s="1001"/>
      <c r="N104" s="1001"/>
    </row>
    <row r="105" spans="1:36">
      <c r="A105" s="3654" t="s">
        <v>1161</v>
      </c>
      <c r="B105" s="3654" t="s">
        <v>1173</v>
      </c>
      <c r="C105" s="989" t="s">
        <v>1174</v>
      </c>
      <c r="D105" s="990"/>
      <c r="E105" s="990"/>
      <c r="F105" s="990"/>
      <c r="G105" s="990"/>
      <c r="H105" s="990"/>
      <c r="I105" s="990"/>
      <c r="J105" s="991"/>
      <c r="K105" s="984"/>
      <c r="L105" s="984"/>
      <c r="M105" s="984"/>
      <c r="N105" s="984"/>
    </row>
    <row r="106" spans="1:36">
      <c r="A106" s="3654"/>
      <c r="B106" s="3654"/>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43"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44"/>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44"/>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44"/>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44"/>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44"/>
      <c r="B112" s="992" t="s">
        <v>3229</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45"/>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0" t="s">
        <v>1175</v>
      </c>
      <c r="B114" s="3650"/>
      <c r="C114" s="3650"/>
      <c r="D114" s="3650"/>
      <c r="E114" s="3650"/>
      <c r="F114" s="3650"/>
      <c r="G114" s="3650"/>
      <c r="H114" s="3650"/>
      <c r="I114" s="3650"/>
      <c r="J114" s="3650"/>
      <c r="K114" s="1968"/>
      <c r="L114" s="1968"/>
      <c r="M114" s="1968"/>
      <c r="N114" s="1968"/>
    </row>
    <row r="116" spans="1:14" ht="12.75" thickBot="1"/>
    <row r="117" spans="1:14" ht="25.5"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7" t="s">
        <v>3230</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2.75">
      <c r="A120" s="3357" t="s">
        <v>3231</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2.75">
      <c r="A121" s="3357" t="s">
        <v>3232</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5" thickBot="1">
      <c r="A122" s="3358" t="s">
        <v>3233</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2.75">
      <c r="A123" s="3359" t="s">
        <v>3214</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2757</v>
      </c>
      <c r="B1" s="963" t="s">
        <v>990</v>
      </c>
      <c r="C1" s="963" t="s">
        <v>1031</v>
      </c>
      <c r="D1" s="963" t="s">
        <v>1145</v>
      </c>
      <c r="E1" s="963" t="s">
        <v>853</v>
      </c>
      <c r="F1" s="963" t="s">
        <v>1152</v>
      </c>
      <c r="G1" s="963" t="s">
        <v>1153</v>
      </c>
      <c r="H1" s="963" t="s">
        <v>1154</v>
      </c>
      <c r="I1" s="963" t="s">
        <v>1155</v>
      </c>
      <c r="J1" s="963" t="s">
        <v>1156</v>
      </c>
      <c r="K1" s="963" t="s">
        <v>1157</v>
      </c>
      <c r="L1" s="963" t="s">
        <v>2758</v>
      </c>
      <c r="M1" s="964" t="s">
        <v>2759</v>
      </c>
    </row>
    <row r="2" spans="1:13">
      <c r="A2" s="2982" t="s">
        <v>2734</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2760</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2732</v>
      </c>
      <c r="B7" s="2996">
        <v>2.5</v>
      </c>
      <c r="C7" s="2996">
        <v>2.5</v>
      </c>
      <c r="D7" s="2996">
        <v>2</v>
      </c>
      <c r="E7" s="2996">
        <v>2</v>
      </c>
      <c r="F7" s="2996">
        <v>2</v>
      </c>
      <c r="G7" s="2996">
        <v>2</v>
      </c>
      <c r="H7" s="2996">
        <v>2</v>
      </c>
      <c r="I7" s="2997">
        <v>1.5</v>
      </c>
      <c r="J7" s="2997">
        <v>1.5</v>
      </c>
      <c r="K7" s="2997">
        <v>1.5</v>
      </c>
      <c r="L7" s="2997">
        <v>1.5</v>
      </c>
      <c r="M7" s="2998">
        <v>1.5</v>
      </c>
    </row>
    <row r="8" spans="1:13">
      <c r="A8" s="976" t="s">
        <v>2761</v>
      </c>
      <c r="B8" s="2999">
        <v>80</v>
      </c>
      <c r="C8" s="2999">
        <v>80</v>
      </c>
      <c r="D8" s="2999">
        <v>70</v>
      </c>
      <c r="E8" s="2999">
        <v>70</v>
      </c>
      <c r="F8" s="2999">
        <v>70</v>
      </c>
      <c r="G8" s="2999">
        <v>70</v>
      </c>
      <c r="H8" s="2999">
        <v>70</v>
      </c>
      <c r="I8" s="2999">
        <v>60</v>
      </c>
      <c r="J8" s="2999">
        <v>60</v>
      </c>
      <c r="K8" s="2999">
        <v>60</v>
      </c>
      <c r="L8" s="2999">
        <v>60</v>
      </c>
      <c r="M8" s="3000">
        <v>60</v>
      </c>
    </row>
    <row r="9" spans="1:13">
      <c r="A9" s="959" t="s">
        <v>2762</v>
      </c>
      <c r="B9" s="3001">
        <v>70</v>
      </c>
      <c r="C9" s="3001">
        <v>70</v>
      </c>
      <c r="D9" s="3001">
        <v>60</v>
      </c>
      <c r="E9" s="3001">
        <v>60</v>
      </c>
      <c r="F9" s="3001">
        <v>60</v>
      </c>
      <c r="G9" s="3001">
        <v>60</v>
      </c>
      <c r="H9" s="3001">
        <v>60</v>
      </c>
      <c r="I9" s="3001">
        <v>50</v>
      </c>
      <c r="J9" s="3001">
        <v>50</v>
      </c>
      <c r="K9" s="3001">
        <v>50</v>
      </c>
      <c r="L9" s="3001">
        <v>50</v>
      </c>
      <c r="M9" s="3002">
        <v>50</v>
      </c>
    </row>
    <row r="10" spans="1:13">
      <c r="A10" s="959" t="s">
        <v>2763</v>
      </c>
      <c r="B10" s="3001">
        <v>20</v>
      </c>
      <c r="C10" s="3001">
        <v>20</v>
      </c>
      <c r="D10" s="3001">
        <v>15</v>
      </c>
      <c r="E10" s="3001">
        <v>15</v>
      </c>
      <c r="F10" s="3001">
        <v>15</v>
      </c>
      <c r="G10" s="3001">
        <v>15</v>
      </c>
      <c r="H10" s="3001">
        <v>15</v>
      </c>
      <c r="I10" s="3001">
        <v>10</v>
      </c>
      <c r="J10" s="3001">
        <v>10</v>
      </c>
      <c r="K10" s="3001">
        <v>10</v>
      </c>
      <c r="L10" s="3001">
        <v>10</v>
      </c>
      <c r="M10" s="3002">
        <v>10</v>
      </c>
    </row>
    <row r="11" spans="1:13">
      <c r="A11" s="959" t="s">
        <v>2764</v>
      </c>
      <c r="B11" s="3001">
        <v>30</v>
      </c>
      <c r="C11" s="3001">
        <v>30</v>
      </c>
      <c r="D11" s="3001">
        <v>25</v>
      </c>
      <c r="E11" s="3001">
        <v>25</v>
      </c>
      <c r="F11" s="3001">
        <v>25</v>
      </c>
      <c r="G11" s="3001">
        <v>25</v>
      </c>
      <c r="H11" s="3001">
        <v>25</v>
      </c>
      <c r="I11" s="3001">
        <v>20</v>
      </c>
      <c r="J11" s="3001">
        <v>20</v>
      </c>
      <c r="K11" s="3001">
        <v>20</v>
      </c>
      <c r="L11" s="3001">
        <v>20</v>
      </c>
      <c r="M11" s="3002">
        <v>20</v>
      </c>
    </row>
    <row r="12" spans="1:13">
      <c r="A12" s="959" t="s">
        <v>2765</v>
      </c>
      <c r="B12" s="3001">
        <v>45</v>
      </c>
      <c r="C12" s="3001">
        <v>45</v>
      </c>
      <c r="D12" s="3001">
        <v>40</v>
      </c>
      <c r="E12" s="3001">
        <v>40</v>
      </c>
      <c r="F12" s="3001">
        <v>40</v>
      </c>
      <c r="G12" s="3001">
        <v>40</v>
      </c>
      <c r="H12" s="3001">
        <v>40</v>
      </c>
      <c r="I12" s="3001">
        <v>35</v>
      </c>
      <c r="J12" s="3001">
        <v>35</v>
      </c>
      <c r="K12" s="3001">
        <v>35</v>
      </c>
      <c r="L12" s="3001">
        <v>35</v>
      </c>
      <c r="M12" s="3002">
        <v>35</v>
      </c>
    </row>
    <row r="13" spans="1:13">
      <c r="A13" s="959" t="s">
        <v>2766</v>
      </c>
      <c r="B13" s="3001">
        <v>60</v>
      </c>
      <c r="C13" s="3001">
        <v>60</v>
      </c>
      <c r="D13" s="3001">
        <v>50</v>
      </c>
      <c r="E13" s="3001">
        <v>50</v>
      </c>
      <c r="F13" s="3001">
        <v>50</v>
      </c>
      <c r="G13" s="3001">
        <v>50</v>
      </c>
      <c r="H13" s="3001">
        <v>50</v>
      </c>
      <c r="I13" s="3001">
        <v>40</v>
      </c>
      <c r="J13" s="3001">
        <v>40</v>
      </c>
      <c r="K13" s="3001">
        <v>40</v>
      </c>
      <c r="L13" s="3001">
        <v>40</v>
      </c>
      <c r="M13" s="3002">
        <v>40</v>
      </c>
    </row>
    <row r="14" spans="1:13">
      <c r="A14" s="959" t="s">
        <v>2767</v>
      </c>
      <c r="B14" s="3001">
        <v>50</v>
      </c>
      <c r="C14" s="3001">
        <v>50</v>
      </c>
      <c r="D14" s="3001">
        <v>40</v>
      </c>
      <c r="E14" s="3001">
        <v>40</v>
      </c>
      <c r="F14" s="3001">
        <v>40</v>
      </c>
      <c r="G14" s="3001">
        <v>40</v>
      </c>
      <c r="H14" s="3001">
        <v>40</v>
      </c>
      <c r="I14" s="3001">
        <v>30</v>
      </c>
      <c r="J14" s="3001">
        <v>30</v>
      </c>
      <c r="K14" s="3001">
        <v>30</v>
      </c>
      <c r="L14" s="3001">
        <v>30</v>
      </c>
      <c r="M14" s="3002">
        <v>30</v>
      </c>
    </row>
    <row r="15" spans="1:13">
      <c r="A15" s="977" t="s">
        <v>2768</v>
      </c>
      <c r="B15" s="3003">
        <v>20</v>
      </c>
      <c r="C15" s="3003">
        <v>20</v>
      </c>
      <c r="D15" s="3003">
        <v>15</v>
      </c>
      <c r="E15" s="3003">
        <v>15</v>
      </c>
      <c r="F15" s="3003">
        <v>15</v>
      </c>
      <c r="G15" s="3003">
        <v>15</v>
      </c>
      <c r="H15" s="3003">
        <v>15</v>
      </c>
      <c r="I15" s="3003">
        <v>10</v>
      </c>
      <c r="J15" s="3003">
        <v>10</v>
      </c>
      <c r="K15" s="3003">
        <v>10</v>
      </c>
      <c r="L15" s="3003">
        <v>10</v>
      </c>
      <c r="M15" s="3004">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4.25" thickBot="1">
      <c r="A19" s="3003" t="s">
        <v>2451</v>
      </c>
      <c r="B19" s="3005" t="s">
        <v>2452</v>
      </c>
      <c r="C19" s="3006" t="s">
        <v>2453</v>
      </c>
      <c r="D19" s="3007"/>
      <c r="E19" s="3001" t="s">
        <v>2454</v>
      </c>
      <c r="F19" s="982"/>
      <c r="G19" s="982"/>
    </row>
    <row r="20" spans="1:13">
      <c r="A20" s="3655" t="s">
        <v>2445</v>
      </c>
      <c r="B20" s="3658" t="s">
        <v>2455</v>
      </c>
      <c r="C20" s="3008" t="s">
        <v>2456</v>
      </c>
      <c r="D20" s="3009"/>
      <c r="E20" s="3010">
        <v>1</v>
      </c>
      <c r="F20" s="3011" t="s">
        <v>2457</v>
      </c>
      <c r="G20" s="984"/>
    </row>
    <row r="21" spans="1:13">
      <c r="A21" s="3656"/>
      <c r="B21" s="3659"/>
      <c r="C21" s="3012" t="s">
        <v>2458</v>
      </c>
      <c r="D21" s="3013"/>
      <c r="E21" s="3014">
        <v>1</v>
      </c>
      <c r="F21" s="3011" t="s">
        <v>2459</v>
      </c>
      <c r="G21" s="984"/>
    </row>
    <row r="22" spans="1:13">
      <c r="A22" s="3656"/>
      <c r="B22" s="3659"/>
      <c r="C22" s="3012" t="s">
        <v>2460</v>
      </c>
      <c r="D22" s="3013"/>
      <c r="E22" s="3014">
        <v>0.9</v>
      </c>
      <c r="F22" s="3011" t="s">
        <v>2461</v>
      </c>
      <c r="G22" s="984"/>
    </row>
    <row r="23" spans="1:13">
      <c r="A23" s="3656"/>
      <c r="B23" s="3659"/>
      <c r="C23" s="3012" t="s">
        <v>2462</v>
      </c>
      <c r="D23" s="3013"/>
      <c r="E23" s="3014">
        <v>0.9</v>
      </c>
      <c r="F23" s="3011" t="s">
        <v>2463</v>
      </c>
      <c r="G23" s="984"/>
    </row>
    <row r="24" spans="1:13">
      <c r="A24" s="3656"/>
      <c r="B24" s="3659"/>
      <c r="C24" s="3012" t="s">
        <v>2464</v>
      </c>
      <c r="D24" s="3013"/>
      <c r="E24" s="3014">
        <v>0.8</v>
      </c>
      <c r="F24" s="3011" t="s">
        <v>2465</v>
      </c>
      <c r="G24" s="984"/>
    </row>
    <row r="25" spans="1:13" ht="14.25" thickBot="1">
      <c r="A25" s="3657"/>
      <c r="B25" s="3660"/>
      <c r="C25" s="3015" t="s">
        <v>2466</v>
      </c>
      <c r="D25" s="3016"/>
      <c r="E25" s="3017">
        <v>0.8</v>
      </c>
      <c r="F25" s="3011" t="s">
        <v>2467</v>
      </c>
      <c r="G25" s="984"/>
    </row>
    <row r="26" spans="1:13" ht="14.25" thickBot="1">
      <c r="A26" s="3018" t="s">
        <v>2446</v>
      </c>
      <c r="B26" s="3019" t="s">
        <v>2455</v>
      </c>
      <c r="C26" s="3020" t="s">
        <v>2468</v>
      </c>
      <c r="D26" s="3021"/>
      <c r="E26" s="3022">
        <v>1</v>
      </c>
      <c r="F26" s="3011" t="s">
        <v>2469</v>
      </c>
      <c r="G26" s="984"/>
    </row>
    <row r="27" spans="1:13">
      <c r="A27" s="3661" t="s">
        <v>2450</v>
      </c>
      <c r="B27" s="3658" t="s">
        <v>2450</v>
      </c>
      <c r="C27" s="3008" t="s">
        <v>2470</v>
      </c>
      <c r="D27" s="3009"/>
      <c r="E27" s="3010">
        <v>1</v>
      </c>
      <c r="F27" s="3011" t="s">
        <v>2471</v>
      </c>
      <c r="G27" s="984"/>
    </row>
    <row r="28" spans="1:13">
      <c r="A28" s="3662"/>
      <c r="B28" s="3659"/>
      <c r="C28" s="3012" t="s">
        <v>2472</v>
      </c>
      <c r="D28" s="3013"/>
      <c r="E28" s="3014">
        <v>1</v>
      </c>
      <c r="F28" s="3011" t="s">
        <v>2473</v>
      </c>
      <c r="G28" s="984"/>
    </row>
    <row r="29" spans="1:13">
      <c r="A29" s="3662"/>
      <c r="B29" s="3659"/>
      <c r="C29" s="3012" t="s">
        <v>2474</v>
      </c>
      <c r="D29" s="3013"/>
      <c r="E29" s="3014">
        <v>0.8</v>
      </c>
      <c r="F29" s="3011" t="s">
        <v>2475</v>
      </c>
      <c r="G29" s="984"/>
    </row>
    <row r="30" spans="1:13">
      <c r="A30" s="3662"/>
      <c r="B30" s="3659"/>
      <c r="C30" s="3012" t="s">
        <v>2476</v>
      </c>
      <c r="D30" s="3013"/>
      <c r="E30" s="3014">
        <v>0.8</v>
      </c>
      <c r="F30" s="3011" t="s">
        <v>2477</v>
      </c>
      <c r="G30" s="984"/>
    </row>
    <row r="31" spans="1:13">
      <c r="A31" s="3662"/>
      <c r="B31" s="3659"/>
      <c r="C31" s="3012" t="s">
        <v>2478</v>
      </c>
      <c r="D31" s="3013"/>
      <c r="E31" s="3014">
        <v>0.8</v>
      </c>
      <c r="F31" s="3011" t="s">
        <v>2479</v>
      </c>
      <c r="G31" s="984"/>
    </row>
    <row r="32" spans="1:13">
      <c r="A32" s="3662"/>
      <c r="B32" s="3659"/>
      <c r="C32" s="3012" t="s">
        <v>2480</v>
      </c>
      <c r="D32" s="3013"/>
      <c r="E32" s="3014">
        <v>0.7</v>
      </c>
      <c r="F32" s="3011" t="s">
        <v>2481</v>
      </c>
      <c r="G32" s="984"/>
    </row>
    <row r="33" spans="1:7">
      <c r="A33" s="3662"/>
      <c r="B33" s="3659"/>
      <c r="C33" s="3012" t="s">
        <v>2482</v>
      </c>
      <c r="D33" s="3013"/>
      <c r="E33" s="3014">
        <v>0.8</v>
      </c>
      <c r="F33" s="3011" t="s">
        <v>2483</v>
      </c>
      <c r="G33" s="984"/>
    </row>
    <row r="34" spans="1:7">
      <c r="A34" s="3662"/>
      <c r="B34" s="3659"/>
      <c r="C34" s="3012" t="s">
        <v>2484</v>
      </c>
      <c r="D34" s="3013"/>
      <c r="E34" s="3014">
        <v>0.6</v>
      </c>
      <c r="F34" s="3011" t="s">
        <v>2485</v>
      </c>
      <c r="G34" s="984"/>
    </row>
    <row r="35" spans="1:7">
      <c r="A35" s="3662"/>
      <c r="B35" s="3659"/>
      <c r="C35" s="3012" t="s">
        <v>2486</v>
      </c>
      <c r="D35" s="3013"/>
      <c r="E35" s="3014">
        <v>0.2</v>
      </c>
      <c r="F35" s="3011" t="s">
        <v>2487</v>
      </c>
      <c r="G35" s="984"/>
    </row>
    <row r="36" spans="1:7">
      <c r="A36" s="3662"/>
      <c r="B36" s="3659"/>
      <c r="C36" s="3012" t="s">
        <v>2488</v>
      </c>
      <c r="D36" s="3013"/>
      <c r="E36" s="3014">
        <v>0.2</v>
      </c>
      <c r="F36" s="3011" t="s">
        <v>2489</v>
      </c>
      <c r="G36" s="984"/>
    </row>
    <row r="37" spans="1:7">
      <c r="A37" s="3662"/>
      <c r="B37" s="3664" t="s">
        <v>2490</v>
      </c>
      <c r="C37" s="3012" t="s">
        <v>2491</v>
      </c>
      <c r="D37" s="3013"/>
      <c r="E37" s="3014">
        <v>0.6</v>
      </c>
      <c r="F37" s="3011" t="s">
        <v>2492</v>
      </c>
      <c r="G37" s="984"/>
    </row>
    <row r="38" spans="1:7">
      <c r="A38" s="3662"/>
      <c r="B38" s="3659"/>
      <c r="C38" s="3012" t="s">
        <v>2493</v>
      </c>
      <c r="D38" s="3013"/>
      <c r="E38" s="3014">
        <v>0.6</v>
      </c>
      <c r="F38" s="3011" t="s">
        <v>2494</v>
      </c>
      <c r="G38" s="984"/>
    </row>
    <row r="39" spans="1:7" ht="14.25" thickBot="1">
      <c r="A39" s="3663"/>
      <c r="B39" s="3660"/>
      <c r="C39" s="3015" t="s">
        <v>2495</v>
      </c>
      <c r="D39" s="3016"/>
      <c r="E39" s="3017">
        <v>0.6</v>
      </c>
      <c r="F39" s="3011" t="s">
        <v>2496</v>
      </c>
      <c r="G39" s="984"/>
    </row>
    <row r="40" spans="1:7" ht="14.25" thickBot="1">
      <c r="A40" s="3018" t="s">
        <v>2447</v>
      </c>
      <c r="B40" s="3019" t="s">
        <v>2447</v>
      </c>
      <c r="C40" s="3020" t="s">
        <v>2497</v>
      </c>
      <c r="D40" s="3021"/>
      <c r="E40" s="3022">
        <v>1</v>
      </c>
      <c r="F40" s="3011" t="s">
        <v>2498</v>
      </c>
      <c r="G40" s="984"/>
    </row>
    <row r="41" spans="1:7">
      <c r="A41" s="3655" t="s">
        <v>2448</v>
      </c>
      <c r="B41" s="3658" t="s">
        <v>2499</v>
      </c>
      <c r="C41" s="3008" t="s">
        <v>2500</v>
      </c>
      <c r="D41" s="3009"/>
      <c r="E41" s="3010">
        <v>1</v>
      </c>
      <c r="F41" s="3011" t="s">
        <v>2501</v>
      </c>
      <c r="G41" s="984"/>
    </row>
    <row r="42" spans="1:7">
      <c r="A42" s="3656"/>
      <c r="B42" s="3659"/>
      <c r="C42" s="3012" t="s">
        <v>2502</v>
      </c>
      <c r="D42" s="3013"/>
      <c r="E42" s="3014">
        <v>1</v>
      </c>
      <c r="F42" s="3011" t="s">
        <v>2503</v>
      </c>
      <c r="G42" s="984"/>
    </row>
    <row r="43" spans="1:7">
      <c r="A43" s="3656"/>
      <c r="B43" s="3665"/>
      <c r="C43" s="3012" t="s">
        <v>2504</v>
      </c>
      <c r="D43" s="3013"/>
      <c r="E43" s="3014">
        <v>1.5</v>
      </c>
      <c r="F43" s="3011" t="s">
        <v>2505</v>
      </c>
      <c r="G43" s="984"/>
    </row>
    <row r="44" spans="1:7">
      <c r="A44" s="3656"/>
      <c r="B44" s="3023" t="s">
        <v>2450</v>
      </c>
      <c r="C44" s="3012" t="s">
        <v>2449</v>
      </c>
      <c r="D44" s="3013"/>
      <c r="E44" s="3014">
        <v>2</v>
      </c>
      <c r="F44" s="3011" t="s">
        <v>2506</v>
      </c>
      <c r="G44" s="984"/>
    </row>
    <row r="45" spans="1:7">
      <c r="A45" s="3656"/>
      <c r="B45" s="3664" t="s">
        <v>2507</v>
      </c>
      <c r="C45" s="3012" t="s">
        <v>2508</v>
      </c>
      <c r="D45" s="3013"/>
      <c r="E45" s="3014">
        <v>1</v>
      </c>
      <c r="F45" s="3011" t="s">
        <v>2509</v>
      </c>
      <c r="G45" s="984"/>
    </row>
    <row r="46" spans="1:7">
      <c r="A46" s="3656"/>
      <c r="B46" s="3659"/>
      <c r="C46" s="3012" t="s">
        <v>2510</v>
      </c>
      <c r="D46" s="3013"/>
      <c r="E46" s="3014">
        <v>1</v>
      </c>
      <c r="F46" s="3011" t="s">
        <v>2511</v>
      </c>
      <c r="G46" s="984"/>
    </row>
    <row r="47" spans="1:7">
      <c r="A47" s="3656"/>
      <c r="B47" s="3659"/>
      <c r="C47" s="3012" t="s">
        <v>2512</v>
      </c>
      <c r="D47" s="3013"/>
      <c r="E47" s="3014">
        <v>1</v>
      </c>
      <c r="F47" s="3011" t="s">
        <v>2513</v>
      </c>
      <c r="G47" s="984"/>
    </row>
    <row r="48" spans="1:7">
      <c r="A48" s="3656"/>
      <c r="B48" s="3659"/>
      <c r="C48" s="3012" t="s">
        <v>2514</v>
      </c>
      <c r="D48" s="3013"/>
      <c r="E48" s="3014">
        <v>1</v>
      </c>
      <c r="F48" s="3011" t="s">
        <v>2515</v>
      </c>
      <c r="G48" s="984"/>
    </row>
    <row r="49" spans="1:9">
      <c r="A49" s="3656"/>
      <c r="B49" s="3659"/>
      <c r="C49" s="3012" t="s">
        <v>2516</v>
      </c>
      <c r="D49" s="3013"/>
      <c r="E49" s="3014">
        <v>1</v>
      </c>
      <c r="F49" s="3011" t="s">
        <v>2517</v>
      </c>
      <c r="G49" s="984"/>
    </row>
    <row r="50" spans="1:9">
      <c r="A50" s="3656"/>
      <c r="B50" s="3659"/>
      <c r="C50" s="3012" t="s">
        <v>2518</v>
      </c>
      <c r="D50" s="3013"/>
      <c r="E50" s="3014">
        <v>1</v>
      </c>
      <c r="F50" s="3011" t="s">
        <v>2519</v>
      </c>
      <c r="G50" s="984"/>
    </row>
    <row r="51" spans="1:9" ht="14.25" thickBot="1">
      <c r="A51" s="3657"/>
      <c r="B51" s="3660"/>
      <c r="C51" s="3015" t="s">
        <v>2520</v>
      </c>
      <c r="D51" s="3016"/>
      <c r="E51" s="3017">
        <v>1</v>
      </c>
      <c r="F51" s="3011" t="s">
        <v>2521</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2770</v>
      </c>
      <c r="F56" s="981" t="s">
        <v>2770</v>
      </c>
      <c r="G56" s="981" t="s">
        <v>2770</v>
      </c>
      <c r="I56" s="958"/>
    </row>
    <row r="57" spans="1:9">
      <c r="A57" s="998" t="s">
        <v>836</v>
      </c>
      <c r="B57" s="3001">
        <v>0.7</v>
      </c>
      <c r="C57" s="3001">
        <v>0.4</v>
      </c>
      <c r="D57" s="3001">
        <v>0.3</v>
      </c>
      <c r="E57" s="3007">
        <v>0.3</v>
      </c>
      <c r="F57" s="3001">
        <v>0.3</v>
      </c>
      <c r="G57" s="3001">
        <v>0.2</v>
      </c>
      <c r="I57" s="958"/>
    </row>
    <row r="58" spans="1:9">
      <c r="A58" s="998" t="s">
        <v>837</v>
      </c>
      <c r="B58" s="3001">
        <v>0.7</v>
      </c>
      <c r="C58" s="3001">
        <v>0.4</v>
      </c>
      <c r="D58" s="3001">
        <v>0.3</v>
      </c>
      <c r="E58" s="3001">
        <v>0.3</v>
      </c>
      <c r="F58" s="3001">
        <v>0.3</v>
      </c>
      <c r="G58" s="3001">
        <v>0.2</v>
      </c>
      <c r="I58" s="958"/>
    </row>
    <row r="59" spans="1:9">
      <c r="A59" s="998" t="s">
        <v>838</v>
      </c>
      <c r="B59" s="3001">
        <v>0.6</v>
      </c>
      <c r="C59" s="3001">
        <v>0.3</v>
      </c>
      <c r="D59" s="3001">
        <v>0.25</v>
      </c>
      <c r="E59" s="3001">
        <v>0.25</v>
      </c>
      <c r="F59" s="3001">
        <v>0.25</v>
      </c>
      <c r="G59" s="3001">
        <v>0.15</v>
      </c>
      <c r="I59" s="958"/>
    </row>
    <row r="60" spans="1:9">
      <c r="A60" s="998" t="s">
        <v>839</v>
      </c>
      <c r="B60" s="3001">
        <v>0.6</v>
      </c>
      <c r="C60" s="3001">
        <v>0.3</v>
      </c>
      <c r="D60" s="3001">
        <v>0.25</v>
      </c>
      <c r="E60" s="3001">
        <v>0.25</v>
      </c>
      <c r="F60" s="3001">
        <v>0.25</v>
      </c>
      <c r="G60" s="3001">
        <v>0.15</v>
      </c>
      <c r="I60" s="958"/>
    </row>
    <row r="61" spans="1:9" s="974" customFormat="1">
      <c r="A61" s="998" t="s">
        <v>840</v>
      </c>
      <c r="B61" s="3001">
        <v>0.6</v>
      </c>
      <c r="C61" s="3001">
        <v>0.3</v>
      </c>
      <c r="D61" s="3001">
        <v>0.25</v>
      </c>
      <c r="E61" s="3001">
        <v>0.25</v>
      </c>
      <c r="F61" s="3001">
        <v>0.25</v>
      </c>
      <c r="G61" s="3001">
        <v>0.15</v>
      </c>
    </row>
    <row r="62" spans="1:9" s="974" customFormat="1">
      <c r="A62" s="998" t="s">
        <v>841</v>
      </c>
      <c r="B62" s="3001">
        <v>0.6</v>
      </c>
      <c r="C62" s="3001">
        <v>0.3</v>
      </c>
      <c r="D62" s="3001">
        <v>0.25</v>
      </c>
      <c r="E62" s="3001">
        <v>0.25</v>
      </c>
      <c r="F62" s="3001">
        <v>0.25</v>
      </c>
      <c r="G62" s="3001">
        <v>0.15</v>
      </c>
    </row>
    <row r="63" spans="1:9" s="974" customFormat="1">
      <c r="A63" s="998" t="s">
        <v>842</v>
      </c>
      <c r="B63" s="3001">
        <v>0.6</v>
      </c>
      <c r="C63" s="3001">
        <v>0.3</v>
      </c>
      <c r="D63" s="3001">
        <v>0.25</v>
      </c>
      <c r="E63" s="3001">
        <v>0.25</v>
      </c>
      <c r="F63" s="3001">
        <v>0.25</v>
      </c>
      <c r="G63" s="3001">
        <v>0.15</v>
      </c>
    </row>
    <row r="64" spans="1:9" s="974" customFormat="1">
      <c r="A64" s="998" t="s">
        <v>843</v>
      </c>
      <c r="B64" s="3001">
        <v>0.5</v>
      </c>
      <c r="C64" s="3001">
        <v>0.2</v>
      </c>
      <c r="D64" s="3001">
        <v>0.2</v>
      </c>
      <c r="E64" s="3001">
        <v>0.2</v>
      </c>
      <c r="F64" s="3001">
        <v>0.2</v>
      </c>
      <c r="G64" s="3001">
        <v>0.1</v>
      </c>
    </row>
    <row r="65" spans="1:8" s="974" customFormat="1">
      <c r="A65" s="998" t="s">
        <v>844</v>
      </c>
      <c r="B65" s="3001">
        <v>0.5</v>
      </c>
      <c r="C65" s="3001">
        <v>0.2</v>
      </c>
      <c r="D65" s="3001">
        <v>0.2</v>
      </c>
      <c r="E65" s="3001">
        <v>0.2</v>
      </c>
      <c r="F65" s="3001">
        <v>0.2</v>
      </c>
      <c r="G65" s="3001">
        <v>0.1</v>
      </c>
    </row>
    <row r="66" spans="1:8" s="974" customFormat="1">
      <c r="A66" s="998" t="s">
        <v>845</v>
      </c>
      <c r="B66" s="3001">
        <v>0.5</v>
      </c>
      <c r="C66" s="3001">
        <v>0.2</v>
      </c>
      <c r="D66" s="3001">
        <v>0.2</v>
      </c>
      <c r="E66" s="3001">
        <v>0.2</v>
      </c>
      <c r="F66" s="3001">
        <v>0.2</v>
      </c>
      <c r="G66" s="3001">
        <v>0.1</v>
      </c>
    </row>
    <row r="67" spans="1:8" s="974" customFormat="1">
      <c r="A67" s="998" t="s">
        <v>846</v>
      </c>
      <c r="B67" s="3001">
        <v>0.5</v>
      </c>
      <c r="C67" s="3001">
        <v>0.2</v>
      </c>
      <c r="D67" s="3001">
        <v>0.2</v>
      </c>
      <c r="E67" s="3001">
        <v>0.2</v>
      </c>
      <c r="F67" s="3001">
        <v>0.2</v>
      </c>
      <c r="G67" s="3001">
        <v>0.1</v>
      </c>
    </row>
    <row r="68" spans="1:8" s="974" customFormat="1">
      <c r="A68" s="998" t="s">
        <v>847</v>
      </c>
      <c r="B68" s="3001">
        <v>0.5</v>
      </c>
      <c r="C68" s="3001">
        <v>0.2</v>
      </c>
      <c r="D68" s="3001">
        <v>0.2</v>
      </c>
      <c r="E68" s="3001">
        <v>0.2</v>
      </c>
      <c r="F68" s="3001">
        <v>0.2</v>
      </c>
      <c r="G68" s="3001">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2522</v>
      </c>
      <c r="D72" s="1000"/>
      <c r="E72" s="988" t="s">
        <v>1159</v>
      </c>
      <c r="F72" s="1000" t="s">
        <v>1159</v>
      </c>
    </row>
    <row r="73" spans="1:8" s="974" customFormat="1">
      <c r="A73" s="3023">
        <v>1</v>
      </c>
      <c r="B73" s="3664" t="s">
        <v>2523</v>
      </c>
      <c r="C73" s="3001" t="s">
        <v>2524</v>
      </c>
      <c r="D73" s="3001" t="s">
        <v>2525</v>
      </c>
      <c r="E73" s="3024">
        <v>0.2</v>
      </c>
      <c r="F73" s="3023">
        <v>25</v>
      </c>
      <c r="H73" s="974">
        <f>SUMIF(C71:C139,基准地价!C8,E71:E139)</f>
        <v>0</v>
      </c>
    </row>
    <row r="74" spans="1:8" s="974" customFormat="1" ht="24">
      <c r="A74" s="3023">
        <v>2</v>
      </c>
      <c r="B74" s="3659"/>
      <c r="C74" s="3001" t="s">
        <v>2526</v>
      </c>
      <c r="D74" s="3001" t="s">
        <v>2527</v>
      </c>
      <c r="E74" s="3024">
        <v>0.2</v>
      </c>
      <c r="F74" s="3023">
        <v>25</v>
      </c>
    </row>
    <row r="75" spans="1:8" s="974" customFormat="1" ht="24">
      <c r="A75" s="3023">
        <v>3</v>
      </c>
      <c r="B75" s="3659"/>
      <c r="C75" s="3001" t="s">
        <v>2528</v>
      </c>
      <c r="D75" s="3001" t="s">
        <v>2529</v>
      </c>
      <c r="E75" s="3024">
        <v>0.2</v>
      </c>
      <c r="F75" s="3023">
        <v>25</v>
      </c>
    </row>
    <row r="76" spans="1:8" s="974" customFormat="1">
      <c r="A76" s="3023">
        <v>4</v>
      </c>
      <c r="B76" s="3659"/>
      <c r="C76" s="3001" t="s">
        <v>2530</v>
      </c>
      <c r="D76" s="3001" t="s">
        <v>2531</v>
      </c>
      <c r="E76" s="3024">
        <v>0.15</v>
      </c>
      <c r="F76" s="3023">
        <v>20</v>
      </c>
    </row>
    <row r="77" spans="1:8" s="974" customFormat="1" ht="24">
      <c r="A77" s="3023">
        <v>5</v>
      </c>
      <c r="B77" s="3659"/>
      <c r="C77" s="3001" t="s">
        <v>2532</v>
      </c>
      <c r="D77" s="3001" t="s">
        <v>2533</v>
      </c>
      <c r="E77" s="3024">
        <v>0.15</v>
      </c>
      <c r="F77" s="3023">
        <v>20</v>
      </c>
    </row>
    <row r="78" spans="1:8" s="974" customFormat="1" ht="24">
      <c r="A78" s="3023">
        <v>6</v>
      </c>
      <c r="B78" s="3659"/>
      <c r="C78" s="3001" t="s">
        <v>2534</v>
      </c>
      <c r="D78" s="3001" t="s">
        <v>2535</v>
      </c>
      <c r="E78" s="3024">
        <v>0.15</v>
      </c>
      <c r="F78" s="3023">
        <v>20</v>
      </c>
    </row>
    <row r="79" spans="1:8" s="974" customFormat="1" ht="24">
      <c r="A79" s="3023">
        <v>7</v>
      </c>
      <c r="B79" s="3659"/>
      <c r="C79" s="3001" t="s">
        <v>2536</v>
      </c>
      <c r="D79" s="3001" t="s">
        <v>2537</v>
      </c>
      <c r="E79" s="3024">
        <v>0.15</v>
      </c>
      <c r="F79" s="3023">
        <v>20</v>
      </c>
    </row>
    <row r="80" spans="1:8" s="974" customFormat="1" ht="24">
      <c r="A80" s="3023">
        <v>8</v>
      </c>
      <c r="B80" s="3659"/>
      <c r="C80" s="3001" t="s">
        <v>2538</v>
      </c>
      <c r="D80" s="3001" t="s">
        <v>2539</v>
      </c>
      <c r="E80" s="3024">
        <v>0.1</v>
      </c>
      <c r="F80" s="3023">
        <v>15</v>
      </c>
    </row>
    <row r="81" spans="1:6" s="974" customFormat="1" ht="24">
      <c r="A81" s="3023">
        <v>9</v>
      </c>
      <c r="B81" s="3659"/>
      <c r="C81" s="3001" t="s">
        <v>2540</v>
      </c>
      <c r="D81" s="3001" t="s">
        <v>2541</v>
      </c>
      <c r="E81" s="3024">
        <v>0.1</v>
      </c>
      <c r="F81" s="3023">
        <v>15</v>
      </c>
    </row>
    <row r="82" spans="1:6" s="974" customFormat="1" ht="24">
      <c r="A82" s="3023">
        <v>10</v>
      </c>
      <c r="B82" s="3659"/>
      <c r="C82" s="3001" t="s">
        <v>2542</v>
      </c>
      <c r="D82" s="3001" t="s">
        <v>2543</v>
      </c>
      <c r="E82" s="3024">
        <v>0.1</v>
      </c>
      <c r="F82" s="3023">
        <v>15</v>
      </c>
    </row>
    <row r="83" spans="1:6" s="974" customFormat="1" ht="24">
      <c r="A83" s="3023">
        <v>11</v>
      </c>
      <c r="B83" s="3659"/>
      <c r="C83" s="3001" t="s">
        <v>2544</v>
      </c>
      <c r="D83" s="3001" t="s">
        <v>2545</v>
      </c>
      <c r="E83" s="3024">
        <v>0.1</v>
      </c>
      <c r="F83" s="3023">
        <v>15</v>
      </c>
    </row>
    <row r="84" spans="1:6" s="974" customFormat="1" ht="24">
      <c r="A84" s="3023">
        <v>12</v>
      </c>
      <c r="B84" s="3659"/>
      <c r="C84" s="3001" t="s">
        <v>2546</v>
      </c>
      <c r="D84" s="3001" t="s">
        <v>2547</v>
      </c>
      <c r="E84" s="3024">
        <v>0.1</v>
      </c>
      <c r="F84" s="3023">
        <v>15</v>
      </c>
    </row>
    <row r="85" spans="1:6" s="974" customFormat="1">
      <c r="A85" s="3023">
        <v>13</v>
      </c>
      <c r="B85" s="3659"/>
      <c r="C85" s="3001" t="s">
        <v>2548</v>
      </c>
      <c r="D85" s="3001" t="s">
        <v>2549</v>
      </c>
      <c r="E85" s="3024">
        <v>0.1</v>
      </c>
      <c r="F85" s="3023">
        <v>15</v>
      </c>
    </row>
    <row r="86" spans="1:6" s="974" customFormat="1">
      <c r="A86" s="3023">
        <v>14</v>
      </c>
      <c r="B86" s="3659"/>
      <c r="C86" s="3001" t="s">
        <v>2550</v>
      </c>
      <c r="D86" s="3001" t="s">
        <v>2551</v>
      </c>
      <c r="E86" s="3024">
        <v>0.1</v>
      </c>
      <c r="F86" s="3023">
        <v>15</v>
      </c>
    </row>
    <row r="87" spans="1:6" s="974" customFormat="1">
      <c r="A87" s="3023">
        <v>15</v>
      </c>
      <c r="B87" s="3659"/>
      <c r="C87" s="3001" t="s">
        <v>2552</v>
      </c>
      <c r="D87" s="3001" t="s">
        <v>2553</v>
      </c>
      <c r="E87" s="3024">
        <v>0.1</v>
      </c>
      <c r="F87" s="3023">
        <v>15</v>
      </c>
    </row>
    <row r="88" spans="1:6" s="974" customFormat="1" ht="24">
      <c r="A88" s="3023">
        <v>16</v>
      </c>
      <c r="B88" s="3659"/>
      <c r="C88" s="3001" t="s">
        <v>2554</v>
      </c>
      <c r="D88" s="3001" t="s">
        <v>2555</v>
      </c>
      <c r="E88" s="3024">
        <v>0.1</v>
      </c>
      <c r="F88" s="3023">
        <v>15</v>
      </c>
    </row>
    <row r="89" spans="1:6" s="974" customFormat="1" ht="24">
      <c r="A89" s="3023">
        <v>17</v>
      </c>
      <c r="B89" s="3665"/>
      <c r="C89" s="3001" t="s">
        <v>2556</v>
      </c>
      <c r="D89" s="3001" t="s">
        <v>2557</v>
      </c>
      <c r="E89" s="3024">
        <v>0.1</v>
      </c>
      <c r="F89" s="3023">
        <v>15</v>
      </c>
    </row>
    <row r="90" spans="1:6" s="974" customFormat="1">
      <c r="A90" s="3023">
        <v>18</v>
      </c>
      <c r="B90" s="3664" t="s">
        <v>2558</v>
      </c>
      <c r="C90" s="3001" t="s">
        <v>2559</v>
      </c>
      <c r="D90" s="3001" t="s">
        <v>2560</v>
      </c>
      <c r="E90" s="3024">
        <v>0.2</v>
      </c>
      <c r="F90" s="3023">
        <v>25</v>
      </c>
    </row>
    <row r="91" spans="1:6" s="974" customFormat="1" ht="24">
      <c r="A91" s="3023">
        <v>19</v>
      </c>
      <c r="B91" s="3659"/>
      <c r="C91" s="3001" t="s">
        <v>2561</v>
      </c>
      <c r="D91" s="3001" t="s">
        <v>2562</v>
      </c>
      <c r="E91" s="3024">
        <v>0.2</v>
      </c>
      <c r="F91" s="3023">
        <v>25</v>
      </c>
    </row>
    <row r="92" spans="1:6" s="974" customFormat="1">
      <c r="A92" s="3023">
        <v>20</v>
      </c>
      <c r="B92" s="3659"/>
      <c r="C92" s="3001" t="s">
        <v>2563</v>
      </c>
      <c r="D92" s="3001" t="s">
        <v>2564</v>
      </c>
      <c r="E92" s="3024">
        <v>0.15</v>
      </c>
      <c r="F92" s="3023">
        <v>20</v>
      </c>
    </row>
    <row r="93" spans="1:6" s="974" customFormat="1" ht="24">
      <c r="A93" s="3023">
        <v>21</v>
      </c>
      <c r="B93" s="3659"/>
      <c r="C93" s="3001" t="s">
        <v>2565</v>
      </c>
      <c r="D93" s="3001" t="s">
        <v>2566</v>
      </c>
      <c r="E93" s="3024">
        <v>0.15</v>
      </c>
      <c r="F93" s="3023">
        <v>20</v>
      </c>
    </row>
    <row r="94" spans="1:6" s="974" customFormat="1" ht="24">
      <c r="A94" s="3023">
        <v>22</v>
      </c>
      <c r="B94" s="3659"/>
      <c r="C94" s="3001" t="s">
        <v>2567</v>
      </c>
      <c r="D94" s="3001" t="s">
        <v>2568</v>
      </c>
      <c r="E94" s="3024">
        <v>0.15</v>
      </c>
      <c r="F94" s="3023">
        <v>20</v>
      </c>
    </row>
    <row r="95" spans="1:6" s="974" customFormat="1" ht="36">
      <c r="A95" s="3023">
        <v>23</v>
      </c>
      <c r="B95" s="3659"/>
      <c r="C95" s="3001" t="s">
        <v>2569</v>
      </c>
      <c r="D95" s="3001" t="s">
        <v>2570</v>
      </c>
      <c r="E95" s="3024">
        <v>0.15</v>
      </c>
      <c r="F95" s="3023">
        <v>20</v>
      </c>
    </row>
    <row r="96" spans="1:6" s="974" customFormat="1">
      <c r="A96" s="3023">
        <v>24</v>
      </c>
      <c r="B96" s="3659"/>
      <c r="C96" s="3001" t="s">
        <v>2571</v>
      </c>
      <c r="D96" s="3001" t="s">
        <v>2572</v>
      </c>
      <c r="E96" s="3024">
        <v>0.1</v>
      </c>
      <c r="F96" s="3023">
        <v>15</v>
      </c>
    </row>
    <row r="97" spans="1:6" s="974" customFormat="1" ht="24">
      <c r="A97" s="3023">
        <v>25</v>
      </c>
      <c r="B97" s="3659"/>
      <c r="C97" s="3001" t="s">
        <v>2573</v>
      </c>
      <c r="D97" s="3001" t="s">
        <v>2574</v>
      </c>
      <c r="E97" s="3024">
        <v>0.1</v>
      </c>
      <c r="F97" s="3023">
        <v>15</v>
      </c>
    </row>
    <row r="98" spans="1:6" s="974" customFormat="1" ht="24">
      <c r="A98" s="3023">
        <v>26</v>
      </c>
      <c r="B98" s="3659"/>
      <c r="C98" s="3001" t="s">
        <v>2575</v>
      </c>
      <c r="D98" s="3001" t="s">
        <v>2576</v>
      </c>
      <c r="E98" s="3024">
        <v>0.1</v>
      </c>
      <c r="F98" s="3023">
        <v>15</v>
      </c>
    </row>
    <row r="99" spans="1:6" s="974" customFormat="1" ht="24">
      <c r="A99" s="3023">
        <v>27</v>
      </c>
      <c r="B99" s="3659"/>
      <c r="C99" s="3001" t="s">
        <v>2577</v>
      </c>
      <c r="D99" s="3001" t="s">
        <v>2578</v>
      </c>
      <c r="E99" s="3024">
        <v>0.1</v>
      </c>
      <c r="F99" s="3023">
        <v>15</v>
      </c>
    </row>
    <row r="100" spans="1:6" s="974" customFormat="1" ht="24">
      <c r="A100" s="3023">
        <v>28</v>
      </c>
      <c r="B100" s="3659"/>
      <c r="C100" s="3001" t="s">
        <v>2579</v>
      </c>
      <c r="D100" s="3001" t="s">
        <v>2580</v>
      </c>
      <c r="E100" s="3024">
        <v>0.1</v>
      </c>
      <c r="F100" s="3023">
        <v>15</v>
      </c>
    </row>
    <row r="101" spans="1:6" s="974" customFormat="1" ht="24">
      <c r="A101" s="3023">
        <v>29</v>
      </c>
      <c r="B101" s="3659"/>
      <c r="C101" s="3001" t="s">
        <v>2581</v>
      </c>
      <c r="D101" s="3001" t="s">
        <v>2582</v>
      </c>
      <c r="E101" s="3024">
        <v>0.1</v>
      </c>
      <c r="F101" s="3023">
        <v>15</v>
      </c>
    </row>
    <row r="102" spans="1:6" s="974" customFormat="1" ht="24">
      <c r="A102" s="3023">
        <v>30</v>
      </c>
      <c r="B102" s="3659"/>
      <c r="C102" s="3001" t="s">
        <v>2583</v>
      </c>
      <c r="D102" s="3001" t="s">
        <v>2584</v>
      </c>
      <c r="E102" s="3024">
        <v>0.1</v>
      </c>
      <c r="F102" s="3023">
        <v>15</v>
      </c>
    </row>
    <row r="103" spans="1:6" s="974" customFormat="1" ht="24">
      <c r="A103" s="3023">
        <v>31</v>
      </c>
      <c r="B103" s="3659"/>
      <c r="C103" s="3001" t="s">
        <v>2585</v>
      </c>
      <c r="D103" s="3001" t="s">
        <v>2586</v>
      </c>
      <c r="E103" s="3024">
        <v>0.1</v>
      </c>
      <c r="F103" s="3023">
        <v>15</v>
      </c>
    </row>
    <row r="104" spans="1:6" s="974" customFormat="1" ht="24">
      <c r="A104" s="3023">
        <v>32</v>
      </c>
      <c r="B104" s="3659"/>
      <c r="C104" s="3001" t="s">
        <v>2587</v>
      </c>
      <c r="D104" s="3001" t="s">
        <v>2588</v>
      </c>
      <c r="E104" s="3024">
        <v>0.1</v>
      </c>
      <c r="F104" s="3023">
        <v>15</v>
      </c>
    </row>
    <row r="105" spans="1:6" s="974" customFormat="1" ht="24">
      <c r="A105" s="3023">
        <v>33</v>
      </c>
      <c r="B105" s="3659"/>
      <c r="C105" s="3001" t="s">
        <v>2589</v>
      </c>
      <c r="D105" s="3001" t="s">
        <v>2590</v>
      </c>
      <c r="E105" s="3024">
        <v>0.1</v>
      </c>
      <c r="F105" s="3023">
        <v>15</v>
      </c>
    </row>
    <row r="106" spans="1:6" s="974" customFormat="1" ht="24">
      <c r="A106" s="3023">
        <v>34</v>
      </c>
      <c r="B106" s="3665"/>
      <c r="C106" s="3001" t="s">
        <v>2591</v>
      </c>
      <c r="D106" s="3001" t="s">
        <v>2592</v>
      </c>
      <c r="E106" s="3024">
        <v>0.1</v>
      </c>
      <c r="F106" s="3023">
        <v>15</v>
      </c>
    </row>
    <row r="107" spans="1:6" s="974" customFormat="1" ht="24">
      <c r="A107" s="3023">
        <v>35</v>
      </c>
      <c r="B107" s="3664" t="s">
        <v>2593</v>
      </c>
      <c r="C107" s="3023" t="s">
        <v>2594</v>
      </c>
      <c r="D107" s="3001" t="s">
        <v>2595</v>
      </c>
      <c r="E107" s="3024">
        <v>0.15</v>
      </c>
      <c r="F107" s="3023">
        <v>20</v>
      </c>
    </row>
    <row r="108" spans="1:6" s="974" customFormat="1" ht="24">
      <c r="A108" s="3023">
        <v>36</v>
      </c>
      <c r="B108" s="3659"/>
      <c r="C108" s="3023" t="s">
        <v>2596</v>
      </c>
      <c r="D108" s="3001" t="s">
        <v>2597</v>
      </c>
      <c r="E108" s="3024">
        <v>0.15</v>
      </c>
      <c r="F108" s="3023">
        <v>20</v>
      </c>
    </row>
    <row r="109" spans="1:6" s="974" customFormat="1" ht="24">
      <c r="A109" s="3023">
        <v>37</v>
      </c>
      <c r="B109" s="3659"/>
      <c r="C109" s="3023" t="s">
        <v>2598</v>
      </c>
      <c r="D109" s="3001" t="s">
        <v>2599</v>
      </c>
      <c r="E109" s="3024">
        <v>0.15</v>
      </c>
      <c r="F109" s="3023">
        <v>20</v>
      </c>
    </row>
    <row r="110" spans="1:6" s="974" customFormat="1">
      <c r="A110" s="3023">
        <v>38</v>
      </c>
      <c r="B110" s="3659"/>
      <c r="C110" s="3023" t="s">
        <v>2600</v>
      </c>
      <c r="D110" s="3001" t="s">
        <v>2601</v>
      </c>
      <c r="E110" s="3024">
        <v>0.1</v>
      </c>
      <c r="F110" s="3023">
        <v>15</v>
      </c>
    </row>
    <row r="111" spans="1:6" s="974" customFormat="1" ht="24">
      <c r="A111" s="3023">
        <v>39</v>
      </c>
      <c r="B111" s="3659"/>
      <c r="C111" s="3023" t="s">
        <v>2602</v>
      </c>
      <c r="D111" s="3001" t="s">
        <v>2603</v>
      </c>
      <c r="E111" s="3024">
        <v>0.1</v>
      </c>
      <c r="F111" s="3023">
        <v>15</v>
      </c>
    </row>
    <row r="112" spans="1:6" s="974" customFormat="1" ht="24">
      <c r="A112" s="3023">
        <v>40</v>
      </c>
      <c r="B112" s="3665"/>
      <c r="C112" s="3023" t="s">
        <v>2604</v>
      </c>
      <c r="D112" s="3001" t="s">
        <v>2605</v>
      </c>
      <c r="E112" s="3024">
        <v>0.1</v>
      </c>
      <c r="F112" s="3023">
        <v>15</v>
      </c>
    </row>
    <row r="113" spans="1:6" s="974" customFormat="1" ht="24">
      <c r="A113" s="3023">
        <v>41</v>
      </c>
      <c r="B113" s="3666" t="s">
        <v>2606</v>
      </c>
      <c r="C113" s="3023" t="s">
        <v>2607</v>
      </c>
      <c r="D113" s="3001" t="s">
        <v>2608</v>
      </c>
      <c r="E113" s="3024">
        <v>0.1</v>
      </c>
      <c r="F113" s="3023">
        <v>15</v>
      </c>
    </row>
    <row r="114" spans="1:6" s="974" customFormat="1">
      <c r="A114" s="3023">
        <v>42</v>
      </c>
      <c r="B114" s="3666"/>
      <c r="C114" s="3023" t="s">
        <v>2609</v>
      </c>
      <c r="D114" s="3001" t="s">
        <v>2610</v>
      </c>
      <c r="E114" s="3024">
        <v>0.1</v>
      </c>
      <c r="F114" s="3023">
        <v>15</v>
      </c>
    </row>
    <row r="115" spans="1:6" s="974" customFormat="1" ht="24">
      <c r="A115" s="3023">
        <v>43</v>
      </c>
      <c r="B115" s="3666"/>
      <c r="C115" s="3023" t="s">
        <v>2611</v>
      </c>
      <c r="D115" s="3001" t="s">
        <v>2612</v>
      </c>
      <c r="E115" s="3024">
        <v>0.1</v>
      </c>
      <c r="F115" s="3023">
        <v>15</v>
      </c>
    </row>
    <row r="116" spans="1:6" s="974" customFormat="1" ht="24">
      <c r="A116" s="3023">
        <v>44</v>
      </c>
      <c r="B116" s="3664" t="s">
        <v>2613</v>
      </c>
      <c r="C116" s="3023" t="s">
        <v>2614</v>
      </c>
      <c r="D116" s="3001" t="s">
        <v>2615</v>
      </c>
      <c r="E116" s="3024">
        <v>0.1</v>
      </c>
      <c r="F116" s="3023">
        <v>15</v>
      </c>
    </row>
    <row r="117" spans="1:6" s="974" customFormat="1" ht="24">
      <c r="A117" s="3023">
        <v>45</v>
      </c>
      <c r="B117" s="3665"/>
      <c r="C117" s="3001" t="s">
        <v>2616</v>
      </c>
      <c r="D117" s="3001" t="s">
        <v>2617</v>
      </c>
      <c r="E117" s="3024">
        <v>0.1</v>
      </c>
      <c r="F117" s="3023">
        <v>15</v>
      </c>
    </row>
    <row r="118" spans="1:6" s="974" customFormat="1" ht="24">
      <c r="A118" s="3023">
        <v>46</v>
      </c>
      <c r="B118" s="3664" t="s">
        <v>2618</v>
      </c>
      <c r="C118" s="3023" t="s">
        <v>2619</v>
      </c>
      <c r="D118" s="3001" t="s">
        <v>2620</v>
      </c>
      <c r="E118" s="3024">
        <v>0.1</v>
      </c>
      <c r="F118" s="3023">
        <v>15</v>
      </c>
    </row>
    <row r="119" spans="1:6" s="974" customFormat="1" ht="24">
      <c r="A119" s="3023">
        <v>47</v>
      </c>
      <c r="B119" s="3665"/>
      <c r="C119" s="3023" t="s">
        <v>2621</v>
      </c>
      <c r="D119" s="3001" t="s">
        <v>2622</v>
      </c>
      <c r="E119" s="3024">
        <v>0.1</v>
      </c>
      <c r="F119" s="3023">
        <v>15</v>
      </c>
    </row>
    <row r="120" spans="1:6" s="974" customFormat="1" ht="24">
      <c r="A120" s="3023">
        <v>48</v>
      </c>
      <c r="B120" s="3664" t="s">
        <v>2623</v>
      </c>
      <c r="C120" s="3023" t="s">
        <v>2624</v>
      </c>
      <c r="D120" s="3001" t="s">
        <v>2625</v>
      </c>
      <c r="E120" s="3024">
        <v>0.1</v>
      </c>
      <c r="F120" s="3023">
        <v>15</v>
      </c>
    </row>
    <row r="121" spans="1:6" s="974" customFormat="1">
      <c r="A121" s="3023">
        <v>49</v>
      </c>
      <c r="B121" s="3665"/>
      <c r="C121" s="3023" t="s">
        <v>2626</v>
      </c>
      <c r="D121" s="3001" t="s">
        <v>2627</v>
      </c>
      <c r="E121" s="3024">
        <v>0.1</v>
      </c>
      <c r="F121" s="3023">
        <v>15</v>
      </c>
    </row>
    <row r="122" spans="1:6" s="974" customFormat="1" ht="24">
      <c r="A122" s="3023">
        <v>50</v>
      </c>
      <c r="B122" s="3666" t="s">
        <v>2628</v>
      </c>
      <c r="C122" s="3023" t="s">
        <v>2629</v>
      </c>
      <c r="D122" s="3001" t="s">
        <v>2630</v>
      </c>
      <c r="E122" s="3024">
        <v>0.1</v>
      </c>
      <c r="F122" s="3023">
        <v>15</v>
      </c>
    </row>
    <row r="123" spans="1:6" s="974" customFormat="1" ht="24">
      <c r="A123" s="3023">
        <v>51</v>
      </c>
      <c r="B123" s="3666"/>
      <c r="C123" s="3023" t="s">
        <v>2631</v>
      </c>
      <c r="D123" s="3001" t="s">
        <v>2632</v>
      </c>
      <c r="E123" s="3024">
        <v>0.1</v>
      </c>
      <c r="F123" s="3023">
        <v>15</v>
      </c>
    </row>
    <row r="124" spans="1:6" s="974" customFormat="1" ht="24">
      <c r="A124" s="3023">
        <v>52</v>
      </c>
      <c r="B124" s="3666" t="s">
        <v>2633</v>
      </c>
      <c r="C124" s="3023" t="s">
        <v>2634</v>
      </c>
      <c r="D124" s="3001" t="s">
        <v>2635</v>
      </c>
      <c r="E124" s="3024">
        <v>0.1</v>
      </c>
      <c r="F124" s="3023">
        <v>15</v>
      </c>
    </row>
    <row r="125" spans="1:6" s="974" customFormat="1" ht="24">
      <c r="A125" s="3023">
        <v>53</v>
      </c>
      <c r="B125" s="3666"/>
      <c r="C125" s="3023" t="s">
        <v>2636</v>
      </c>
      <c r="D125" s="3001" t="s">
        <v>2637</v>
      </c>
      <c r="E125" s="3024">
        <v>0.1</v>
      </c>
      <c r="F125" s="3023">
        <v>15</v>
      </c>
    </row>
    <row r="126" spans="1:6" ht="24">
      <c r="A126" s="3023">
        <v>54</v>
      </c>
      <c r="B126" s="3023" t="s">
        <v>2638</v>
      </c>
      <c r="C126" s="3023" t="s">
        <v>2639</v>
      </c>
      <c r="D126" s="3001" t="s">
        <v>2640</v>
      </c>
      <c r="E126" s="3024">
        <v>0.1</v>
      </c>
      <c r="F126" s="3023">
        <v>15</v>
      </c>
    </row>
    <row r="127" spans="1:6">
      <c r="A127" s="3023">
        <v>55</v>
      </c>
      <c r="B127" s="3666" t="s">
        <v>2641</v>
      </c>
      <c r="C127" s="3023" t="s">
        <v>2642</v>
      </c>
      <c r="D127" s="3001" t="s">
        <v>2643</v>
      </c>
      <c r="E127" s="3024">
        <v>0.1</v>
      </c>
      <c r="F127" s="3023">
        <v>15</v>
      </c>
    </row>
    <row r="128" spans="1:6">
      <c r="A128" s="3023">
        <v>56</v>
      </c>
      <c r="B128" s="3666"/>
      <c r="C128" s="3023" t="s">
        <v>2644</v>
      </c>
      <c r="D128" s="3001" t="s">
        <v>2645</v>
      </c>
      <c r="E128" s="3024">
        <v>0.1</v>
      </c>
      <c r="F128" s="3023">
        <v>15</v>
      </c>
    </row>
    <row r="129" spans="1:14" ht="24">
      <c r="A129" s="3023">
        <v>57</v>
      </c>
      <c r="B129" s="3666"/>
      <c r="C129" s="3023" t="s">
        <v>2646</v>
      </c>
      <c r="D129" s="3001" t="s">
        <v>2647</v>
      </c>
      <c r="E129" s="3024">
        <v>0.1</v>
      </c>
      <c r="F129" s="3023">
        <v>15</v>
      </c>
    </row>
    <row r="130" spans="1:14" ht="24">
      <c r="A130" s="3023">
        <v>58</v>
      </c>
      <c r="B130" s="3666" t="s">
        <v>2648</v>
      </c>
      <c r="C130" s="3023" t="s">
        <v>2649</v>
      </c>
      <c r="D130" s="3001" t="s">
        <v>2650</v>
      </c>
      <c r="E130" s="3024">
        <v>0.1</v>
      </c>
      <c r="F130" s="3023">
        <v>15</v>
      </c>
    </row>
    <row r="131" spans="1:14" ht="24">
      <c r="A131" s="3023">
        <v>59</v>
      </c>
      <c r="B131" s="3666"/>
      <c r="C131" s="3023" t="s">
        <v>2651</v>
      </c>
      <c r="D131" s="3001" t="s">
        <v>2652</v>
      </c>
      <c r="E131" s="3024">
        <v>0.1</v>
      </c>
      <c r="F131" s="3023">
        <v>15</v>
      </c>
    </row>
    <row r="132" spans="1:14" ht="24">
      <c r="A132" s="3023">
        <v>60</v>
      </c>
      <c r="B132" s="3664" t="s">
        <v>2653</v>
      </c>
      <c r="C132" s="3023" t="s">
        <v>2654</v>
      </c>
      <c r="D132" s="3001" t="s">
        <v>2655</v>
      </c>
      <c r="E132" s="3024">
        <v>0.1</v>
      </c>
      <c r="F132" s="3023">
        <v>15</v>
      </c>
    </row>
    <row r="133" spans="1:14" ht="24">
      <c r="A133" s="3023">
        <v>61</v>
      </c>
      <c r="B133" s="3665"/>
      <c r="C133" s="3023" t="s">
        <v>2656</v>
      </c>
      <c r="D133" s="3001" t="s">
        <v>2657</v>
      </c>
      <c r="E133" s="3024">
        <v>0.1</v>
      </c>
      <c r="F133" s="3023">
        <v>15</v>
      </c>
    </row>
    <row r="134" spans="1:14" ht="24">
      <c r="A134" s="3023">
        <v>62</v>
      </c>
      <c r="B134" s="3023" t="s">
        <v>2658</v>
      </c>
      <c r="C134" s="3023" t="s">
        <v>2659</v>
      </c>
      <c r="D134" s="3001" t="s">
        <v>2660</v>
      </c>
      <c r="E134" s="3024">
        <v>0.1</v>
      </c>
      <c r="F134" s="3023">
        <v>15</v>
      </c>
    </row>
    <row r="135" spans="1:14" ht="24">
      <c r="A135" s="3023">
        <v>63</v>
      </c>
      <c r="B135" s="3666" t="s">
        <v>2661</v>
      </c>
      <c r="C135" s="3023" t="s">
        <v>2662</v>
      </c>
      <c r="D135" s="3001" t="s">
        <v>2663</v>
      </c>
      <c r="E135" s="3024">
        <v>0.1</v>
      </c>
      <c r="F135" s="3023">
        <v>15</v>
      </c>
    </row>
    <row r="136" spans="1:14">
      <c r="A136" s="3023">
        <v>64</v>
      </c>
      <c r="B136" s="3666"/>
      <c r="C136" s="3023" t="s">
        <v>2664</v>
      </c>
      <c r="D136" s="3001" t="s">
        <v>2665</v>
      </c>
      <c r="E136" s="3024">
        <v>0.1</v>
      </c>
      <c r="F136" s="3023">
        <v>15</v>
      </c>
    </row>
    <row r="137" spans="1:14" ht="24">
      <c r="A137" s="3023">
        <v>65</v>
      </c>
      <c r="B137" s="3023" t="s">
        <v>2666</v>
      </c>
      <c r="C137" s="3023" t="s">
        <v>2667</v>
      </c>
      <c r="D137" s="3001" t="s">
        <v>2668</v>
      </c>
      <c r="E137" s="3024">
        <v>0.1</v>
      </c>
      <c r="F137" s="3023">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1"/>
    <col min="9" max="9" width="9" style="958"/>
    <col min="10" max="10" width="17.375" style="3190" customWidth="1"/>
    <col min="11" max="21" width="17.375" style="3165" customWidth="1"/>
    <col min="22" max="16384" width="9" style="958"/>
  </cols>
  <sheetData>
    <row r="1" spans="1:21">
      <c r="A1" s="3667" t="s">
        <v>2809</v>
      </c>
      <c r="B1" s="3667"/>
      <c r="C1" s="3667"/>
      <c r="D1" s="3667"/>
      <c r="E1" s="3667"/>
      <c r="F1" s="3667"/>
      <c r="G1" s="3668"/>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2810</v>
      </c>
      <c r="B2" s="3151"/>
      <c r="C2" s="3151"/>
      <c r="D2" s="3151"/>
      <c r="E2" s="3151"/>
      <c r="F2" s="3151"/>
      <c r="G2" s="3146" t="s">
        <v>2811</v>
      </c>
      <c r="J2" s="3175" t="s">
        <v>2817</v>
      </c>
      <c r="K2" s="3155" t="s">
        <v>2819</v>
      </c>
      <c r="L2" s="3155" t="s">
        <v>2821</v>
      </c>
      <c r="M2" s="3155" t="s">
        <v>2827</v>
      </c>
      <c r="N2" s="3155" t="s">
        <v>2837</v>
      </c>
      <c r="O2" s="3155" t="s">
        <v>2852</v>
      </c>
      <c r="P2" s="3155" t="s">
        <v>2889</v>
      </c>
      <c r="Q2" s="3155" t="s">
        <v>2920</v>
      </c>
      <c r="R2" s="3155" t="s">
        <v>2948</v>
      </c>
      <c r="S2" s="3155" t="s">
        <v>2983</v>
      </c>
      <c r="T2" s="3155" t="s">
        <v>3003</v>
      </c>
      <c r="U2" s="3155" t="s">
        <v>3015</v>
      </c>
    </row>
    <row r="3" spans="1:21" s="962" customFormat="1" ht="19.5" customHeight="1">
      <c r="A3" s="3669" t="s">
        <v>2812</v>
      </c>
      <c r="B3" s="3147"/>
      <c r="C3" s="3148" t="s">
        <v>2789</v>
      </c>
      <c r="D3" s="3148" t="s">
        <v>2813</v>
      </c>
      <c r="E3" s="3148" t="s">
        <v>2791</v>
      </c>
      <c r="F3" s="3148" t="s">
        <v>2814</v>
      </c>
      <c r="G3" s="3148" t="s">
        <v>2733</v>
      </c>
      <c r="H3" s="965"/>
      <c r="J3" s="3175" t="s">
        <v>2818</v>
      </c>
      <c r="K3" s="3155" t="s">
        <v>973</v>
      </c>
      <c r="L3" s="3155" t="s">
        <v>974</v>
      </c>
      <c r="M3" s="3155" t="s">
        <v>975</v>
      </c>
      <c r="N3" s="3155" t="s">
        <v>976</v>
      </c>
      <c r="O3" s="3155" t="s">
        <v>977</v>
      </c>
      <c r="P3" s="3155" t="s">
        <v>978</v>
      </c>
      <c r="Q3" s="3155" t="s">
        <v>979</v>
      </c>
      <c r="R3" s="3155" t="s">
        <v>980</v>
      </c>
      <c r="S3" s="3155" t="s">
        <v>981</v>
      </c>
      <c r="T3" s="3155" t="s">
        <v>3004</v>
      </c>
      <c r="U3" s="3155" t="s">
        <v>3016</v>
      </c>
    </row>
    <row r="4" spans="1:21" s="962" customFormat="1" ht="19.5" customHeight="1" thickBot="1">
      <c r="A4" s="3670"/>
      <c r="B4" s="3149" t="s">
        <v>2815</v>
      </c>
      <c r="C4" s="3149" t="s">
        <v>2816</v>
      </c>
      <c r="D4" s="3149" t="s">
        <v>2816</v>
      </c>
      <c r="E4" s="3149" t="s">
        <v>2816</v>
      </c>
      <c r="F4" s="3150" t="s">
        <v>2816</v>
      </c>
      <c r="G4" s="3150" t="s">
        <v>2816</v>
      </c>
      <c r="H4" s="965"/>
      <c r="J4" s="3175" t="s">
        <v>982</v>
      </c>
      <c r="K4" s="3155" t="s">
        <v>983</v>
      </c>
      <c r="L4" s="3155" t="s">
        <v>984</v>
      </c>
      <c r="M4" s="3155" t="s">
        <v>985</v>
      </c>
      <c r="N4" s="3155" t="s">
        <v>986</v>
      </c>
      <c r="O4" s="3155" t="s">
        <v>987</v>
      </c>
      <c r="P4" s="3155" t="s">
        <v>988</v>
      </c>
      <c r="Q4" s="3155" t="s">
        <v>989</v>
      </c>
      <c r="R4" s="3155" t="s">
        <v>2949</v>
      </c>
      <c r="S4" s="3155" t="s">
        <v>2984</v>
      </c>
      <c r="T4" s="3155" t="s">
        <v>3005</v>
      </c>
      <c r="U4" s="3155" t="s">
        <v>3017</v>
      </c>
    </row>
    <row r="5" spans="1:21" ht="14.25" customHeight="1">
      <c r="A5" s="3152" t="s">
        <v>990</v>
      </c>
      <c r="B5" s="3153" t="s">
        <v>2817</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2950</v>
      </c>
      <c r="S5" s="3155" t="s">
        <v>2985</v>
      </c>
      <c r="T5" s="3155" t="s">
        <v>999</v>
      </c>
      <c r="U5" s="3155" t="s">
        <v>3018</v>
      </c>
    </row>
    <row r="6" spans="1:21" ht="14.25" customHeight="1">
      <c r="A6" s="3155" t="s">
        <v>990</v>
      </c>
      <c r="B6" s="3155" t="s">
        <v>2818</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2921</v>
      </c>
      <c r="R6" s="3155" t="s">
        <v>2951</v>
      </c>
      <c r="S6" s="3155" t="s">
        <v>1008</v>
      </c>
      <c r="T6" s="3155" t="s">
        <v>3006</v>
      </c>
      <c r="U6" s="3155" t="s">
        <v>3019</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2922</v>
      </c>
      <c r="R7" s="3155" t="s">
        <v>2952</v>
      </c>
      <c r="S7" s="3155" t="s">
        <v>2986</v>
      </c>
      <c r="T7" s="3155" t="s">
        <v>3007</v>
      </c>
      <c r="U7" s="1216" t="s">
        <v>3020</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2923</v>
      </c>
      <c r="R8" s="3155" t="s">
        <v>1021</v>
      </c>
      <c r="S8" s="3155" t="s">
        <v>2987</v>
      </c>
      <c r="T8" s="3155" t="s">
        <v>3008</v>
      </c>
      <c r="U8" s="3155" t="s">
        <v>3021</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2924</v>
      </c>
      <c r="R9" s="3155" t="s">
        <v>1029</v>
      </c>
      <c r="S9" s="3155" t="s">
        <v>1030</v>
      </c>
      <c r="T9" s="3155" t="s">
        <v>1047</v>
      </c>
    </row>
    <row r="10" spans="1:21" ht="14.25" customHeight="1">
      <c r="A10" s="3152" t="s">
        <v>1031</v>
      </c>
      <c r="B10" s="3153" t="s">
        <v>2819</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3009</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2890</v>
      </c>
      <c r="Q11" s="3155" t="s">
        <v>1038</v>
      </c>
      <c r="R11" s="3155" t="s">
        <v>1046</v>
      </c>
      <c r="S11" s="3155" t="s">
        <v>2988</v>
      </c>
      <c r="T11" s="3155" t="s">
        <v>3010</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2891</v>
      </c>
      <c r="Q12" s="3155" t="s">
        <v>2925</v>
      </c>
      <c r="R12" s="3155" t="s">
        <v>2953</v>
      </c>
      <c r="S12" s="3155" t="s">
        <v>2989</v>
      </c>
      <c r="T12" s="3155" t="s">
        <v>3011</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2892</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2954</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2893</v>
      </c>
      <c r="Q15" s="3155" t="s">
        <v>2926</v>
      </c>
      <c r="R15" s="3155" t="s">
        <v>1090</v>
      </c>
      <c r="S15" s="3155" t="s">
        <v>2990</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2894</v>
      </c>
      <c r="Q16" s="3155" t="s">
        <v>1075</v>
      </c>
      <c r="R16" s="3155" t="s">
        <v>1098</v>
      </c>
      <c r="S16" s="3155" t="s">
        <v>1054</v>
      </c>
      <c r="T16" s="3155" t="s">
        <v>3012</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2895</v>
      </c>
      <c r="Q17" s="3155" t="s">
        <v>2927</v>
      </c>
      <c r="R17" s="3155" t="s">
        <v>1104</v>
      </c>
      <c r="S17" s="3155" t="s">
        <v>2991</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2896</v>
      </c>
      <c r="Q18" s="3155" t="s">
        <v>1089</v>
      </c>
      <c r="R18" s="3155" t="s">
        <v>2955</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2897</v>
      </c>
      <c r="Q19" s="3155" t="s">
        <v>1097</v>
      </c>
      <c r="R19" s="3155" t="s">
        <v>2956</v>
      </c>
      <c r="S19" s="3155" t="s">
        <v>1113</v>
      </c>
      <c r="T19" s="3155" t="s">
        <v>3013</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2898</v>
      </c>
      <c r="Q20" s="3155" t="s">
        <v>2928</v>
      </c>
      <c r="R20" s="3155" t="s">
        <v>1139</v>
      </c>
      <c r="S20" s="3155" t="s">
        <v>2992</v>
      </c>
      <c r="T20" s="3155" t="s">
        <v>1126</v>
      </c>
    </row>
    <row r="21" spans="1:20" ht="14.25" customHeight="1">
      <c r="A21" s="3155" t="s">
        <v>1031</v>
      </c>
      <c r="B21" s="1216" t="s">
        <v>1055</v>
      </c>
      <c r="C21" s="3155">
        <v>32370</v>
      </c>
      <c r="D21" s="3155">
        <v>26730</v>
      </c>
      <c r="E21" s="3155">
        <v>26640</v>
      </c>
      <c r="F21" s="3161"/>
      <c r="G21" s="3162">
        <v>19440</v>
      </c>
      <c r="K21" s="3164" t="s">
        <v>2820</v>
      </c>
      <c r="L21" s="3155" t="s">
        <v>1115</v>
      </c>
      <c r="M21" s="3155" t="s">
        <v>1116</v>
      </c>
      <c r="N21" s="3155" t="s">
        <v>1117</v>
      </c>
      <c r="O21" s="3155" t="s">
        <v>1118</v>
      </c>
      <c r="P21" s="3155" t="s">
        <v>1112</v>
      </c>
      <c r="Q21" s="3155" t="s">
        <v>1132</v>
      </c>
      <c r="R21" s="3155" t="s">
        <v>1142</v>
      </c>
      <c r="S21" s="3155" t="s">
        <v>2993</v>
      </c>
      <c r="T21" s="3155" t="s">
        <v>3014</v>
      </c>
    </row>
    <row r="22" spans="1:20" ht="14.25" customHeight="1">
      <c r="A22" s="3155" t="s">
        <v>1031</v>
      </c>
      <c r="B22" s="1216" t="s">
        <v>1062</v>
      </c>
      <c r="C22" s="3155">
        <v>29830</v>
      </c>
      <c r="D22" s="3155">
        <v>27600</v>
      </c>
      <c r="E22" s="3155">
        <v>28150</v>
      </c>
      <c r="F22" s="3161"/>
      <c r="G22" s="3162">
        <v>20080</v>
      </c>
      <c r="L22" s="3164" t="s">
        <v>2822</v>
      </c>
      <c r="M22" s="3155" t="s">
        <v>1120</v>
      </c>
      <c r="N22" s="3155" t="s">
        <v>1121</v>
      </c>
      <c r="O22" s="3155" t="s">
        <v>1122</v>
      </c>
      <c r="P22" s="3155" t="s">
        <v>2899</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2823</v>
      </c>
      <c r="M23" s="3155" t="s">
        <v>1127</v>
      </c>
      <c r="N23" s="3155" t="s">
        <v>1128</v>
      </c>
      <c r="O23" s="3155" t="s">
        <v>2853</v>
      </c>
      <c r="P23" s="3155" t="s">
        <v>2900</v>
      </c>
      <c r="Q23" s="3155" t="s">
        <v>1138</v>
      </c>
      <c r="R23" s="3155" t="s">
        <v>1147</v>
      </c>
      <c r="S23" s="3155" t="s">
        <v>2994</v>
      </c>
    </row>
    <row r="24" spans="1:20" ht="14.25" customHeight="1">
      <c r="A24" s="3155" t="s">
        <v>1031</v>
      </c>
      <c r="B24" s="1216" t="s">
        <v>1078</v>
      </c>
      <c r="C24" s="3155">
        <v>27930</v>
      </c>
      <c r="D24" s="3155">
        <v>32260</v>
      </c>
      <c r="E24" s="3155">
        <v>32120</v>
      </c>
      <c r="F24" s="3161"/>
      <c r="G24" s="3162">
        <v>23470</v>
      </c>
      <c r="L24" s="3164" t="s">
        <v>2824</v>
      </c>
      <c r="M24" s="3155" t="s">
        <v>1130</v>
      </c>
      <c r="N24" s="3155" t="s">
        <v>1131</v>
      </c>
      <c r="O24" s="3155" t="s">
        <v>2854</v>
      </c>
      <c r="P24" s="3155" t="s">
        <v>1134</v>
      </c>
      <c r="Q24" s="3155" t="s">
        <v>2929</v>
      </c>
      <c r="R24" s="3155" t="s">
        <v>2957</v>
      </c>
      <c r="S24" s="3155" t="s">
        <v>2995</v>
      </c>
    </row>
    <row r="25" spans="1:20" ht="14.25" customHeight="1">
      <c r="A25" s="3155" t="s">
        <v>1031</v>
      </c>
      <c r="B25" s="1216" t="s">
        <v>1083</v>
      </c>
      <c r="C25" s="3155">
        <v>32230</v>
      </c>
      <c r="D25" s="3155">
        <v>29640</v>
      </c>
      <c r="E25" s="3155">
        <v>29510</v>
      </c>
      <c r="F25" s="3161"/>
      <c r="G25" s="3162">
        <v>21560</v>
      </c>
      <c r="L25" s="3164" t="s">
        <v>2825</v>
      </c>
      <c r="M25" s="3155" t="s">
        <v>2828</v>
      </c>
      <c r="N25" s="3155" t="s">
        <v>1133</v>
      </c>
      <c r="O25" s="3155" t="s">
        <v>1141</v>
      </c>
      <c r="P25" s="3155" t="s">
        <v>1137</v>
      </c>
      <c r="Q25" s="3155" t="s">
        <v>1124</v>
      </c>
      <c r="R25" s="3155" t="s">
        <v>1119</v>
      </c>
      <c r="S25" s="3155" t="s">
        <v>2996</v>
      </c>
    </row>
    <row r="26" spans="1:20" ht="14.25" customHeight="1">
      <c r="A26" s="3155" t="s">
        <v>1031</v>
      </c>
      <c r="B26" s="1216" t="s">
        <v>1092</v>
      </c>
      <c r="C26" s="3155">
        <v>31690</v>
      </c>
      <c r="D26" s="3155">
        <v>27650</v>
      </c>
      <c r="E26" s="3155">
        <v>28200</v>
      </c>
      <c r="F26" s="3161"/>
      <c r="G26" s="3162">
        <v>20110</v>
      </c>
      <c r="L26" s="3164" t="s">
        <v>2826</v>
      </c>
      <c r="M26" s="3155" t="s">
        <v>2829</v>
      </c>
      <c r="N26" s="3155" t="s">
        <v>1136</v>
      </c>
      <c r="O26" s="3155" t="s">
        <v>1143</v>
      </c>
      <c r="P26" s="3155" t="s">
        <v>2901</v>
      </c>
      <c r="Q26" s="3155" t="s">
        <v>2930</v>
      </c>
      <c r="R26" s="3155" t="s">
        <v>1125</v>
      </c>
      <c r="S26" s="3155" t="s">
        <v>2997</v>
      </c>
    </row>
    <row r="27" spans="1:20" ht="14.25" customHeight="1">
      <c r="A27" s="3155" t="s">
        <v>1031</v>
      </c>
      <c r="B27" s="1216" t="s">
        <v>1099</v>
      </c>
      <c r="C27" s="3155">
        <v>29610</v>
      </c>
      <c r="D27" s="3155">
        <v>27770</v>
      </c>
      <c r="E27" s="3155">
        <v>28300</v>
      </c>
      <c r="F27" s="3161"/>
      <c r="G27" s="3162">
        <v>20210</v>
      </c>
      <c r="M27" s="3155" t="s">
        <v>2830</v>
      </c>
      <c r="N27" s="3155" t="s">
        <v>1140</v>
      </c>
      <c r="O27" s="3155" t="s">
        <v>1146</v>
      </c>
      <c r="P27" s="3155" t="s">
        <v>1123</v>
      </c>
      <c r="Q27" s="3155" t="s">
        <v>2931</v>
      </c>
      <c r="R27" s="3155" t="s">
        <v>2958</v>
      </c>
      <c r="S27" s="3155" t="s">
        <v>2998</v>
      </c>
    </row>
    <row r="28" spans="1:20" ht="14.25" customHeight="1">
      <c r="A28" s="3169" t="s">
        <v>1031</v>
      </c>
      <c r="B28" s="2405" t="s">
        <v>1107</v>
      </c>
      <c r="C28" s="1214"/>
      <c r="D28" s="1214">
        <v>31520</v>
      </c>
      <c r="E28" s="1214">
        <v>31410</v>
      </c>
      <c r="F28" s="3166"/>
      <c r="G28" s="3167">
        <v>22940</v>
      </c>
      <c r="M28" s="3155" t="s">
        <v>2831</v>
      </c>
      <c r="N28" s="3155" t="s">
        <v>2838</v>
      </c>
      <c r="O28" s="3155" t="s">
        <v>2855</v>
      </c>
      <c r="P28" s="3155" t="s">
        <v>2902</v>
      </c>
      <c r="Q28" s="3155" t="s">
        <v>2932</v>
      </c>
      <c r="R28" s="3155" t="s">
        <v>2959</v>
      </c>
      <c r="S28" s="3164" t="s">
        <v>2999</v>
      </c>
    </row>
    <row r="29" spans="1:20" ht="14.25" customHeight="1" thickBot="1">
      <c r="A29" s="3170" t="s">
        <v>1031</v>
      </c>
      <c r="B29" s="3158" t="s">
        <v>2820</v>
      </c>
      <c r="C29" s="3158"/>
      <c r="D29" s="3158">
        <v>29460</v>
      </c>
      <c r="E29" s="3158">
        <v>28640</v>
      </c>
      <c r="F29" s="3159"/>
      <c r="G29" s="3171">
        <v>21430</v>
      </c>
      <c r="M29" s="3164" t="s">
        <v>2832</v>
      </c>
      <c r="N29" s="3155" t="s">
        <v>2839</v>
      </c>
      <c r="O29" s="3155" t="s">
        <v>2856</v>
      </c>
      <c r="P29" s="3155" t="s">
        <v>2903</v>
      </c>
      <c r="Q29" s="3155" t="s">
        <v>2933</v>
      </c>
      <c r="R29" s="3155" t="s">
        <v>2960</v>
      </c>
      <c r="S29" s="3164" t="s">
        <v>1129</v>
      </c>
    </row>
    <row r="30" spans="1:20" ht="14.25" customHeight="1">
      <c r="A30" s="3169" t="s">
        <v>1145</v>
      </c>
      <c r="B30" s="1216" t="s">
        <v>2821</v>
      </c>
      <c r="C30" s="1216">
        <v>26890</v>
      </c>
      <c r="D30" s="1216">
        <v>26770</v>
      </c>
      <c r="E30" s="1216">
        <v>25700</v>
      </c>
      <c r="F30" s="3156">
        <v>8180</v>
      </c>
      <c r="G30" s="3156">
        <v>18740</v>
      </c>
      <c r="I30" s="972"/>
      <c r="M30" s="3164" t="s">
        <v>2833</v>
      </c>
      <c r="N30" s="3155" t="s">
        <v>2840</v>
      </c>
      <c r="O30" s="3155" t="s">
        <v>2857</v>
      </c>
      <c r="P30" s="3155" t="s">
        <v>2904</v>
      </c>
      <c r="Q30" s="3155" t="s">
        <v>2934</v>
      </c>
      <c r="R30" s="3155" t="s">
        <v>2961</v>
      </c>
      <c r="S30" s="3164" t="s">
        <v>3000</v>
      </c>
    </row>
    <row r="31" spans="1:20" ht="14.25" customHeight="1">
      <c r="A31" s="3155" t="s">
        <v>1145</v>
      </c>
      <c r="B31" s="1216" t="s">
        <v>974</v>
      </c>
      <c r="C31" s="3155">
        <v>24550</v>
      </c>
      <c r="D31" s="3155">
        <v>23990</v>
      </c>
      <c r="E31" s="3155">
        <v>22930</v>
      </c>
      <c r="F31" s="3161">
        <v>7470</v>
      </c>
      <c r="G31" s="3161">
        <v>16790</v>
      </c>
      <c r="I31" s="972"/>
      <c r="M31" s="3164" t="s">
        <v>2834</v>
      </c>
      <c r="N31" s="3155" t="s">
        <v>2841</v>
      </c>
      <c r="O31" s="3155" t="s">
        <v>2858</v>
      </c>
      <c r="P31" s="3155" t="s">
        <v>2905</v>
      </c>
      <c r="Q31" s="3155" t="s">
        <v>2935</v>
      </c>
      <c r="R31" s="3155" t="s">
        <v>2962</v>
      </c>
      <c r="S31" s="3164" t="s">
        <v>3001</v>
      </c>
    </row>
    <row r="32" spans="1:20" ht="14.25" customHeight="1">
      <c r="A32" s="3155" t="s">
        <v>1145</v>
      </c>
      <c r="B32" s="1216" t="s">
        <v>984</v>
      </c>
      <c r="C32" s="3155">
        <v>27210</v>
      </c>
      <c r="D32" s="3155">
        <v>23240</v>
      </c>
      <c r="E32" s="3155">
        <v>23260</v>
      </c>
      <c r="F32" s="3161">
        <v>7130</v>
      </c>
      <c r="G32" s="3161">
        <v>16270</v>
      </c>
      <c r="I32" s="972"/>
      <c r="M32" s="3164" t="s">
        <v>2835</v>
      </c>
      <c r="N32" s="3155" t="s">
        <v>2842</v>
      </c>
      <c r="O32" s="3155" t="s">
        <v>1149</v>
      </c>
      <c r="P32" s="3155" t="s">
        <v>2906</v>
      </c>
      <c r="Q32" s="3155" t="s">
        <v>1148</v>
      </c>
      <c r="R32" s="3155" t="s">
        <v>2963</v>
      </c>
      <c r="S32" s="3164" t="s">
        <v>3002</v>
      </c>
    </row>
    <row r="33" spans="1:18" ht="14.25" customHeight="1">
      <c r="A33" s="3155" t="s">
        <v>1145</v>
      </c>
      <c r="B33" s="1216" t="s">
        <v>993</v>
      </c>
      <c r="C33" s="3155">
        <v>27300</v>
      </c>
      <c r="D33" s="3155">
        <v>22980</v>
      </c>
      <c r="E33" s="3155">
        <v>24260</v>
      </c>
      <c r="F33" s="3161">
        <v>5860</v>
      </c>
      <c r="G33" s="3161">
        <v>16090</v>
      </c>
      <c r="I33" s="972"/>
      <c r="M33" s="3164" t="s">
        <v>2836</v>
      </c>
      <c r="N33" s="3155" t="s">
        <v>2843</v>
      </c>
      <c r="O33" s="3155" t="s">
        <v>1150</v>
      </c>
      <c r="P33" s="3155" t="s">
        <v>2907</v>
      </c>
      <c r="Q33" s="3155" t="s">
        <v>2936</v>
      </c>
      <c r="R33" s="3155" t="s">
        <v>2964</v>
      </c>
    </row>
    <row r="34" spans="1:18" ht="14.25" customHeight="1">
      <c r="A34" s="3155" t="s">
        <v>1145</v>
      </c>
      <c r="B34" s="1216" t="s">
        <v>1003</v>
      </c>
      <c r="C34" s="3155">
        <v>23090</v>
      </c>
      <c r="D34" s="3155">
        <v>23390</v>
      </c>
      <c r="E34" s="3155">
        <v>23510</v>
      </c>
      <c r="F34" s="3161">
        <v>6700</v>
      </c>
      <c r="G34" s="3161">
        <v>16370</v>
      </c>
      <c r="I34" s="972"/>
      <c r="N34" s="3155" t="s">
        <v>2844</v>
      </c>
      <c r="O34" s="3155" t="s">
        <v>1151</v>
      </c>
      <c r="P34" s="3155" t="s">
        <v>2908</v>
      </c>
      <c r="Q34" s="3155" t="s">
        <v>2937</v>
      </c>
      <c r="R34" s="3155" t="s">
        <v>2965</v>
      </c>
    </row>
    <row r="35" spans="1:18" ht="14.25" customHeight="1">
      <c r="A35" s="3155" t="s">
        <v>1145</v>
      </c>
      <c r="B35" s="1216" t="s">
        <v>1010</v>
      </c>
      <c r="C35" s="3155">
        <v>27270</v>
      </c>
      <c r="D35" s="3155">
        <v>24270</v>
      </c>
      <c r="E35" s="3155">
        <v>24950</v>
      </c>
      <c r="F35" s="3161">
        <v>6600</v>
      </c>
      <c r="G35" s="3161">
        <v>16990</v>
      </c>
      <c r="I35" s="972"/>
      <c r="N35" s="3155" t="s">
        <v>2845</v>
      </c>
      <c r="O35" s="3155" t="s">
        <v>2859</v>
      </c>
      <c r="P35" s="3155" t="s">
        <v>2909</v>
      </c>
      <c r="Q35" s="3155" t="s">
        <v>2938</v>
      </c>
      <c r="R35" s="3155" t="s">
        <v>2966</v>
      </c>
    </row>
    <row r="36" spans="1:18" ht="14.25" customHeight="1">
      <c r="A36" s="3155" t="s">
        <v>1145</v>
      </c>
      <c r="B36" s="1216" t="s">
        <v>1016</v>
      </c>
      <c r="C36" s="3155">
        <v>23490</v>
      </c>
      <c r="D36" s="3155">
        <v>23020</v>
      </c>
      <c r="E36" s="3155">
        <v>25230</v>
      </c>
      <c r="F36" s="3161">
        <v>6780</v>
      </c>
      <c r="G36" s="3161">
        <v>16120</v>
      </c>
      <c r="I36" s="972"/>
      <c r="N36" s="3164" t="s">
        <v>2846</v>
      </c>
      <c r="O36" s="3191" t="s">
        <v>2860</v>
      </c>
      <c r="P36" s="3155" t="s">
        <v>2910</v>
      </c>
      <c r="Q36" s="3155" t="s">
        <v>2939</v>
      </c>
      <c r="R36" s="3155" t="s">
        <v>2967</v>
      </c>
    </row>
    <row r="37" spans="1:18" ht="14.25" customHeight="1">
      <c r="A37" s="3155" t="s">
        <v>1145</v>
      </c>
      <c r="B37" s="1216" t="s">
        <v>1023</v>
      </c>
      <c r="C37" s="3155">
        <v>24380</v>
      </c>
      <c r="D37" s="3155">
        <v>22240</v>
      </c>
      <c r="E37" s="3155">
        <v>25980</v>
      </c>
      <c r="F37" s="3161">
        <v>8160</v>
      </c>
      <c r="G37" s="3161">
        <v>15570</v>
      </c>
      <c r="I37" s="973"/>
      <c r="N37" s="3164" t="s">
        <v>2847</v>
      </c>
      <c r="O37" s="3191" t="s">
        <v>2861</v>
      </c>
      <c r="P37" s="3155" t="s">
        <v>2911</v>
      </c>
      <c r="Q37" s="3155" t="s">
        <v>2940</v>
      </c>
      <c r="R37" s="3155" t="s">
        <v>2968</v>
      </c>
    </row>
    <row r="38" spans="1:18" ht="14.25" customHeight="1">
      <c r="A38" s="3155" t="s">
        <v>1145</v>
      </c>
      <c r="B38" s="1216" t="s">
        <v>1033</v>
      </c>
      <c r="C38" s="3155">
        <v>23120</v>
      </c>
      <c r="D38" s="3155">
        <v>24630</v>
      </c>
      <c r="E38" s="3155">
        <v>25030</v>
      </c>
      <c r="F38" s="3161">
        <v>7710</v>
      </c>
      <c r="G38" s="3161">
        <v>17240</v>
      </c>
      <c r="I38" s="972"/>
      <c r="N38" s="3164" t="s">
        <v>2848</v>
      </c>
      <c r="O38" s="3191" t="s">
        <v>2862</v>
      </c>
      <c r="P38" s="3155" t="s">
        <v>2912</v>
      </c>
      <c r="Q38" s="3155" t="s">
        <v>2941</v>
      </c>
      <c r="R38" s="3155" t="s">
        <v>2969</v>
      </c>
    </row>
    <row r="39" spans="1:18" ht="14.25" customHeight="1">
      <c r="A39" s="3155" t="s">
        <v>1145</v>
      </c>
      <c r="B39" s="1216" t="s">
        <v>1042</v>
      </c>
      <c r="C39" s="3155">
        <v>22330</v>
      </c>
      <c r="D39" s="3155">
        <v>21140</v>
      </c>
      <c r="E39" s="3155">
        <v>23970</v>
      </c>
      <c r="F39" s="3161">
        <v>7940</v>
      </c>
      <c r="G39" s="3161">
        <v>14790</v>
      </c>
      <c r="I39" s="972"/>
      <c r="N39" s="3164" t="s">
        <v>2849</v>
      </c>
      <c r="O39" s="3191" t="s">
        <v>2863</v>
      </c>
      <c r="P39" s="3155" t="s">
        <v>2913</v>
      </c>
      <c r="Q39" s="3155" t="s">
        <v>2942</v>
      </c>
      <c r="R39" s="3155" t="s">
        <v>2970</v>
      </c>
    </row>
    <row r="40" spans="1:18" ht="14.25" customHeight="1">
      <c r="A40" s="3155" t="s">
        <v>1145</v>
      </c>
      <c r="B40" s="1216" t="s">
        <v>1049</v>
      </c>
      <c r="C40" s="3155">
        <v>24740</v>
      </c>
      <c r="D40" s="3155">
        <v>24690</v>
      </c>
      <c r="E40" s="3155">
        <v>22610</v>
      </c>
      <c r="F40" s="3161"/>
      <c r="G40" s="3161">
        <v>17280</v>
      </c>
      <c r="I40" s="972"/>
      <c r="N40" s="3164" t="s">
        <v>2850</v>
      </c>
      <c r="O40" s="3191" t="s">
        <v>2864</v>
      </c>
      <c r="P40" s="3155" t="s">
        <v>2914</v>
      </c>
      <c r="Q40" s="3155" t="s">
        <v>2943</v>
      </c>
      <c r="R40" s="3155" t="s">
        <v>2971</v>
      </c>
    </row>
    <row r="41" spans="1:18" ht="14.25" customHeight="1">
      <c r="A41" s="3155" t="s">
        <v>1145</v>
      </c>
      <c r="B41" s="1216" t="s">
        <v>1056</v>
      </c>
      <c r="C41" s="3155">
        <v>21220</v>
      </c>
      <c r="D41" s="3155">
        <v>21120</v>
      </c>
      <c r="E41" s="3155">
        <v>22590</v>
      </c>
      <c r="F41" s="3161"/>
      <c r="G41" s="3161">
        <v>14780</v>
      </c>
      <c r="I41" s="972"/>
      <c r="N41" s="3164" t="s">
        <v>2851</v>
      </c>
      <c r="O41" s="3192" t="s">
        <v>2865</v>
      </c>
      <c r="P41" s="1216" t="s">
        <v>2915</v>
      </c>
      <c r="Q41" s="3164" t="s">
        <v>2944</v>
      </c>
      <c r="R41" s="1216" t="s">
        <v>2972</v>
      </c>
    </row>
    <row r="42" spans="1:18" ht="14.25" customHeight="1">
      <c r="A42" s="3155" t="s">
        <v>1145</v>
      </c>
      <c r="B42" s="1216" t="s">
        <v>1063</v>
      </c>
      <c r="C42" s="3155">
        <v>24800</v>
      </c>
      <c r="D42" s="3155">
        <v>22280</v>
      </c>
      <c r="E42" s="3155">
        <v>24350</v>
      </c>
      <c r="F42" s="3161"/>
      <c r="G42" s="3161">
        <v>15590</v>
      </c>
      <c r="I42" s="972"/>
      <c r="O42" s="3155" t="s">
        <v>2866</v>
      </c>
      <c r="P42" s="3155" t="s">
        <v>2916</v>
      </c>
      <c r="Q42" s="3164" t="s">
        <v>2945</v>
      </c>
      <c r="R42" s="3155" t="s">
        <v>2973</v>
      </c>
    </row>
    <row r="43" spans="1:18" ht="14.25" customHeight="1">
      <c r="A43" s="3155" t="s">
        <v>1145</v>
      </c>
      <c r="B43" s="1216" t="s">
        <v>1071</v>
      </c>
      <c r="C43" s="3155">
        <v>21210</v>
      </c>
      <c r="D43" s="3155">
        <v>21160</v>
      </c>
      <c r="E43" s="3155">
        <v>22650</v>
      </c>
      <c r="F43" s="3161"/>
      <c r="G43" s="3161">
        <v>14800</v>
      </c>
      <c r="I43" s="972"/>
      <c r="O43" s="3155" t="s">
        <v>2867</v>
      </c>
      <c r="P43" s="3155" t="s">
        <v>2917</v>
      </c>
      <c r="Q43" s="3164" t="s">
        <v>2946</v>
      </c>
      <c r="R43" s="3155" t="s">
        <v>2974</v>
      </c>
    </row>
    <row r="44" spans="1:18" ht="14.25" customHeight="1">
      <c r="A44" s="3155" t="s">
        <v>1145</v>
      </c>
      <c r="B44" s="1216" t="s">
        <v>1079</v>
      </c>
      <c r="C44" s="3155">
        <v>22370</v>
      </c>
      <c r="D44" s="3155">
        <v>23140</v>
      </c>
      <c r="E44" s="3155">
        <v>25090</v>
      </c>
      <c r="F44" s="3161"/>
      <c r="G44" s="3161">
        <v>16190</v>
      </c>
      <c r="I44" s="972"/>
      <c r="O44" s="3155" t="s">
        <v>2868</v>
      </c>
      <c r="P44" s="3155" t="s">
        <v>2918</v>
      </c>
      <c r="Q44" s="3164" t="s">
        <v>2947</v>
      </c>
      <c r="R44" s="3155" t="s">
        <v>2975</v>
      </c>
    </row>
    <row r="45" spans="1:18" ht="14.25" customHeight="1">
      <c r="A45" s="3155" t="s">
        <v>1145</v>
      </c>
      <c r="B45" s="1216" t="s">
        <v>1084</v>
      </c>
      <c r="C45" s="3155">
        <v>21240</v>
      </c>
      <c r="D45" s="3155">
        <v>27050</v>
      </c>
      <c r="E45" s="3155">
        <v>28000</v>
      </c>
      <c r="F45" s="3161"/>
      <c r="G45" s="3161">
        <v>18940</v>
      </c>
      <c r="I45" s="972"/>
      <c r="O45" s="3155" t="s">
        <v>2869</v>
      </c>
      <c r="P45" s="3155" t="s">
        <v>2919</v>
      </c>
      <c r="R45" s="3155" t="s">
        <v>2976</v>
      </c>
    </row>
    <row r="46" spans="1:18" ht="14.25" customHeight="1">
      <c r="A46" s="3155" t="s">
        <v>1145</v>
      </c>
      <c r="B46" s="1216" t="s">
        <v>1093</v>
      </c>
      <c r="C46" s="3155">
        <v>23240</v>
      </c>
      <c r="D46" s="3155">
        <v>23000</v>
      </c>
      <c r="E46" s="3155">
        <v>24980</v>
      </c>
      <c r="F46" s="3161"/>
      <c r="G46" s="3161">
        <v>16100</v>
      </c>
      <c r="I46" s="972"/>
      <c r="O46" s="3155" t="s">
        <v>2870</v>
      </c>
      <c r="P46" s="3155"/>
      <c r="R46" s="3155" t="s">
        <v>2977</v>
      </c>
    </row>
    <row r="47" spans="1:18" ht="14.25" customHeight="1">
      <c r="A47" s="3155" t="s">
        <v>1145</v>
      </c>
      <c r="B47" s="2405" t="s">
        <v>1100</v>
      </c>
      <c r="C47" s="1214">
        <v>27150</v>
      </c>
      <c r="D47" s="1214">
        <v>23310</v>
      </c>
      <c r="E47" s="1214">
        <v>25150</v>
      </c>
      <c r="F47" s="3166"/>
      <c r="G47" s="3166">
        <v>16310</v>
      </c>
      <c r="I47" s="972"/>
      <c r="O47" s="3155" t="s">
        <v>2871</v>
      </c>
      <c r="P47" s="3155"/>
      <c r="R47" s="3164" t="s">
        <v>2978</v>
      </c>
    </row>
    <row r="48" spans="1:18" ht="14.25" customHeight="1">
      <c r="A48" s="3155" t="s">
        <v>1145</v>
      </c>
      <c r="B48" s="3155" t="s">
        <v>1108</v>
      </c>
      <c r="C48" s="3155">
        <v>23100</v>
      </c>
      <c r="D48" s="3155">
        <v>21110</v>
      </c>
      <c r="E48" s="3155">
        <v>23080</v>
      </c>
      <c r="F48" s="3161"/>
      <c r="G48" s="3168">
        <v>14780</v>
      </c>
      <c r="I48" s="972"/>
      <c r="O48" s="3155" t="s">
        <v>2872</v>
      </c>
      <c r="P48" s="3155"/>
      <c r="R48" s="3164" t="s">
        <v>2979</v>
      </c>
    </row>
    <row r="49" spans="1:18" ht="14.25" customHeight="1">
      <c r="A49" s="3155" t="s">
        <v>1145</v>
      </c>
      <c r="B49" s="1216" t="s">
        <v>1115</v>
      </c>
      <c r="C49" s="1216">
        <v>23400</v>
      </c>
      <c r="D49" s="1216">
        <v>22920</v>
      </c>
      <c r="E49" s="1216">
        <v>24900</v>
      </c>
      <c r="F49" s="3156"/>
      <c r="G49" s="3156">
        <v>16040</v>
      </c>
      <c r="I49" s="972"/>
      <c r="O49" s="3155" t="s">
        <v>2873</v>
      </c>
      <c r="P49" s="3155"/>
      <c r="R49" s="3164" t="s">
        <v>2980</v>
      </c>
    </row>
    <row r="50" spans="1:18" ht="14.25" customHeight="1">
      <c r="A50" s="3155" t="s">
        <v>1145</v>
      </c>
      <c r="B50" s="3155" t="s">
        <v>2822</v>
      </c>
      <c r="C50" s="3155">
        <v>21200</v>
      </c>
      <c r="D50" s="3155">
        <v>26540</v>
      </c>
      <c r="E50" s="3155">
        <v>23200</v>
      </c>
      <c r="F50" s="3161"/>
      <c r="G50" s="3161">
        <v>18580</v>
      </c>
      <c r="I50" s="972"/>
      <c r="O50" s="3164" t="s">
        <v>2874</v>
      </c>
      <c r="R50" s="3164" t="s">
        <v>2981</v>
      </c>
    </row>
    <row r="51" spans="1:18" ht="14.25" customHeight="1">
      <c r="A51" s="3155" t="s">
        <v>1145</v>
      </c>
      <c r="B51" s="3155" t="s">
        <v>2823</v>
      </c>
      <c r="C51" s="3155">
        <v>23000</v>
      </c>
      <c r="D51" s="3155">
        <v>23460</v>
      </c>
      <c r="E51" s="3155">
        <v>25290</v>
      </c>
      <c r="F51" s="3161"/>
      <c r="G51" s="3161">
        <v>16420</v>
      </c>
      <c r="I51" s="972"/>
      <c r="O51" s="3164" t="s">
        <v>2875</v>
      </c>
      <c r="R51" s="3164" t="s">
        <v>2982</v>
      </c>
    </row>
    <row r="52" spans="1:18" ht="14.25" customHeight="1">
      <c r="A52" s="3155" t="s">
        <v>1145</v>
      </c>
      <c r="B52" s="3155" t="s">
        <v>2824</v>
      </c>
      <c r="C52" s="3155">
        <v>26660</v>
      </c>
      <c r="D52" s="3155">
        <v>22350</v>
      </c>
      <c r="E52" s="3155">
        <v>22920</v>
      </c>
      <c r="F52" s="3161"/>
      <c r="G52" s="3161">
        <v>15640</v>
      </c>
      <c r="I52" s="972"/>
      <c r="O52" s="3164" t="s">
        <v>2876</v>
      </c>
    </row>
    <row r="53" spans="1:18" ht="14.25" customHeight="1">
      <c r="A53" s="3155" t="s">
        <v>1145</v>
      </c>
      <c r="B53" s="3155" t="s">
        <v>2825</v>
      </c>
      <c r="C53" s="3155">
        <v>23580</v>
      </c>
      <c r="D53" s="3155"/>
      <c r="E53" s="3155">
        <v>24280</v>
      </c>
      <c r="F53" s="3161"/>
      <c r="G53" s="3161"/>
      <c r="I53" s="972"/>
      <c r="O53" s="3164" t="s">
        <v>2877</v>
      </c>
    </row>
    <row r="54" spans="1:18" ht="14.25" customHeight="1" thickBot="1">
      <c r="A54" s="3170" t="s">
        <v>1145</v>
      </c>
      <c r="B54" s="3158" t="s">
        <v>2826</v>
      </c>
      <c r="C54" s="3158">
        <v>22460</v>
      </c>
      <c r="D54" s="3158"/>
      <c r="E54" s="3158"/>
      <c r="F54" s="3159"/>
      <c r="G54" s="3171"/>
      <c r="I54" s="972"/>
      <c r="O54" s="3164" t="s">
        <v>2878</v>
      </c>
    </row>
    <row r="55" spans="1:18" ht="14.25" customHeight="1">
      <c r="A55" s="3169" t="s">
        <v>853</v>
      </c>
      <c r="B55" s="1216" t="s">
        <v>2827</v>
      </c>
      <c r="C55" s="1216">
        <v>21970</v>
      </c>
      <c r="D55" s="1216">
        <v>20370</v>
      </c>
      <c r="E55" s="1216">
        <v>20180</v>
      </c>
      <c r="F55" s="3156">
        <v>5730</v>
      </c>
      <c r="G55" s="3156">
        <v>13820</v>
      </c>
      <c r="I55" s="972"/>
      <c r="O55" s="3164" t="s">
        <v>2879</v>
      </c>
    </row>
    <row r="56" spans="1:18" ht="14.25" customHeight="1">
      <c r="A56" s="3155" t="s">
        <v>853</v>
      </c>
      <c r="B56" s="3155" t="s">
        <v>975</v>
      </c>
      <c r="C56" s="3155">
        <v>20470</v>
      </c>
      <c r="D56" s="3155">
        <v>20700</v>
      </c>
      <c r="E56" s="3155">
        <v>20380</v>
      </c>
      <c r="F56" s="3161">
        <v>4760</v>
      </c>
      <c r="G56" s="3161">
        <v>14050</v>
      </c>
      <c r="I56" s="972"/>
      <c r="O56" s="3164" t="s">
        <v>2880</v>
      </c>
    </row>
    <row r="57" spans="1:18" ht="14.25" customHeight="1">
      <c r="A57" s="3155" t="s">
        <v>853</v>
      </c>
      <c r="B57" s="3155" t="s">
        <v>985</v>
      </c>
      <c r="C57" s="3155">
        <v>20790</v>
      </c>
      <c r="D57" s="3155">
        <v>21370</v>
      </c>
      <c r="E57" s="3155">
        <v>20890</v>
      </c>
      <c r="F57" s="3161">
        <v>4910</v>
      </c>
      <c r="G57" s="3161">
        <v>14510</v>
      </c>
      <c r="I57" s="972"/>
      <c r="O57" s="3164" t="s">
        <v>2881</v>
      </c>
    </row>
    <row r="58" spans="1:18" ht="14.25" customHeight="1">
      <c r="A58" s="3155" t="s">
        <v>853</v>
      </c>
      <c r="B58" s="3155" t="s">
        <v>994</v>
      </c>
      <c r="C58" s="3155">
        <v>21460</v>
      </c>
      <c r="D58" s="3155">
        <v>20920</v>
      </c>
      <c r="E58" s="3155">
        <v>23410</v>
      </c>
      <c r="F58" s="3161">
        <v>5100</v>
      </c>
      <c r="G58" s="3161">
        <v>14200</v>
      </c>
      <c r="I58" s="972"/>
      <c r="O58" s="3164" t="s">
        <v>2882</v>
      </c>
    </row>
    <row r="59" spans="1:18" ht="14.25" customHeight="1">
      <c r="A59" s="3155" t="s">
        <v>853</v>
      </c>
      <c r="B59" s="3155" t="s">
        <v>1004</v>
      </c>
      <c r="C59" s="3155">
        <v>21000</v>
      </c>
      <c r="D59" s="3155">
        <v>21550</v>
      </c>
      <c r="E59" s="3155">
        <v>21150</v>
      </c>
      <c r="F59" s="3161">
        <v>5250</v>
      </c>
      <c r="G59" s="3161">
        <v>14630</v>
      </c>
      <c r="I59" s="972"/>
      <c r="O59" s="3164" t="s">
        <v>2883</v>
      </c>
    </row>
    <row r="60" spans="1:18" ht="14.25" customHeight="1">
      <c r="A60" s="3155" t="s">
        <v>853</v>
      </c>
      <c r="B60" s="3155" t="s">
        <v>1011</v>
      </c>
      <c r="C60" s="3155">
        <v>21640</v>
      </c>
      <c r="D60" s="3155">
        <v>21260</v>
      </c>
      <c r="E60" s="3155">
        <v>24040</v>
      </c>
      <c r="F60" s="3161">
        <v>4470</v>
      </c>
      <c r="G60" s="3161">
        <v>14430</v>
      </c>
      <c r="I60" s="972"/>
      <c r="O60" s="3164" t="s">
        <v>2884</v>
      </c>
    </row>
    <row r="61" spans="1:18" ht="14.25" customHeight="1">
      <c r="A61" s="3155" t="s">
        <v>853</v>
      </c>
      <c r="B61" s="3155" t="s">
        <v>1017</v>
      </c>
      <c r="C61" s="3155">
        <v>21330</v>
      </c>
      <c r="D61" s="3155">
        <v>18640</v>
      </c>
      <c r="E61" s="3155">
        <v>21190</v>
      </c>
      <c r="F61" s="3161">
        <v>4180</v>
      </c>
      <c r="G61" s="3163">
        <v>12650</v>
      </c>
      <c r="I61" s="972"/>
      <c r="O61" s="3164" t="s">
        <v>2885</v>
      </c>
    </row>
    <row r="62" spans="1:18" ht="14.25" customHeight="1">
      <c r="A62" s="3155" t="s">
        <v>853</v>
      </c>
      <c r="B62" s="3155" t="s">
        <v>1024</v>
      </c>
      <c r="C62" s="3155">
        <v>18710</v>
      </c>
      <c r="D62" s="3155">
        <v>19400</v>
      </c>
      <c r="E62" s="3155">
        <v>23750</v>
      </c>
      <c r="F62" s="3161">
        <v>4860</v>
      </c>
      <c r="G62" s="3163">
        <v>13170</v>
      </c>
      <c r="I62" s="972"/>
      <c r="O62" s="3164" t="s">
        <v>2886</v>
      </c>
    </row>
    <row r="63" spans="1:18" ht="14.25" customHeight="1">
      <c r="A63" s="3155" t="s">
        <v>853</v>
      </c>
      <c r="B63" s="3155" t="s">
        <v>1034</v>
      </c>
      <c r="C63" s="3155">
        <v>19480</v>
      </c>
      <c r="D63" s="3155">
        <v>16830</v>
      </c>
      <c r="E63" s="3155">
        <v>21590</v>
      </c>
      <c r="F63" s="3161">
        <v>4560</v>
      </c>
      <c r="G63" s="3163">
        <v>11420</v>
      </c>
      <c r="I63" s="972"/>
      <c r="O63" s="3164" t="s">
        <v>2887</v>
      </c>
    </row>
    <row r="64" spans="1:18" ht="14.25" customHeight="1">
      <c r="A64" s="3155" t="s">
        <v>853</v>
      </c>
      <c r="B64" s="3155" t="s">
        <v>1043</v>
      </c>
      <c r="C64" s="3155">
        <v>16920</v>
      </c>
      <c r="D64" s="3155">
        <v>19190</v>
      </c>
      <c r="E64" s="3155">
        <v>22200</v>
      </c>
      <c r="F64" s="3161">
        <v>4390</v>
      </c>
      <c r="G64" s="3163">
        <v>13030</v>
      </c>
      <c r="I64" s="972"/>
      <c r="O64" s="3164" t="s">
        <v>2888</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2828</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2829</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2830</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2831</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2832</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2833</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2834</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2835</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2836</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2837</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2838</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2839</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2840</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2841</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2842</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2843</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2844</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2845</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2846</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2847</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2848</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2849</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2850</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2851</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2852</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2853</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2854</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2855</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2856</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2857</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2858</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2859</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2860</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2861</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2862</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2863</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2864</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2865</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2866</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2867</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2868</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2869</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2870</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2871</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2872</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2873</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2874</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2875</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2876</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2877</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2878</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2879</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2880</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2881</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2882</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2883</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2884</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2885</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2886</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2887</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2888</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2889</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2890</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2891</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2892</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2893</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2894</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2895</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2896</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2897</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2898</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2899</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2900</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2901</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2902</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2903</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2904</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2905</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2906</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2907</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2908</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2909</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2910</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2911</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2912</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2913</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2914</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2915</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2916</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2917</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2918</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2919</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2920</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2921</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2922</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2923</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2924</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2925</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2926</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2927</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2928</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2929</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2930</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2931</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2932</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2933</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2934</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2935</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2936</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2937</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2938</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2939</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2940</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2941</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2942</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2943</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2944</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2945</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2946</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2947</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2948</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2949</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2950</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2951</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2952</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2953</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2954</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2955</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2956</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2957</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2958</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2959</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2960</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2961</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2962</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2963</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2964</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2965</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2966</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2967</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2968</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2969</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2970</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2971</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2972</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2973</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2974</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2975</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2976</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2977</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2978</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2979</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2980</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2981</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2982</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5" t="s">
        <v>2983</v>
      </c>
      <c r="C327" s="2405">
        <v>3750</v>
      </c>
      <c r="D327" s="2405">
        <v>3710</v>
      </c>
      <c r="E327" s="2405">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2984</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2985</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2986</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2987</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2988</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2989</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2990</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2991</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2992</v>
      </c>
      <c r="C345" s="3164">
        <v>3190</v>
      </c>
      <c r="D345" s="3164">
        <v>3140</v>
      </c>
      <c r="E345" s="3164">
        <v>3450</v>
      </c>
      <c r="F345" s="3164">
        <v>720</v>
      </c>
      <c r="G345" s="3164">
        <v>1880</v>
      </c>
      <c r="H345" s="958"/>
    </row>
    <row r="346" spans="1:21">
      <c r="A346" s="3164" t="s">
        <v>1157</v>
      </c>
      <c r="B346" s="3164" t="s">
        <v>2993</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2994</v>
      </c>
      <c r="C348" s="3164">
        <v>4000</v>
      </c>
      <c r="D348" s="3164">
        <v>3950</v>
      </c>
      <c r="E348" s="3164">
        <v>4430</v>
      </c>
      <c r="F348" s="3164">
        <v>760</v>
      </c>
      <c r="G348" s="3164">
        <v>2360</v>
      </c>
      <c r="H348" s="958"/>
    </row>
    <row r="349" spans="1:21">
      <c r="A349" s="3164" t="s">
        <v>1157</v>
      </c>
      <c r="B349" s="3164" t="s">
        <v>2995</v>
      </c>
      <c r="C349" s="3164">
        <v>3820</v>
      </c>
      <c r="D349" s="3164">
        <v>3780</v>
      </c>
      <c r="E349" s="3164">
        <v>4170</v>
      </c>
      <c r="F349" s="3164">
        <v>710</v>
      </c>
      <c r="G349" s="3164">
        <v>2260</v>
      </c>
      <c r="H349" s="958"/>
    </row>
    <row r="350" spans="1:21">
      <c r="A350" s="3164" t="s">
        <v>1157</v>
      </c>
      <c r="B350" s="3164" t="s">
        <v>2996</v>
      </c>
      <c r="C350" s="3164">
        <v>3760</v>
      </c>
      <c r="D350" s="3164">
        <v>3730</v>
      </c>
      <c r="E350" s="3164">
        <v>4100</v>
      </c>
      <c r="F350" s="3164">
        <v>800</v>
      </c>
      <c r="G350" s="3164">
        <v>2230</v>
      </c>
      <c r="H350" s="958"/>
    </row>
    <row r="351" spans="1:21">
      <c r="A351" s="3164" t="s">
        <v>1157</v>
      </c>
      <c r="B351" s="3164" t="s">
        <v>2997</v>
      </c>
      <c r="C351" s="3164">
        <v>3610</v>
      </c>
      <c r="D351" s="3164">
        <v>3580</v>
      </c>
      <c r="E351" s="3164">
        <v>3930</v>
      </c>
      <c r="F351" s="3164">
        <v>700</v>
      </c>
      <c r="G351" s="3164">
        <v>2140</v>
      </c>
      <c r="H351" s="958"/>
    </row>
    <row r="352" spans="1:21">
      <c r="A352" s="3164" t="s">
        <v>1157</v>
      </c>
      <c r="B352" s="3164" t="s">
        <v>2998</v>
      </c>
      <c r="C352" s="3164">
        <v>3670</v>
      </c>
      <c r="D352" s="3164">
        <v>3630</v>
      </c>
      <c r="E352" s="3164">
        <v>4000</v>
      </c>
      <c r="F352" s="3164">
        <v>750</v>
      </c>
      <c r="G352" s="3164">
        <v>2180</v>
      </c>
      <c r="H352" s="958"/>
    </row>
    <row r="353" spans="1:8">
      <c r="A353" s="3164" t="s">
        <v>1157</v>
      </c>
      <c r="B353" s="3164" t="s">
        <v>2999</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3000</v>
      </c>
      <c r="C355" s="3164">
        <v>3650</v>
      </c>
      <c r="D355" s="3164">
        <v>3610</v>
      </c>
      <c r="E355" s="3164">
        <v>4200</v>
      </c>
      <c r="F355" s="3164">
        <v>640</v>
      </c>
      <c r="G355" s="3164">
        <v>2160</v>
      </c>
      <c r="H355" s="958"/>
    </row>
    <row r="356" spans="1:8">
      <c r="A356" s="3164" t="s">
        <v>1157</v>
      </c>
      <c r="B356" s="3164" t="s">
        <v>3001</v>
      </c>
      <c r="C356" s="3164">
        <v>3260</v>
      </c>
      <c r="D356" s="3164">
        <v>3230</v>
      </c>
      <c r="E356" s="3164">
        <v>3740</v>
      </c>
      <c r="F356" s="3164">
        <v>600</v>
      </c>
      <c r="G356" s="3164">
        <v>1930</v>
      </c>
      <c r="H356" s="958"/>
    </row>
    <row r="357" spans="1:8" ht="14.25" thickBot="1">
      <c r="A357" s="3179" t="s">
        <v>1157</v>
      </c>
      <c r="B357" s="3179" t="s">
        <v>3002</v>
      </c>
      <c r="C357" s="3179">
        <v>3690</v>
      </c>
      <c r="D357" s="3179">
        <v>3650</v>
      </c>
      <c r="E357" s="3179">
        <v>4020</v>
      </c>
      <c r="F357" s="3179">
        <v>700</v>
      </c>
      <c r="G357" s="3179">
        <v>2190</v>
      </c>
      <c r="H357" s="958"/>
    </row>
    <row r="358" spans="1:8">
      <c r="A358" s="3180" t="s">
        <v>2758</v>
      </c>
      <c r="B358" s="3181" t="s">
        <v>3003</v>
      </c>
      <c r="C358" s="3181">
        <v>2080</v>
      </c>
      <c r="D358" s="3181">
        <v>2040</v>
      </c>
      <c r="E358" s="3181">
        <v>2010</v>
      </c>
      <c r="F358" s="3181">
        <v>530</v>
      </c>
      <c r="G358" s="3182">
        <v>1230</v>
      </c>
      <c r="H358" s="958"/>
    </row>
    <row r="359" spans="1:8">
      <c r="A359" s="3183" t="s">
        <v>2758</v>
      </c>
      <c r="B359" s="3164" t="s">
        <v>3004</v>
      </c>
      <c r="C359" s="3164">
        <v>1850</v>
      </c>
      <c r="D359" s="3164">
        <v>1820</v>
      </c>
      <c r="E359" s="3164">
        <v>1780</v>
      </c>
      <c r="F359" s="3164">
        <v>520</v>
      </c>
      <c r="G359" s="3176">
        <v>1100</v>
      </c>
      <c r="H359" s="958"/>
    </row>
    <row r="360" spans="1:8">
      <c r="A360" s="3183" t="s">
        <v>2758</v>
      </c>
      <c r="B360" s="3164" t="s">
        <v>3005</v>
      </c>
      <c r="C360" s="3164">
        <v>2020</v>
      </c>
      <c r="D360" s="3164">
        <v>1990</v>
      </c>
      <c r="E360" s="3164">
        <v>1950</v>
      </c>
      <c r="F360" s="3164">
        <v>500</v>
      </c>
      <c r="G360" s="3176">
        <v>1200</v>
      </c>
      <c r="H360" s="958"/>
    </row>
    <row r="361" spans="1:8">
      <c r="A361" s="3183" t="s">
        <v>2758</v>
      </c>
      <c r="B361" s="3164" t="s">
        <v>999</v>
      </c>
      <c r="C361" s="3164">
        <v>2260</v>
      </c>
      <c r="D361" s="3164">
        <v>2220</v>
      </c>
      <c r="E361" s="3164">
        <v>2180</v>
      </c>
      <c r="F361" s="3164">
        <v>580</v>
      </c>
      <c r="G361" s="3176">
        <v>1340</v>
      </c>
      <c r="H361" s="958"/>
    </row>
    <row r="362" spans="1:8">
      <c r="A362" s="3183" t="s">
        <v>2758</v>
      </c>
      <c r="B362" s="3164" t="s">
        <v>3006</v>
      </c>
      <c r="C362" s="3164">
        <v>2650</v>
      </c>
      <c r="D362" s="3164">
        <v>2610</v>
      </c>
      <c r="E362" s="3164">
        <v>2570</v>
      </c>
      <c r="F362" s="3164">
        <v>630</v>
      </c>
      <c r="G362" s="3176">
        <v>1570</v>
      </c>
      <c r="H362" s="958"/>
    </row>
    <row r="363" spans="1:8">
      <c r="A363" s="3183" t="s">
        <v>2758</v>
      </c>
      <c r="B363" s="3164" t="s">
        <v>3007</v>
      </c>
      <c r="C363" s="3164">
        <v>2390</v>
      </c>
      <c r="D363" s="3164">
        <v>2360</v>
      </c>
      <c r="E363" s="3164">
        <v>2320</v>
      </c>
      <c r="F363" s="3164">
        <v>600</v>
      </c>
      <c r="G363" s="3176">
        <v>1420</v>
      </c>
      <c r="H363" s="958"/>
    </row>
    <row r="364" spans="1:8">
      <c r="A364" s="3183" t="s">
        <v>2758</v>
      </c>
      <c r="B364" s="3164" t="s">
        <v>3008</v>
      </c>
      <c r="C364" s="3164">
        <v>2050</v>
      </c>
      <c r="D364" s="3164">
        <v>2030</v>
      </c>
      <c r="E364" s="3164">
        <v>1990</v>
      </c>
      <c r="F364" s="3164">
        <v>550</v>
      </c>
      <c r="G364" s="3176">
        <v>1220</v>
      </c>
      <c r="H364" s="958"/>
    </row>
    <row r="365" spans="1:8">
      <c r="A365" s="3183" t="s">
        <v>2758</v>
      </c>
      <c r="B365" s="3164" t="s">
        <v>1047</v>
      </c>
      <c r="C365" s="3164">
        <v>2140</v>
      </c>
      <c r="D365" s="3164">
        <v>2100</v>
      </c>
      <c r="E365" s="3164">
        <v>2060</v>
      </c>
      <c r="F365" s="3164">
        <v>540</v>
      </c>
      <c r="G365" s="3176">
        <v>1270</v>
      </c>
      <c r="H365" s="958"/>
    </row>
    <row r="366" spans="1:8">
      <c r="A366" s="3183" t="s">
        <v>2758</v>
      </c>
      <c r="B366" s="3164" t="s">
        <v>3009</v>
      </c>
      <c r="C366" s="3164">
        <v>2410</v>
      </c>
      <c r="D366" s="3164">
        <v>2370</v>
      </c>
      <c r="E366" s="3164">
        <v>2330</v>
      </c>
      <c r="F366" s="3164">
        <v>570</v>
      </c>
      <c r="G366" s="3176">
        <v>1440</v>
      </c>
      <c r="H366" s="958"/>
    </row>
    <row r="367" spans="1:8">
      <c r="A367" s="3183" t="s">
        <v>2758</v>
      </c>
      <c r="B367" s="3164" t="s">
        <v>3010</v>
      </c>
      <c r="C367" s="3164">
        <v>2300</v>
      </c>
      <c r="D367" s="3164">
        <v>2260</v>
      </c>
      <c r="E367" s="3164">
        <v>2220</v>
      </c>
      <c r="F367" s="3164">
        <v>560</v>
      </c>
      <c r="G367" s="3176">
        <v>1370</v>
      </c>
      <c r="H367" s="958"/>
    </row>
    <row r="368" spans="1:8">
      <c r="A368" s="3183" t="s">
        <v>2758</v>
      </c>
      <c r="B368" s="3164" t="s">
        <v>3011</v>
      </c>
      <c r="C368" s="3164">
        <v>2430</v>
      </c>
      <c r="D368" s="3164">
        <v>2390</v>
      </c>
      <c r="E368" s="3164">
        <v>2350</v>
      </c>
      <c r="F368" s="3164">
        <v>570</v>
      </c>
      <c r="G368" s="3176">
        <v>1450</v>
      </c>
      <c r="H368" s="958"/>
    </row>
    <row r="369" spans="1:8">
      <c r="A369" s="3183" t="s">
        <v>2758</v>
      </c>
      <c r="B369" s="3164" t="s">
        <v>1061</v>
      </c>
      <c r="C369" s="3164">
        <v>2320</v>
      </c>
      <c r="D369" s="3164">
        <v>2290</v>
      </c>
      <c r="E369" s="3164">
        <v>2250</v>
      </c>
      <c r="F369" s="3164">
        <v>550</v>
      </c>
      <c r="G369" s="3176">
        <v>1380</v>
      </c>
      <c r="H369" s="958"/>
    </row>
    <row r="370" spans="1:8">
      <c r="A370" s="3183" t="s">
        <v>2758</v>
      </c>
      <c r="B370" s="3164" t="s">
        <v>1069</v>
      </c>
      <c r="C370" s="3164">
        <v>2190</v>
      </c>
      <c r="D370" s="3164">
        <v>2170</v>
      </c>
      <c r="E370" s="3164">
        <v>2130</v>
      </c>
      <c r="F370" s="3164">
        <v>530</v>
      </c>
      <c r="G370" s="3176">
        <v>1310</v>
      </c>
      <c r="H370" s="958"/>
    </row>
    <row r="371" spans="1:8">
      <c r="A371" s="3183" t="s">
        <v>2758</v>
      </c>
      <c r="B371" s="3164" t="s">
        <v>1077</v>
      </c>
      <c r="C371" s="3164">
        <v>2460</v>
      </c>
      <c r="D371" s="3164">
        <v>2420</v>
      </c>
      <c r="E371" s="3164">
        <v>2370</v>
      </c>
      <c r="F371" s="3164">
        <v>560</v>
      </c>
      <c r="G371" s="3176">
        <v>1470</v>
      </c>
      <c r="H371" s="958"/>
    </row>
    <row r="372" spans="1:8">
      <c r="A372" s="3183" t="s">
        <v>2758</v>
      </c>
      <c r="B372" s="3164" t="s">
        <v>3012</v>
      </c>
      <c r="C372" s="3164">
        <v>2250</v>
      </c>
      <c r="D372" s="3164">
        <v>2210</v>
      </c>
      <c r="E372" s="3164">
        <v>2180</v>
      </c>
      <c r="F372" s="3164">
        <v>550</v>
      </c>
      <c r="G372" s="3176">
        <v>1340</v>
      </c>
      <c r="H372" s="958"/>
    </row>
    <row r="373" spans="1:8">
      <c r="A373" s="3183" t="s">
        <v>2758</v>
      </c>
      <c r="B373" s="3164" t="s">
        <v>1106</v>
      </c>
      <c r="C373" s="3164">
        <v>2210</v>
      </c>
      <c r="D373" s="3164">
        <v>2190</v>
      </c>
      <c r="E373" s="3164">
        <v>2150</v>
      </c>
      <c r="F373" s="3164">
        <v>530</v>
      </c>
      <c r="G373" s="3176">
        <v>1320</v>
      </c>
      <c r="H373" s="958"/>
    </row>
    <row r="374" spans="1:8">
      <c r="A374" s="3183" t="s">
        <v>2758</v>
      </c>
      <c r="B374" s="3164" t="s">
        <v>1114</v>
      </c>
      <c r="C374" s="3164">
        <v>2320</v>
      </c>
      <c r="D374" s="3164">
        <v>2280</v>
      </c>
      <c r="E374" s="3164">
        <v>2230</v>
      </c>
      <c r="F374" s="3164">
        <v>580</v>
      </c>
      <c r="G374" s="3176">
        <v>1380</v>
      </c>
      <c r="H374" s="958"/>
    </row>
    <row r="375" spans="1:8">
      <c r="A375" s="3183" t="s">
        <v>2758</v>
      </c>
      <c r="B375" s="3164" t="s">
        <v>3013</v>
      </c>
      <c r="C375" s="3164">
        <v>2090</v>
      </c>
      <c r="D375" s="3164">
        <v>2050</v>
      </c>
      <c r="E375" s="3164">
        <v>2020</v>
      </c>
      <c r="F375" s="3164">
        <v>520</v>
      </c>
      <c r="G375" s="3176">
        <v>1240</v>
      </c>
      <c r="H375" s="958"/>
    </row>
    <row r="376" spans="1:8">
      <c r="A376" s="3183" t="s">
        <v>2758</v>
      </c>
      <c r="B376" s="3164" t="s">
        <v>1126</v>
      </c>
      <c r="C376" s="3164">
        <v>2010</v>
      </c>
      <c r="D376" s="3164">
        <v>1980</v>
      </c>
      <c r="E376" s="3164">
        <v>1940</v>
      </c>
      <c r="F376" s="3164">
        <v>540</v>
      </c>
      <c r="G376" s="3176">
        <v>1190</v>
      </c>
      <c r="H376" s="958"/>
    </row>
    <row r="377" spans="1:8" ht="14.25" thickBot="1">
      <c r="A377" s="3185" t="s">
        <v>2758</v>
      </c>
      <c r="B377" s="3179" t="s">
        <v>3014</v>
      </c>
      <c r="C377" s="3179">
        <v>1930</v>
      </c>
      <c r="D377" s="3179">
        <v>1890</v>
      </c>
      <c r="E377" s="3179">
        <v>1860</v>
      </c>
      <c r="F377" s="3179">
        <v>530</v>
      </c>
      <c r="G377" s="3186">
        <v>1150</v>
      </c>
      <c r="H377" s="958"/>
    </row>
    <row r="378" spans="1:8">
      <c r="A378" s="3180" t="s">
        <v>2759</v>
      </c>
      <c r="B378" s="3181" t="s">
        <v>3015</v>
      </c>
      <c r="C378" s="3181">
        <v>1520</v>
      </c>
      <c r="D378" s="3181">
        <v>1490</v>
      </c>
      <c r="E378" s="3181">
        <v>1460</v>
      </c>
      <c r="F378" s="3181">
        <v>460</v>
      </c>
      <c r="G378" s="3182">
        <v>940</v>
      </c>
      <c r="H378" s="958"/>
    </row>
    <row r="379" spans="1:8">
      <c r="A379" s="3183" t="s">
        <v>2759</v>
      </c>
      <c r="B379" s="3164" t="s">
        <v>3016</v>
      </c>
      <c r="C379" s="3164">
        <v>1500</v>
      </c>
      <c r="D379" s="3164">
        <v>1470</v>
      </c>
      <c r="E379" s="3164">
        <v>1430</v>
      </c>
      <c r="F379" s="3164">
        <v>460</v>
      </c>
      <c r="G379" s="3176">
        <v>920</v>
      </c>
      <c r="H379" s="958"/>
    </row>
    <row r="380" spans="1:8">
      <c r="A380" s="3183" t="s">
        <v>2759</v>
      </c>
      <c r="B380" s="3164" t="s">
        <v>3017</v>
      </c>
      <c r="C380" s="3164">
        <v>1620</v>
      </c>
      <c r="D380" s="3164">
        <v>1590</v>
      </c>
      <c r="E380" s="3164">
        <v>1560</v>
      </c>
      <c r="F380" s="3164">
        <v>480</v>
      </c>
      <c r="G380" s="3176">
        <v>1000</v>
      </c>
      <c r="H380" s="958"/>
    </row>
    <row r="381" spans="1:8">
      <c r="A381" s="3183" t="s">
        <v>2759</v>
      </c>
      <c r="B381" s="3164" t="s">
        <v>3018</v>
      </c>
      <c r="C381" s="3164">
        <v>1460</v>
      </c>
      <c r="D381" s="3164">
        <v>1430</v>
      </c>
      <c r="E381" s="3164">
        <v>1390</v>
      </c>
      <c r="F381" s="3164">
        <v>450</v>
      </c>
      <c r="G381" s="3176">
        <v>900</v>
      </c>
      <c r="H381" s="958"/>
    </row>
    <row r="382" spans="1:8">
      <c r="A382" s="3183" t="s">
        <v>2759</v>
      </c>
      <c r="B382" s="3164" t="s">
        <v>3019</v>
      </c>
      <c r="C382" s="3164">
        <v>1310</v>
      </c>
      <c r="D382" s="3164">
        <v>1280</v>
      </c>
      <c r="E382" s="3164">
        <v>1250</v>
      </c>
      <c r="F382" s="3164">
        <v>440</v>
      </c>
      <c r="G382" s="3176">
        <v>800</v>
      </c>
      <c r="H382" s="958"/>
    </row>
    <row r="383" spans="1:8">
      <c r="A383" s="3183" t="s">
        <v>2759</v>
      </c>
      <c r="B383" s="3164" t="s">
        <v>3020</v>
      </c>
      <c r="C383" s="3164">
        <v>1260</v>
      </c>
      <c r="D383" s="3164">
        <v>1230</v>
      </c>
      <c r="E383" s="3164">
        <v>1200</v>
      </c>
      <c r="F383" s="3164">
        <v>420</v>
      </c>
      <c r="G383" s="3176">
        <v>770</v>
      </c>
      <c r="H383" s="958"/>
    </row>
    <row r="384" spans="1:8" ht="14.25" thickBot="1">
      <c r="A384" s="3184" t="s">
        <v>2759</v>
      </c>
      <c r="B384" s="3178" t="s">
        <v>3021</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71" t="s">
        <v>3184</v>
      </c>
      <c r="B1" s="3671"/>
      <c r="C1" s="3671"/>
      <c r="D1" s="3671"/>
      <c r="E1" s="3671"/>
      <c r="F1" s="3672"/>
    </row>
    <row r="2" spans="1:6">
      <c r="A2" s="3229" t="s">
        <v>3185</v>
      </c>
      <c r="B2" s="1490"/>
      <c r="C2" s="1490"/>
      <c r="D2" s="1490"/>
      <c r="E2" s="1490"/>
      <c r="F2" s="1490"/>
    </row>
    <row r="3" spans="1:6">
      <c r="A3" s="3229" t="s">
        <v>3186</v>
      </c>
      <c r="B3" s="1490"/>
      <c r="C3" s="1490"/>
      <c r="D3" s="1490"/>
      <c r="E3" s="1490"/>
      <c r="F3" s="3230" t="s">
        <v>3187</v>
      </c>
    </row>
    <row r="4" spans="1:6">
      <c r="A4" s="3231" t="s">
        <v>3182</v>
      </c>
      <c r="B4" s="3231" t="s">
        <v>2734</v>
      </c>
      <c r="C4" s="3231" t="s">
        <v>1212</v>
      </c>
      <c r="D4" s="3231" t="s">
        <v>3183</v>
      </c>
      <c r="E4" s="3231" t="s">
        <v>905</v>
      </c>
      <c r="F4" s="3231" t="s">
        <v>3188</v>
      </c>
    </row>
    <row r="5" spans="1:6">
      <c r="A5" s="3232" t="s">
        <v>2757</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2758</v>
      </c>
      <c r="B16" s="3234">
        <v>2230</v>
      </c>
      <c r="C16" s="3234">
        <v>2200</v>
      </c>
      <c r="D16" s="3234">
        <v>2180</v>
      </c>
      <c r="E16" s="3234">
        <v>570</v>
      </c>
      <c r="F16" s="3234">
        <v>1330</v>
      </c>
    </row>
    <row r="17" spans="1:6">
      <c r="A17" s="3232" t="s">
        <v>2759</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2" t="s">
        <v>2771</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2758</v>
      </c>
      <c r="M2" s="926" t="s">
        <v>2759</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2" t="s">
        <v>2772</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2758</v>
      </c>
      <c r="M94" s="932" t="s">
        <v>2759</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2" t="s">
        <v>2773</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2758</v>
      </c>
      <c r="M186" s="932" t="s">
        <v>2759</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2" t="s">
        <v>2774</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2758</v>
      </c>
      <c r="M278" s="932" t="s">
        <v>2759</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2" t="s">
        <v>2775</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2758</v>
      </c>
      <c r="M370" s="932" t="s">
        <v>2759</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56.25">
      <c r="A7" s="1492" t="s">
        <v>2029</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2198</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18.75">
      <c r="A21" s="1488" t="s">
        <v>1592</v>
      </c>
    </row>
    <row r="22" spans="1:1" ht="112.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673" t="s">
        <v>3022</v>
      </c>
      <c r="B1" s="3673"/>
    </row>
    <row r="2" spans="1:7" ht="14.25" thickBot="1">
      <c r="A2" s="3195"/>
      <c r="B2" s="3195"/>
    </row>
    <row r="3" spans="1:7" ht="14.25" thickBot="1">
      <c r="A3" s="3195"/>
      <c r="B3" s="3195"/>
      <c r="C3" s="3196" t="s">
        <v>3023</v>
      </c>
      <c r="D3" s="3196" t="s">
        <v>3024</v>
      </c>
      <c r="E3" s="3196" t="s">
        <v>3025</v>
      </c>
      <c r="F3" s="3196" t="s">
        <v>3026</v>
      </c>
      <c r="G3" s="3196" t="s">
        <v>3027</v>
      </c>
    </row>
    <row r="4" spans="1:7" ht="14.25" thickBot="1">
      <c r="A4" s="3197" t="s">
        <v>3028</v>
      </c>
      <c r="B4" s="3198" t="s">
        <v>3029</v>
      </c>
      <c r="C4" s="3196"/>
      <c r="D4" s="3196"/>
      <c r="E4" s="3196"/>
      <c r="F4" s="3196"/>
      <c r="G4" s="3196"/>
    </row>
    <row r="5" spans="1:7">
      <c r="A5" s="3199" t="s">
        <v>3030</v>
      </c>
      <c r="B5" s="3200" t="s">
        <v>3031</v>
      </c>
      <c r="C5" s="3201">
        <v>9.8000000000000004E-2</v>
      </c>
      <c r="D5" s="3201">
        <v>8.6999999999999994E-2</v>
      </c>
      <c r="E5" s="3201">
        <v>8.6999999999999994E-2</v>
      </c>
      <c r="F5" s="3201">
        <v>9.8000000000000004E-2</v>
      </c>
      <c r="G5" s="3202">
        <v>9.5000000000000001E-2</v>
      </c>
    </row>
    <row r="6" spans="1:7">
      <c r="A6" s="3203" t="s">
        <v>990</v>
      </c>
      <c r="B6" s="3204" t="s">
        <v>3032</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3033</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3034</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2820</v>
      </c>
      <c r="C29" s="3213"/>
      <c r="D29" s="3209">
        <v>5.1999999999999998E-2</v>
      </c>
      <c r="E29" s="3209">
        <v>7.0000000000000007E-2</v>
      </c>
      <c r="F29" s="3213"/>
      <c r="G29" s="3211">
        <v>7.0999999999999994E-2</v>
      </c>
    </row>
    <row r="30" spans="1:7">
      <c r="A30" s="3214" t="s">
        <v>1145</v>
      </c>
      <c r="B30" s="3200" t="s">
        <v>3035</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3036</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2822</v>
      </c>
      <c r="C50" s="3205">
        <v>9.8000000000000004E-2</v>
      </c>
      <c r="D50" s="3205">
        <v>7.2999999999999995E-2</v>
      </c>
      <c r="E50" s="3205">
        <v>7.0999999999999994E-2</v>
      </c>
      <c r="F50" s="3216"/>
      <c r="G50" s="3206">
        <v>7.2999999999999995E-2</v>
      </c>
    </row>
    <row r="51" spans="1:7">
      <c r="A51" s="3215" t="s">
        <v>1145</v>
      </c>
      <c r="B51" s="3204" t="s">
        <v>2823</v>
      </c>
      <c r="C51" s="3205">
        <v>9.9000000000000005E-2</v>
      </c>
      <c r="D51" s="3205">
        <v>8.5000000000000006E-2</v>
      </c>
      <c r="E51" s="3205">
        <v>6.3E-2</v>
      </c>
      <c r="F51" s="3216"/>
      <c r="G51" s="3206">
        <v>9.6000000000000002E-2</v>
      </c>
    </row>
    <row r="52" spans="1:7">
      <c r="A52" s="3215" t="s">
        <v>1145</v>
      </c>
      <c r="B52" s="3204" t="s">
        <v>2824</v>
      </c>
      <c r="C52" s="3205">
        <v>7.3999999999999996E-2</v>
      </c>
      <c r="D52" s="3205">
        <v>9.6000000000000002E-2</v>
      </c>
      <c r="E52" s="3205">
        <v>0.05</v>
      </c>
      <c r="F52" s="3216"/>
      <c r="G52" s="3206">
        <v>9.8000000000000004E-2</v>
      </c>
    </row>
    <row r="53" spans="1:7">
      <c r="A53" s="3215" t="s">
        <v>1145</v>
      </c>
      <c r="B53" s="3204" t="s">
        <v>2825</v>
      </c>
      <c r="C53" s="3205">
        <v>8.5999999999999993E-2</v>
      </c>
      <c r="D53" s="3216"/>
      <c r="E53" s="3205">
        <v>9.1999999999999998E-2</v>
      </c>
      <c r="F53" s="3216"/>
      <c r="G53" s="3217"/>
    </row>
    <row r="54" spans="1:7" ht="14.25" thickBot="1">
      <c r="A54" s="3218" t="s">
        <v>1145</v>
      </c>
      <c r="B54" s="3208" t="s">
        <v>2826</v>
      </c>
      <c r="C54" s="3209">
        <v>9.6000000000000002E-2</v>
      </c>
      <c r="D54" s="3210"/>
      <c r="E54" s="3219"/>
      <c r="F54" s="3210"/>
      <c r="G54" s="3220"/>
    </row>
    <row r="55" spans="1:7">
      <c r="A55" s="3214" t="s">
        <v>853</v>
      </c>
      <c r="B55" s="3200" t="s">
        <v>3037</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2828</v>
      </c>
      <c r="C78" s="3205">
        <v>0.1</v>
      </c>
      <c r="D78" s="3205">
        <v>8.5000000000000006E-2</v>
      </c>
      <c r="E78" s="3205">
        <v>9.6000000000000002E-2</v>
      </c>
      <c r="F78" s="3216"/>
      <c r="G78" s="3206">
        <v>9.6000000000000002E-2</v>
      </c>
    </row>
    <row r="79" spans="1:7">
      <c r="A79" s="3215" t="s">
        <v>853</v>
      </c>
      <c r="B79" s="3204" t="s">
        <v>2829</v>
      </c>
      <c r="C79" s="3205">
        <v>0.05</v>
      </c>
      <c r="D79" s="3205">
        <v>9.6000000000000002E-2</v>
      </c>
      <c r="E79" s="3205">
        <v>9.5000000000000001E-2</v>
      </c>
      <c r="F79" s="3216"/>
      <c r="G79" s="3206">
        <v>9.8000000000000004E-2</v>
      </c>
    </row>
    <row r="80" spans="1:7">
      <c r="A80" s="3215" t="s">
        <v>853</v>
      </c>
      <c r="B80" s="3204" t="s">
        <v>2830</v>
      </c>
      <c r="C80" s="3205">
        <v>8.5999999999999993E-2</v>
      </c>
      <c r="D80" s="3221"/>
      <c r="E80" s="3205">
        <v>0.1</v>
      </c>
      <c r="F80" s="3216"/>
      <c r="G80" s="3217"/>
    </row>
    <row r="81" spans="1:7">
      <c r="A81" s="3215" t="s">
        <v>853</v>
      </c>
      <c r="B81" s="3204" t="s">
        <v>2831</v>
      </c>
      <c r="C81" s="3205">
        <v>9.6000000000000002E-2</v>
      </c>
      <c r="D81" s="3216"/>
      <c r="E81" s="3205">
        <v>9.8000000000000004E-2</v>
      </c>
      <c r="F81" s="3216"/>
      <c r="G81" s="3217"/>
    </row>
    <row r="82" spans="1:7">
      <c r="A82" s="3215" t="s">
        <v>853</v>
      </c>
      <c r="B82" s="3204" t="s">
        <v>2832</v>
      </c>
      <c r="C82" s="3221"/>
      <c r="D82" s="3216"/>
      <c r="E82" s="3205">
        <v>7.6999999999999999E-2</v>
      </c>
      <c r="F82" s="3216"/>
      <c r="G82" s="3217"/>
    </row>
    <row r="83" spans="1:7">
      <c r="A83" s="3215" t="s">
        <v>853</v>
      </c>
      <c r="B83" s="3204" t="s">
        <v>3038</v>
      </c>
      <c r="C83" s="3216"/>
      <c r="D83" s="3216"/>
      <c r="E83" s="3216"/>
      <c r="F83" s="3205">
        <v>0.1</v>
      </c>
      <c r="G83" s="3222"/>
    </row>
    <row r="84" spans="1:7">
      <c r="A84" s="3215" t="s">
        <v>853</v>
      </c>
      <c r="B84" s="3204" t="s">
        <v>3039</v>
      </c>
      <c r="C84" s="3216"/>
      <c r="D84" s="3216"/>
      <c r="E84" s="3216"/>
      <c r="F84" s="3205">
        <v>0.1</v>
      </c>
      <c r="G84" s="3222"/>
    </row>
    <row r="85" spans="1:7">
      <c r="A85" s="3215" t="s">
        <v>853</v>
      </c>
      <c r="B85" s="3204" t="s">
        <v>3040</v>
      </c>
      <c r="C85" s="3216"/>
      <c r="D85" s="3216"/>
      <c r="E85" s="3216"/>
      <c r="F85" s="3205">
        <v>0.1</v>
      </c>
      <c r="G85" s="3222"/>
    </row>
    <row r="86" spans="1:7" ht="14.25" thickBot="1">
      <c r="A86" s="3218" t="s">
        <v>853</v>
      </c>
      <c r="B86" s="3208" t="s">
        <v>3041</v>
      </c>
      <c r="C86" s="3209">
        <v>9.8000000000000004E-2</v>
      </c>
      <c r="D86" s="3209">
        <v>9.8000000000000004E-2</v>
      </c>
      <c r="E86" s="3209">
        <v>9.6000000000000002E-2</v>
      </c>
      <c r="F86" s="3219"/>
      <c r="G86" s="3211">
        <v>0.1</v>
      </c>
    </row>
    <row r="87" spans="1:7">
      <c r="A87" s="3214" t="s">
        <v>1152</v>
      </c>
      <c r="B87" s="3200" t="s">
        <v>3042</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2838</v>
      </c>
      <c r="C113" s="3205">
        <v>0.1</v>
      </c>
      <c r="D113" s="3205">
        <v>0.1</v>
      </c>
      <c r="E113" s="3216"/>
      <c r="F113" s="3216"/>
      <c r="G113" s="3206">
        <v>0.1</v>
      </c>
    </row>
    <row r="114" spans="1:7">
      <c r="A114" s="3215" t="s">
        <v>1152</v>
      </c>
      <c r="B114" s="3204" t="s">
        <v>2839</v>
      </c>
      <c r="C114" s="3205">
        <v>9.7000000000000003E-2</v>
      </c>
      <c r="D114" s="3205">
        <v>9.7000000000000003E-2</v>
      </c>
      <c r="E114" s="3216"/>
      <c r="F114" s="3216"/>
      <c r="G114" s="3206">
        <v>9.9000000000000005E-2</v>
      </c>
    </row>
    <row r="115" spans="1:7">
      <c r="A115" s="3215" t="s">
        <v>1152</v>
      </c>
      <c r="B115" s="3204" t="s">
        <v>2840</v>
      </c>
      <c r="C115" s="3205">
        <v>0.1</v>
      </c>
      <c r="D115" s="3205">
        <v>0.1</v>
      </c>
      <c r="E115" s="3216"/>
      <c r="F115" s="3216"/>
      <c r="G115" s="3206">
        <v>0.1</v>
      </c>
    </row>
    <row r="116" spans="1:7">
      <c r="A116" s="3215" t="s">
        <v>1152</v>
      </c>
      <c r="B116" s="3204" t="s">
        <v>2841</v>
      </c>
      <c r="C116" s="3205">
        <v>0.1</v>
      </c>
      <c r="D116" s="3205">
        <v>0.1</v>
      </c>
      <c r="E116" s="3216"/>
      <c r="F116" s="3216"/>
      <c r="G116" s="3206">
        <v>0.1</v>
      </c>
    </row>
    <row r="117" spans="1:7">
      <c r="A117" s="3215" t="s">
        <v>1152</v>
      </c>
      <c r="B117" s="3204" t="s">
        <v>2842</v>
      </c>
      <c r="C117" s="3205">
        <v>9.7000000000000003E-2</v>
      </c>
      <c r="D117" s="3205">
        <v>9.7000000000000003E-2</v>
      </c>
      <c r="E117" s="3216"/>
      <c r="F117" s="3216"/>
      <c r="G117" s="3206">
        <v>9.7000000000000003E-2</v>
      </c>
    </row>
    <row r="118" spans="1:7">
      <c r="A118" s="3215" t="s">
        <v>1152</v>
      </c>
      <c r="B118" s="3204" t="s">
        <v>2843</v>
      </c>
      <c r="C118" s="3205">
        <v>0.1</v>
      </c>
      <c r="D118" s="3205">
        <v>0.1</v>
      </c>
      <c r="E118" s="3216"/>
      <c r="F118" s="3216"/>
      <c r="G118" s="3206">
        <v>0.1</v>
      </c>
    </row>
    <row r="119" spans="1:7">
      <c r="A119" s="3215" t="s">
        <v>1152</v>
      </c>
      <c r="B119" s="3204" t="s">
        <v>2844</v>
      </c>
      <c r="C119" s="3205">
        <v>5.0999999999999997E-2</v>
      </c>
      <c r="D119" s="3205">
        <v>5.1999999999999998E-2</v>
      </c>
      <c r="E119" s="3216"/>
      <c r="F119" s="3221"/>
      <c r="G119" s="3206">
        <v>0.06</v>
      </c>
    </row>
    <row r="120" spans="1:7">
      <c r="A120" s="3215" t="s">
        <v>1152</v>
      </c>
      <c r="B120" s="3204" t="s">
        <v>3043</v>
      </c>
      <c r="C120" s="3216"/>
      <c r="D120" s="3216"/>
      <c r="E120" s="3216"/>
      <c r="F120" s="3205">
        <v>0.1</v>
      </c>
      <c r="G120" s="3222"/>
    </row>
    <row r="121" spans="1:7">
      <c r="A121" s="3215" t="s">
        <v>1152</v>
      </c>
      <c r="B121" s="3204" t="s">
        <v>3044</v>
      </c>
      <c r="C121" s="3216"/>
      <c r="D121" s="3216"/>
      <c r="E121" s="3216"/>
      <c r="F121" s="3205">
        <v>0.1</v>
      </c>
      <c r="G121" s="3222"/>
    </row>
    <row r="122" spans="1:7">
      <c r="A122" s="3215" t="s">
        <v>1152</v>
      </c>
      <c r="B122" s="3204" t="s">
        <v>3045</v>
      </c>
      <c r="C122" s="3205">
        <v>0.1</v>
      </c>
      <c r="D122" s="3205">
        <v>0.1</v>
      </c>
      <c r="E122" s="3205">
        <v>9.8000000000000004E-2</v>
      </c>
      <c r="F122" s="3205">
        <v>0.1</v>
      </c>
      <c r="G122" s="3206">
        <v>0.1</v>
      </c>
    </row>
    <row r="123" spans="1:7">
      <c r="A123" s="3215" t="s">
        <v>1152</v>
      </c>
      <c r="B123" s="3204" t="s">
        <v>2848</v>
      </c>
      <c r="C123" s="3205">
        <v>0.1</v>
      </c>
      <c r="D123" s="3205">
        <v>0.1</v>
      </c>
      <c r="E123" s="3205">
        <v>9.8000000000000004E-2</v>
      </c>
      <c r="F123" s="3205">
        <v>0.1</v>
      </c>
      <c r="G123" s="3206">
        <v>0.1</v>
      </c>
    </row>
    <row r="124" spans="1:7">
      <c r="A124" s="3215" t="s">
        <v>1152</v>
      </c>
      <c r="B124" s="3204" t="s">
        <v>2849</v>
      </c>
      <c r="C124" s="3205">
        <v>0.1</v>
      </c>
      <c r="D124" s="3205">
        <v>0.1</v>
      </c>
      <c r="E124" s="3205">
        <v>9.8000000000000004E-2</v>
      </c>
      <c r="F124" s="3221"/>
      <c r="G124" s="3206">
        <v>0.1</v>
      </c>
    </row>
    <row r="125" spans="1:7">
      <c r="A125" s="3215" t="s">
        <v>1152</v>
      </c>
      <c r="B125" s="3204" t="s">
        <v>2850</v>
      </c>
      <c r="C125" s="3205">
        <v>9.8000000000000004E-2</v>
      </c>
      <c r="D125" s="3205">
        <v>9.8000000000000004E-2</v>
      </c>
      <c r="E125" s="3205">
        <v>9.6000000000000002E-2</v>
      </c>
      <c r="F125" s="3221"/>
      <c r="G125" s="3206">
        <v>0.1</v>
      </c>
    </row>
    <row r="126" spans="1:7" ht="14.25" thickBot="1">
      <c r="A126" s="3218" t="s">
        <v>1152</v>
      </c>
      <c r="B126" s="3208" t="s">
        <v>3046</v>
      </c>
      <c r="C126" s="3209">
        <v>0.1</v>
      </c>
      <c r="D126" s="3209">
        <v>0.1</v>
      </c>
      <c r="E126" s="3209">
        <v>9.8000000000000004E-2</v>
      </c>
      <c r="F126" s="3209">
        <v>0.1</v>
      </c>
      <c r="G126" s="3211">
        <v>0.1</v>
      </c>
    </row>
    <row r="127" spans="1:7">
      <c r="A127" s="3214" t="s">
        <v>1153</v>
      </c>
      <c r="B127" s="3200" t="s">
        <v>3047</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3048</v>
      </c>
      <c r="C148" s="3205">
        <v>0.13</v>
      </c>
      <c r="D148" s="3205">
        <v>0.13</v>
      </c>
      <c r="E148" s="3205">
        <v>0.13</v>
      </c>
      <c r="F148" s="3216"/>
      <c r="G148" s="3206">
        <v>0.13</v>
      </c>
    </row>
    <row r="149" spans="1:7">
      <c r="A149" s="3215" t="s">
        <v>1153</v>
      </c>
      <c r="B149" s="3204" t="s">
        <v>3049</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2855</v>
      </c>
      <c r="C153" s="3205">
        <v>0.13</v>
      </c>
      <c r="D153" s="3205">
        <v>0.13</v>
      </c>
      <c r="E153" s="3205">
        <v>0.13</v>
      </c>
      <c r="F153" s="3205">
        <v>0.13</v>
      </c>
      <c r="G153" s="3206">
        <v>0.13</v>
      </c>
    </row>
    <row r="154" spans="1:7">
      <c r="A154" s="3215" t="s">
        <v>1153</v>
      </c>
      <c r="B154" s="3204" t="s">
        <v>3050</v>
      </c>
      <c r="C154" s="3205">
        <v>0.121</v>
      </c>
      <c r="D154" s="3205">
        <v>0.121</v>
      </c>
      <c r="E154" s="3205">
        <v>0.105</v>
      </c>
      <c r="F154" s="3205">
        <v>0.121</v>
      </c>
      <c r="G154" s="3206">
        <v>0.123</v>
      </c>
    </row>
    <row r="155" spans="1:7">
      <c r="A155" s="3215" t="s">
        <v>1153</v>
      </c>
      <c r="B155" s="3204" t="s">
        <v>2857</v>
      </c>
      <c r="C155" s="3205">
        <v>0.1</v>
      </c>
      <c r="D155" s="3205">
        <v>0.1</v>
      </c>
      <c r="E155" s="3205">
        <v>0.1</v>
      </c>
      <c r="F155" s="3205">
        <v>0.1</v>
      </c>
      <c r="G155" s="3206">
        <v>0.1</v>
      </c>
    </row>
    <row r="156" spans="1:7">
      <c r="A156" s="3215" t="s">
        <v>1153</v>
      </c>
      <c r="B156" s="3204" t="s">
        <v>3051</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3052</v>
      </c>
      <c r="C160" s="3205">
        <v>0.13</v>
      </c>
      <c r="D160" s="3205">
        <v>0.13</v>
      </c>
      <c r="E160" s="3205">
        <v>0.124</v>
      </c>
      <c r="F160" s="3205">
        <v>0.126</v>
      </c>
      <c r="G160" s="3206">
        <v>0.13</v>
      </c>
    </row>
    <row r="161" spans="1:7">
      <c r="A161" s="3215" t="s">
        <v>1153</v>
      </c>
      <c r="B161" s="3204" t="s">
        <v>2860</v>
      </c>
      <c r="C161" s="3205">
        <v>0.13</v>
      </c>
      <c r="D161" s="3205">
        <v>0.13</v>
      </c>
      <c r="E161" s="3205">
        <v>0.124</v>
      </c>
      <c r="F161" s="3205">
        <v>0.127</v>
      </c>
      <c r="G161" s="3206">
        <v>0.13</v>
      </c>
    </row>
    <row r="162" spans="1:7">
      <c r="A162" s="3215" t="s">
        <v>1153</v>
      </c>
      <c r="B162" s="3204" t="s">
        <v>2861</v>
      </c>
      <c r="C162" s="3205">
        <v>0.1</v>
      </c>
      <c r="D162" s="3205">
        <v>0.1</v>
      </c>
      <c r="E162" s="3205">
        <v>0.1</v>
      </c>
      <c r="F162" s="3205">
        <v>0.121</v>
      </c>
      <c r="G162" s="3206">
        <v>0.105</v>
      </c>
    </row>
    <row r="163" spans="1:7">
      <c r="A163" s="3215" t="s">
        <v>1153</v>
      </c>
      <c r="B163" s="3204" t="s">
        <v>2862</v>
      </c>
      <c r="C163" s="3205">
        <v>0.1</v>
      </c>
      <c r="D163" s="3205">
        <v>0.1</v>
      </c>
      <c r="E163" s="3205">
        <v>0.1</v>
      </c>
      <c r="F163" s="3205">
        <v>0.1</v>
      </c>
      <c r="G163" s="3206">
        <v>0.1</v>
      </c>
    </row>
    <row r="164" spans="1:7">
      <c r="A164" s="3215" t="s">
        <v>1153</v>
      </c>
      <c r="B164" s="3204" t="s">
        <v>2863</v>
      </c>
      <c r="C164" s="3221"/>
      <c r="D164" s="3221"/>
      <c r="E164" s="3221"/>
      <c r="F164" s="3205">
        <v>0.1</v>
      </c>
      <c r="G164" s="3217"/>
    </row>
    <row r="165" spans="1:7">
      <c r="A165" s="3215" t="s">
        <v>1153</v>
      </c>
      <c r="B165" s="3204" t="s">
        <v>3053</v>
      </c>
      <c r="C165" s="3205">
        <v>0.126</v>
      </c>
      <c r="D165" s="3205">
        <v>0.126</v>
      </c>
      <c r="E165" s="3205">
        <v>0.11899999999999999</v>
      </c>
      <c r="F165" s="3205">
        <v>0.13</v>
      </c>
      <c r="G165" s="3206">
        <v>0.128</v>
      </c>
    </row>
    <row r="166" spans="1:7">
      <c r="A166" s="3215" t="s">
        <v>1153</v>
      </c>
      <c r="B166" s="3204" t="s">
        <v>2865</v>
      </c>
      <c r="C166" s="3205">
        <v>0.129</v>
      </c>
      <c r="D166" s="3205">
        <v>0.129</v>
      </c>
      <c r="E166" s="3205">
        <v>0.123</v>
      </c>
      <c r="F166" s="3205">
        <v>0.128</v>
      </c>
      <c r="G166" s="3206">
        <v>0.13</v>
      </c>
    </row>
    <row r="167" spans="1:7">
      <c r="A167" s="3215" t="s">
        <v>1153</v>
      </c>
      <c r="B167" s="3204" t="s">
        <v>2866</v>
      </c>
      <c r="C167" s="3205">
        <v>0.125</v>
      </c>
      <c r="D167" s="3205">
        <v>0.125</v>
      </c>
      <c r="E167" s="3205">
        <v>0.11700000000000001</v>
      </c>
      <c r="F167" s="3205">
        <v>0.13</v>
      </c>
      <c r="G167" s="3206">
        <v>0.126</v>
      </c>
    </row>
    <row r="168" spans="1:7">
      <c r="A168" s="3215" t="s">
        <v>1153</v>
      </c>
      <c r="B168" s="3204" t="s">
        <v>2867</v>
      </c>
      <c r="C168" s="3205">
        <v>0.128</v>
      </c>
      <c r="D168" s="3205">
        <v>0.128</v>
      </c>
      <c r="E168" s="3205">
        <v>0.123</v>
      </c>
      <c r="F168" s="3216"/>
      <c r="G168" s="3206">
        <v>0.13</v>
      </c>
    </row>
    <row r="169" spans="1:7">
      <c r="A169" s="3215" t="s">
        <v>1153</v>
      </c>
      <c r="B169" s="3204" t="s">
        <v>3054</v>
      </c>
      <c r="C169" s="3221"/>
      <c r="D169" s="3221"/>
      <c r="E169" s="3221"/>
      <c r="F169" s="3205">
        <v>0.05</v>
      </c>
      <c r="G169" s="3217"/>
    </row>
    <row r="170" spans="1:7">
      <c r="A170" s="3215" t="s">
        <v>1153</v>
      </c>
      <c r="B170" s="3204" t="s">
        <v>3055</v>
      </c>
      <c r="C170" s="3221"/>
      <c r="D170" s="3221"/>
      <c r="E170" s="3221"/>
      <c r="F170" s="3205">
        <v>0.05</v>
      </c>
      <c r="G170" s="3217"/>
    </row>
    <row r="171" spans="1:7">
      <c r="A171" s="3215" t="s">
        <v>1153</v>
      </c>
      <c r="B171" s="3204" t="s">
        <v>3056</v>
      </c>
      <c r="C171" s="3221"/>
      <c r="D171" s="3221"/>
      <c r="E171" s="3221"/>
      <c r="F171" s="3205">
        <v>0.05</v>
      </c>
      <c r="G171" s="3222"/>
    </row>
    <row r="172" spans="1:7">
      <c r="A172" s="3215" t="s">
        <v>1153</v>
      </c>
      <c r="B172" s="3204" t="s">
        <v>3057</v>
      </c>
      <c r="C172" s="3221"/>
      <c r="D172" s="3221"/>
      <c r="E172" s="3221"/>
      <c r="F172" s="3205">
        <v>0.05</v>
      </c>
      <c r="G172" s="3222"/>
    </row>
    <row r="173" spans="1:7">
      <c r="A173" s="3215" t="s">
        <v>1153</v>
      </c>
      <c r="B173" s="3204" t="s">
        <v>3058</v>
      </c>
      <c r="C173" s="3221"/>
      <c r="D173" s="3221"/>
      <c r="E173" s="3221"/>
      <c r="F173" s="3205">
        <v>0.05</v>
      </c>
      <c r="G173" s="3217"/>
    </row>
    <row r="174" spans="1:7">
      <c r="A174" s="3215" t="s">
        <v>1153</v>
      </c>
      <c r="B174" s="3204" t="s">
        <v>3059</v>
      </c>
      <c r="C174" s="3221"/>
      <c r="D174" s="3221"/>
      <c r="E174" s="3221"/>
      <c r="F174" s="3205">
        <v>0.05</v>
      </c>
      <c r="G174" s="3217"/>
    </row>
    <row r="175" spans="1:7">
      <c r="A175" s="3215" t="s">
        <v>1153</v>
      </c>
      <c r="B175" s="3204" t="s">
        <v>3060</v>
      </c>
      <c r="C175" s="3221"/>
      <c r="D175" s="3221"/>
      <c r="E175" s="3221"/>
      <c r="F175" s="3205">
        <v>0.05</v>
      </c>
      <c r="G175" s="3217"/>
    </row>
    <row r="176" spans="1:7">
      <c r="A176" s="3215" t="s">
        <v>1153</v>
      </c>
      <c r="B176" s="3204" t="s">
        <v>3061</v>
      </c>
      <c r="C176" s="3221"/>
      <c r="D176" s="3221"/>
      <c r="E176" s="3221"/>
      <c r="F176" s="3205">
        <v>0.05</v>
      </c>
      <c r="G176" s="3217"/>
    </row>
    <row r="177" spans="1:7">
      <c r="A177" s="3215" t="s">
        <v>1153</v>
      </c>
      <c r="B177" s="3204" t="s">
        <v>3062</v>
      </c>
      <c r="C177" s="3216"/>
      <c r="D177" s="3216"/>
      <c r="E177" s="3216"/>
      <c r="F177" s="3205">
        <v>0.05</v>
      </c>
      <c r="G177" s="3222"/>
    </row>
    <row r="178" spans="1:7">
      <c r="A178" s="3215" t="s">
        <v>1153</v>
      </c>
      <c r="B178" s="3204" t="s">
        <v>3063</v>
      </c>
      <c r="C178" s="3216"/>
      <c r="D178" s="3216"/>
      <c r="E178" s="3216"/>
      <c r="F178" s="3205">
        <v>0.05</v>
      </c>
      <c r="G178" s="3222"/>
    </row>
    <row r="179" spans="1:7">
      <c r="A179" s="3215" t="s">
        <v>1153</v>
      </c>
      <c r="B179" s="3204" t="s">
        <v>3064</v>
      </c>
      <c r="C179" s="3216"/>
      <c r="D179" s="3216"/>
      <c r="E179" s="3216"/>
      <c r="F179" s="3205">
        <v>0.05</v>
      </c>
      <c r="G179" s="3222"/>
    </row>
    <row r="180" spans="1:7">
      <c r="A180" s="3215" t="s">
        <v>1153</v>
      </c>
      <c r="B180" s="3204" t="s">
        <v>3065</v>
      </c>
      <c r="C180" s="3216"/>
      <c r="D180" s="3216"/>
      <c r="E180" s="3216"/>
      <c r="F180" s="3205">
        <v>0.05</v>
      </c>
      <c r="G180" s="3222"/>
    </row>
    <row r="181" spans="1:7">
      <c r="A181" s="3215" t="s">
        <v>1153</v>
      </c>
      <c r="B181" s="3204" t="s">
        <v>3066</v>
      </c>
      <c r="C181" s="3216"/>
      <c r="D181" s="3216"/>
      <c r="E181" s="3216"/>
      <c r="F181" s="3205">
        <v>0.05</v>
      </c>
      <c r="G181" s="3222"/>
    </row>
    <row r="182" spans="1:7">
      <c r="A182" s="3215" t="s">
        <v>1153</v>
      </c>
      <c r="B182" s="3204" t="s">
        <v>3067</v>
      </c>
      <c r="C182" s="3216"/>
      <c r="D182" s="3216"/>
      <c r="E182" s="3216"/>
      <c r="F182" s="3205">
        <v>0.05</v>
      </c>
      <c r="G182" s="3222"/>
    </row>
    <row r="183" spans="1:7">
      <c r="A183" s="3215" t="s">
        <v>1153</v>
      </c>
      <c r="B183" s="3204" t="s">
        <v>3068</v>
      </c>
      <c r="C183" s="3216"/>
      <c r="D183" s="3216"/>
      <c r="E183" s="3216"/>
      <c r="F183" s="3205">
        <v>0.05</v>
      </c>
      <c r="G183" s="3222"/>
    </row>
    <row r="184" spans="1:7">
      <c r="A184" s="3215" t="s">
        <v>1153</v>
      </c>
      <c r="B184" s="3204" t="s">
        <v>3069</v>
      </c>
      <c r="C184" s="3216"/>
      <c r="D184" s="3216"/>
      <c r="E184" s="3216"/>
      <c r="F184" s="3205">
        <v>0.05</v>
      </c>
      <c r="G184" s="3222"/>
    </row>
    <row r="185" spans="1:7">
      <c r="A185" s="3215" t="s">
        <v>1153</v>
      </c>
      <c r="B185" s="3204" t="s">
        <v>3070</v>
      </c>
      <c r="C185" s="3216"/>
      <c r="D185" s="3216"/>
      <c r="E185" s="3216"/>
      <c r="F185" s="3205">
        <v>0.05</v>
      </c>
      <c r="G185" s="3222"/>
    </row>
    <row r="186" spans="1:7">
      <c r="A186" s="3215" t="s">
        <v>1153</v>
      </c>
      <c r="B186" s="3204" t="s">
        <v>3071</v>
      </c>
      <c r="C186" s="3216"/>
      <c r="D186" s="3216"/>
      <c r="E186" s="3216"/>
      <c r="F186" s="3205">
        <v>0.05</v>
      </c>
      <c r="G186" s="3222"/>
    </row>
    <row r="187" spans="1:7">
      <c r="A187" s="3215" t="s">
        <v>1153</v>
      </c>
      <c r="B187" s="3204" t="s">
        <v>3072</v>
      </c>
      <c r="C187" s="3216"/>
      <c r="D187" s="3216"/>
      <c r="E187" s="3216"/>
      <c r="F187" s="3205">
        <v>0.05</v>
      </c>
      <c r="G187" s="3222"/>
    </row>
    <row r="188" spans="1:7">
      <c r="A188" s="3215" t="s">
        <v>1153</v>
      </c>
      <c r="B188" s="3204" t="s">
        <v>3073</v>
      </c>
      <c r="C188" s="3216"/>
      <c r="D188" s="3216"/>
      <c r="E188" s="3216"/>
      <c r="F188" s="3205">
        <v>0.05</v>
      </c>
      <c r="G188" s="3222"/>
    </row>
    <row r="189" spans="1:7" ht="14.25" thickBot="1">
      <c r="A189" s="3218" t="s">
        <v>1153</v>
      </c>
      <c r="B189" s="3208" t="s">
        <v>3074</v>
      </c>
      <c r="C189" s="3210"/>
      <c r="D189" s="3210"/>
      <c r="E189" s="3210"/>
      <c r="F189" s="3209">
        <v>0.05</v>
      </c>
      <c r="G189" s="3223"/>
    </row>
    <row r="190" spans="1:7">
      <c r="A190" s="3214" t="s">
        <v>1154</v>
      </c>
      <c r="B190" s="3200" t="s">
        <v>3075</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3076</v>
      </c>
      <c r="C199" s="3205">
        <v>0.13</v>
      </c>
      <c r="D199" s="3205">
        <v>0.13</v>
      </c>
      <c r="E199" s="3205">
        <v>0.13</v>
      </c>
      <c r="F199" s="3205">
        <v>0.13</v>
      </c>
      <c r="G199" s="3206">
        <v>0.13</v>
      </c>
    </row>
    <row r="200" spans="1:7">
      <c r="A200" s="3215" t="s">
        <v>1154</v>
      </c>
      <c r="B200" s="3204" t="s">
        <v>2891</v>
      </c>
      <c r="C200" s="3221"/>
      <c r="D200" s="3221"/>
      <c r="E200" s="3221"/>
      <c r="F200" s="3205">
        <v>0.13</v>
      </c>
      <c r="G200" s="3217"/>
    </row>
    <row r="201" spans="1:7">
      <c r="A201" s="3215" t="s">
        <v>1154</v>
      </c>
      <c r="B201" s="3204" t="s">
        <v>3077</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3078</v>
      </c>
      <c r="C203" s="3205">
        <v>0.129</v>
      </c>
      <c r="D203" s="3205">
        <v>0.129</v>
      </c>
      <c r="E203" s="3205">
        <v>0.13</v>
      </c>
      <c r="F203" s="3205">
        <v>0.13</v>
      </c>
      <c r="G203" s="3206">
        <v>0.13</v>
      </c>
    </row>
    <row r="204" spans="1:7">
      <c r="A204" s="3215" t="s">
        <v>1154</v>
      </c>
      <c r="B204" s="3204" t="s">
        <v>2894</v>
      </c>
      <c r="C204" s="3205">
        <v>0.129</v>
      </c>
      <c r="D204" s="3205">
        <v>0.129</v>
      </c>
      <c r="E204" s="3205">
        <v>0.123</v>
      </c>
      <c r="F204" s="3205">
        <v>0.13</v>
      </c>
      <c r="G204" s="3206">
        <v>0.13</v>
      </c>
    </row>
    <row r="205" spans="1:7">
      <c r="A205" s="3215" t="s">
        <v>1154</v>
      </c>
      <c r="B205" s="3204" t="s">
        <v>2895</v>
      </c>
      <c r="C205" s="3205">
        <v>0.13</v>
      </c>
      <c r="D205" s="3205">
        <v>0.13</v>
      </c>
      <c r="E205" s="3205">
        <v>0.13</v>
      </c>
      <c r="F205" s="3205">
        <v>0.13</v>
      </c>
      <c r="G205" s="3206">
        <v>0.13</v>
      </c>
    </row>
    <row r="206" spans="1:7">
      <c r="A206" s="3215" t="s">
        <v>1154</v>
      </c>
      <c r="B206" s="3204" t="s">
        <v>2896</v>
      </c>
      <c r="C206" s="3205">
        <v>0.13</v>
      </c>
      <c r="D206" s="3205">
        <v>0.13</v>
      </c>
      <c r="E206" s="3205">
        <v>0.13</v>
      </c>
      <c r="F206" s="3205">
        <v>0.128</v>
      </c>
      <c r="G206" s="3206">
        <v>0.13</v>
      </c>
    </row>
    <row r="207" spans="1:7">
      <c r="A207" s="3215" t="s">
        <v>1154</v>
      </c>
      <c r="B207" s="3204" t="s">
        <v>2897</v>
      </c>
      <c r="C207" s="3205">
        <v>0.13</v>
      </c>
      <c r="D207" s="3205">
        <v>0.13</v>
      </c>
      <c r="E207" s="3205">
        <v>0.13</v>
      </c>
      <c r="F207" s="3205">
        <v>0.13</v>
      </c>
      <c r="G207" s="3206">
        <v>0.13</v>
      </c>
    </row>
    <row r="208" spans="1:7">
      <c r="A208" s="3215" t="s">
        <v>1154</v>
      </c>
      <c r="B208" s="3204" t="s">
        <v>3079</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2899</v>
      </c>
      <c r="C210" s="3205">
        <v>0.121</v>
      </c>
      <c r="D210" s="3205">
        <v>0.121</v>
      </c>
      <c r="E210" s="3205">
        <v>0.125</v>
      </c>
      <c r="F210" s="3205">
        <v>0.13</v>
      </c>
      <c r="G210" s="3206">
        <v>0.123</v>
      </c>
    </row>
    <row r="211" spans="1:7">
      <c r="A211" s="3215" t="s">
        <v>1154</v>
      </c>
      <c r="B211" s="3204" t="s">
        <v>3080</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3081</v>
      </c>
      <c r="C214" s="3205">
        <v>0.128</v>
      </c>
      <c r="D214" s="3205">
        <v>0.128</v>
      </c>
      <c r="E214" s="3205">
        <v>0.13</v>
      </c>
      <c r="F214" s="3205">
        <v>0.13</v>
      </c>
      <c r="G214" s="3206">
        <v>0.13</v>
      </c>
    </row>
    <row r="215" spans="1:7">
      <c r="A215" s="3215" t="s">
        <v>1154</v>
      </c>
      <c r="B215" s="3204" t="s">
        <v>3082</v>
      </c>
      <c r="C215" s="3205">
        <v>0.13</v>
      </c>
      <c r="D215" s="3205">
        <v>0.13</v>
      </c>
      <c r="E215" s="3205">
        <v>0.13</v>
      </c>
      <c r="F215" s="3205">
        <v>0.129</v>
      </c>
      <c r="G215" s="3206">
        <v>0.13</v>
      </c>
    </row>
    <row r="216" spans="1:7">
      <c r="A216" s="3215" t="s">
        <v>1154</v>
      </c>
      <c r="B216" s="3204" t="s">
        <v>3083</v>
      </c>
      <c r="C216" s="3205">
        <v>0.13</v>
      </c>
      <c r="D216" s="3205">
        <v>0.13</v>
      </c>
      <c r="E216" s="3205">
        <v>0.13</v>
      </c>
      <c r="F216" s="3205">
        <v>0.13</v>
      </c>
      <c r="G216" s="3206">
        <v>0.13</v>
      </c>
    </row>
    <row r="217" spans="1:7">
      <c r="A217" s="3215" t="s">
        <v>1154</v>
      </c>
      <c r="B217" s="3204" t="s">
        <v>2903</v>
      </c>
      <c r="C217" s="3205">
        <v>0.129</v>
      </c>
      <c r="D217" s="3205">
        <v>0.129</v>
      </c>
      <c r="E217" s="3205">
        <v>0.13</v>
      </c>
      <c r="F217" s="3205">
        <v>0.13</v>
      </c>
      <c r="G217" s="3206">
        <v>0.13</v>
      </c>
    </row>
    <row r="218" spans="1:7">
      <c r="A218" s="3215" t="s">
        <v>1154</v>
      </c>
      <c r="B218" s="3204" t="s">
        <v>3084</v>
      </c>
      <c r="C218" s="3216"/>
      <c r="D218" s="3216"/>
      <c r="E218" s="3216"/>
      <c r="F218" s="3205">
        <v>0.05</v>
      </c>
      <c r="G218" s="3222"/>
    </row>
    <row r="219" spans="1:7">
      <c r="A219" s="3215" t="s">
        <v>1154</v>
      </c>
      <c r="B219" s="3204" t="s">
        <v>3085</v>
      </c>
      <c r="C219" s="3216"/>
      <c r="D219" s="3216"/>
      <c r="E219" s="3216"/>
      <c r="F219" s="3205">
        <v>0.05</v>
      </c>
      <c r="G219" s="3222"/>
    </row>
    <row r="220" spans="1:7">
      <c r="A220" s="3215" t="s">
        <v>1154</v>
      </c>
      <c r="B220" s="3204" t="s">
        <v>3086</v>
      </c>
      <c r="C220" s="3216"/>
      <c r="D220" s="3216"/>
      <c r="E220" s="3216"/>
      <c r="F220" s="3205">
        <v>0.05</v>
      </c>
      <c r="G220" s="3222"/>
    </row>
    <row r="221" spans="1:7">
      <c r="A221" s="3215" t="s">
        <v>1154</v>
      </c>
      <c r="B221" s="3204" t="s">
        <v>3087</v>
      </c>
      <c r="C221" s="3216"/>
      <c r="D221" s="3216"/>
      <c r="E221" s="3216"/>
      <c r="F221" s="3205">
        <v>0.05</v>
      </c>
      <c r="G221" s="3222"/>
    </row>
    <row r="222" spans="1:7">
      <c r="A222" s="3215" t="s">
        <v>1154</v>
      </c>
      <c r="B222" s="3204" t="s">
        <v>3088</v>
      </c>
      <c r="C222" s="3216"/>
      <c r="D222" s="3216"/>
      <c r="E222" s="3216"/>
      <c r="F222" s="3205">
        <v>0.05</v>
      </c>
      <c r="G222" s="3222"/>
    </row>
    <row r="223" spans="1:7">
      <c r="A223" s="3215" t="s">
        <v>1154</v>
      </c>
      <c r="B223" s="3204" t="s">
        <v>3089</v>
      </c>
      <c r="C223" s="3216"/>
      <c r="D223" s="3216"/>
      <c r="E223" s="3216"/>
      <c r="F223" s="3205">
        <v>0.05</v>
      </c>
      <c r="G223" s="3222"/>
    </row>
    <row r="224" spans="1:7">
      <c r="A224" s="3215" t="s">
        <v>1154</v>
      </c>
      <c r="B224" s="3204" t="s">
        <v>3090</v>
      </c>
      <c r="C224" s="3216"/>
      <c r="D224" s="3216"/>
      <c r="E224" s="3216"/>
      <c r="F224" s="3205">
        <v>0.05</v>
      </c>
      <c r="G224" s="3222"/>
    </row>
    <row r="225" spans="1:7">
      <c r="A225" s="3215" t="s">
        <v>1154</v>
      </c>
      <c r="B225" s="3204" t="s">
        <v>3091</v>
      </c>
      <c r="C225" s="3216"/>
      <c r="D225" s="3216"/>
      <c r="E225" s="3216"/>
      <c r="F225" s="3205">
        <v>0.05</v>
      </c>
      <c r="G225" s="3222"/>
    </row>
    <row r="226" spans="1:7">
      <c r="A226" s="3215" t="s">
        <v>1154</v>
      </c>
      <c r="B226" s="3204" t="s">
        <v>3092</v>
      </c>
      <c r="C226" s="3216"/>
      <c r="D226" s="3216"/>
      <c r="E226" s="3216"/>
      <c r="F226" s="3205">
        <v>0.05</v>
      </c>
      <c r="G226" s="3222"/>
    </row>
    <row r="227" spans="1:7">
      <c r="A227" s="3215" t="s">
        <v>1154</v>
      </c>
      <c r="B227" s="3204" t="s">
        <v>3093</v>
      </c>
      <c r="C227" s="3216"/>
      <c r="D227" s="3216"/>
      <c r="E227" s="3216"/>
      <c r="F227" s="3205">
        <v>0.05</v>
      </c>
      <c r="G227" s="3222"/>
    </row>
    <row r="228" spans="1:7">
      <c r="A228" s="3215" t="s">
        <v>1154</v>
      </c>
      <c r="B228" s="3204" t="s">
        <v>3094</v>
      </c>
      <c r="C228" s="3216"/>
      <c r="D228" s="3216"/>
      <c r="E228" s="3216"/>
      <c r="F228" s="3205">
        <v>0.05</v>
      </c>
      <c r="G228" s="3222"/>
    </row>
    <row r="229" spans="1:7">
      <c r="A229" s="3215" t="s">
        <v>1154</v>
      </c>
      <c r="B229" s="3204" t="s">
        <v>3095</v>
      </c>
      <c r="C229" s="3216"/>
      <c r="D229" s="3216"/>
      <c r="E229" s="3216"/>
      <c r="F229" s="3205">
        <v>0.05</v>
      </c>
      <c r="G229" s="3222"/>
    </row>
    <row r="230" spans="1:7">
      <c r="A230" s="3215" t="s">
        <v>1154</v>
      </c>
      <c r="B230" s="3204" t="s">
        <v>3096</v>
      </c>
      <c r="C230" s="3216"/>
      <c r="D230" s="3216"/>
      <c r="E230" s="3216"/>
      <c r="F230" s="3205">
        <v>0.05</v>
      </c>
      <c r="G230" s="3222"/>
    </row>
    <row r="231" spans="1:7">
      <c r="A231" s="3215" t="s">
        <v>1154</v>
      </c>
      <c r="B231" s="3204" t="s">
        <v>3097</v>
      </c>
      <c r="C231" s="3216"/>
      <c r="D231" s="3216"/>
      <c r="E231" s="3216"/>
      <c r="F231" s="3205">
        <v>0.05</v>
      </c>
      <c r="G231" s="3222"/>
    </row>
    <row r="232" spans="1:7">
      <c r="A232" s="3215" t="s">
        <v>1154</v>
      </c>
      <c r="B232" s="3204" t="s">
        <v>3098</v>
      </c>
      <c r="C232" s="3216"/>
      <c r="D232" s="3216"/>
      <c r="E232" s="3216"/>
      <c r="F232" s="3205">
        <v>0.05</v>
      </c>
      <c r="G232" s="3222"/>
    </row>
    <row r="233" spans="1:7" ht="14.25" thickBot="1">
      <c r="A233" s="3218" t="s">
        <v>1154</v>
      </c>
      <c r="B233" s="3208" t="s">
        <v>3099</v>
      </c>
      <c r="C233" s="3210"/>
      <c r="D233" s="3210"/>
      <c r="E233" s="3210"/>
      <c r="F233" s="3209">
        <v>0.05</v>
      </c>
      <c r="G233" s="3223"/>
    </row>
    <row r="234" spans="1:7">
      <c r="A234" s="3214" t="s">
        <v>1155</v>
      </c>
      <c r="B234" s="3200" t="s">
        <v>3100</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2921</v>
      </c>
      <c r="C238" s="3205">
        <v>0.14899999999999999</v>
      </c>
      <c r="D238" s="3205">
        <v>0.14899999999999999</v>
      </c>
      <c r="E238" s="3205">
        <v>0.15</v>
      </c>
      <c r="F238" s="3205">
        <v>0.15</v>
      </c>
      <c r="G238" s="3206">
        <v>0.15</v>
      </c>
    </row>
    <row r="239" spans="1:7">
      <c r="A239" s="3215" t="s">
        <v>1155</v>
      </c>
      <c r="B239" s="3204" t="s">
        <v>3101</v>
      </c>
      <c r="C239" s="3205">
        <v>0.15</v>
      </c>
      <c r="D239" s="3205">
        <v>0.15</v>
      </c>
      <c r="E239" s="3205">
        <v>0.15</v>
      </c>
      <c r="F239" s="3205">
        <v>0.15</v>
      </c>
      <c r="G239" s="3206">
        <v>0.15</v>
      </c>
    </row>
    <row r="240" spans="1:7">
      <c r="A240" s="3215" t="s">
        <v>1155</v>
      </c>
      <c r="B240" s="3204" t="s">
        <v>3102</v>
      </c>
      <c r="C240" s="3205">
        <v>0.15</v>
      </c>
      <c r="D240" s="3205">
        <v>0.15</v>
      </c>
      <c r="E240" s="3205">
        <v>0.15</v>
      </c>
      <c r="F240" s="3205">
        <v>0.15</v>
      </c>
      <c r="G240" s="3206">
        <v>0.15</v>
      </c>
    </row>
    <row r="241" spans="1:7">
      <c r="A241" s="3215" t="s">
        <v>1155</v>
      </c>
      <c r="B241" s="3204" t="s">
        <v>3103</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3104</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3105</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3106</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3107</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3108</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2930</v>
      </c>
      <c r="C258" s="3205">
        <v>0.14299999999999999</v>
      </c>
      <c r="D258" s="3205">
        <v>0.14299999999999999</v>
      </c>
      <c r="E258" s="3205">
        <v>0.15</v>
      </c>
      <c r="F258" s="3205">
        <v>0.14799999999999999</v>
      </c>
      <c r="G258" s="3206">
        <v>0.14599999999999999</v>
      </c>
    </row>
    <row r="259" spans="1:7">
      <c r="A259" s="3215" t="s">
        <v>1155</v>
      </c>
      <c r="B259" s="3204" t="s">
        <v>3109</v>
      </c>
      <c r="C259" s="3205">
        <v>0.14399999999999999</v>
      </c>
      <c r="D259" s="3205">
        <v>0.14399999999999999</v>
      </c>
      <c r="E259" s="3205">
        <v>0.14899999999999999</v>
      </c>
      <c r="F259" s="3205">
        <v>0.14699999999999999</v>
      </c>
      <c r="G259" s="3206">
        <v>0.14599999999999999</v>
      </c>
    </row>
    <row r="260" spans="1:7">
      <c r="A260" s="3215" t="s">
        <v>1155</v>
      </c>
      <c r="B260" s="3204" t="s">
        <v>3110</v>
      </c>
      <c r="C260" s="3205">
        <v>0.109</v>
      </c>
      <c r="D260" s="3205">
        <v>0.111</v>
      </c>
      <c r="E260" s="3205">
        <v>0.13100000000000001</v>
      </c>
      <c r="F260" s="3205">
        <v>0.126</v>
      </c>
      <c r="G260" s="3206">
        <v>0.11899999999999999</v>
      </c>
    </row>
    <row r="261" spans="1:7">
      <c r="A261" s="3215" t="s">
        <v>1155</v>
      </c>
      <c r="B261" s="3204" t="s">
        <v>3111</v>
      </c>
      <c r="C261" s="3205">
        <v>0.1</v>
      </c>
      <c r="D261" s="3205">
        <v>0.1</v>
      </c>
      <c r="E261" s="3205">
        <v>0.11799999999999999</v>
      </c>
      <c r="F261" s="3205">
        <v>0.108</v>
      </c>
      <c r="G261" s="3206">
        <v>0.107</v>
      </c>
    </row>
    <row r="262" spans="1:7">
      <c r="A262" s="3215" t="s">
        <v>1155</v>
      </c>
      <c r="B262" s="3204" t="s">
        <v>3112</v>
      </c>
      <c r="C262" s="3205">
        <v>0.1</v>
      </c>
      <c r="D262" s="3205">
        <v>0.1</v>
      </c>
      <c r="E262" s="3205">
        <v>0.1</v>
      </c>
      <c r="F262" s="3205">
        <v>0.14099999999999999</v>
      </c>
      <c r="G262" s="3206">
        <v>0.1</v>
      </c>
    </row>
    <row r="263" spans="1:7">
      <c r="A263" s="3215" t="s">
        <v>1155</v>
      </c>
      <c r="B263" s="3204" t="s">
        <v>3113</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3114</v>
      </c>
      <c r="C265" s="3216"/>
      <c r="D265" s="3216"/>
      <c r="E265" s="3216"/>
      <c r="F265" s="3205">
        <v>0.05</v>
      </c>
      <c r="G265" s="3222"/>
    </row>
    <row r="266" spans="1:7">
      <c r="A266" s="3215" t="s">
        <v>1155</v>
      </c>
      <c r="B266" s="3204" t="s">
        <v>3115</v>
      </c>
      <c r="C266" s="3216"/>
      <c r="D266" s="3216"/>
      <c r="E266" s="3216"/>
      <c r="F266" s="3205">
        <v>0.05</v>
      </c>
      <c r="G266" s="3222"/>
    </row>
    <row r="267" spans="1:7">
      <c r="A267" s="3215" t="s">
        <v>1155</v>
      </c>
      <c r="B267" s="3204" t="s">
        <v>3116</v>
      </c>
      <c r="C267" s="3216"/>
      <c r="D267" s="3216"/>
      <c r="E267" s="3216"/>
      <c r="F267" s="3205">
        <v>0.05</v>
      </c>
      <c r="G267" s="3222"/>
    </row>
    <row r="268" spans="1:7">
      <c r="A268" s="3215" t="s">
        <v>1155</v>
      </c>
      <c r="B268" s="3204" t="s">
        <v>3117</v>
      </c>
      <c r="C268" s="3216"/>
      <c r="D268" s="3216"/>
      <c r="E268" s="3216"/>
      <c r="F268" s="3205">
        <v>0.05</v>
      </c>
      <c r="G268" s="3222"/>
    </row>
    <row r="269" spans="1:7">
      <c r="A269" s="3215" t="s">
        <v>1155</v>
      </c>
      <c r="B269" s="3204" t="s">
        <v>3118</v>
      </c>
      <c r="C269" s="3216"/>
      <c r="D269" s="3216"/>
      <c r="E269" s="3216"/>
      <c r="F269" s="3205">
        <v>0.05</v>
      </c>
      <c r="G269" s="3222"/>
    </row>
    <row r="270" spans="1:7">
      <c r="A270" s="3215" t="s">
        <v>1155</v>
      </c>
      <c r="B270" s="3204" t="s">
        <v>3119</v>
      </c>
      <c r="C270" s="3216"/>
      <c r="D270" s="3216"/>
      <c r="E270" s="3216"/>
      <c r="F270" s="3205">
        <v>0.05</v>
      </c>
      <c r="G270" s="3222"/>
    </row>
    <row r="271" spans="1:7">
      <c r="A271" s="3215" t="s">
        <v>1155</v>
      </c>
      <c r="B271" s="3204" t="s">
        <v>3120</v>
      </c>
      <c r="C271" s="3216"/>
      <c r="D271" s="3216"/>
      <c r="E271" s="3216"/>
      <c r="F271" s="3205">
        <v>0.05</v>
      </c>
      <c r="G271" s="3222"/>
    </row>
    <row r="272" spans="1:7">
      <c r="A272" s="3215" t="s">
        <v>1155</v>
      </c>
      <c r="B272" s="3204" t="s">
        <v>3121</v>
      </c>
      <c r="C272" s="3216"/>
      <c r="D272" s="3216"/>
      <c r="E272" s="3216"/>
      <c r="F272" s="3205">
        <v>0.05</v>
      </c>
      <c r="G272" s="3222"/>
    </row>
    <row r="273" spans="1:7">
      <c r="A273" s="3215" t="s">
        <v>1155</v>
      </c>
      <c r="B273" s="3204" t="s">
        <v>3122</v>
      </c>
      <c r="C273" s="3216"/>
      <c r="D273" s="3216"/>
      <c r="E273" s="3216"/>
      <c r="F273" s="3205">
        <v>0.05</v>
      </c>
      <c r="G273" s="3222"/>
    </row>
    <row r="274" spans="1:7">
      <c r="A274" s="3215" t="s">
        <v>1155</v>
      </c>
      <c r="B274" s="3204" t="s">
        <v>3123</v>
      </c>
      <c r="C274" s="3216"/>
      <c r="D274" s="3216"/>
      <c r="E274" s="3216"/>
      <c r="F274" s="3205">
        <v>0.05</v>
      </c>
      <c r="G274" s="3222"/>
    </row>
    <row r="275" spans="1:7">
      <c r="A275" s="3215" t="s">
        <v>1155</v>
      </c>
      <c r="B275" s="3204" t="s">
        <v>3124</v>
      </c>
      <c r="C275" s="3216"/>
      <c r="D275" s="3216"/>
      <c r="E275" s="3216"/>
      <c r="F275" s="3205">
        <v>0.05</v>
      </c>
      <c r="G275" s="3222"/>
    </row>
    <row r="276" spans="1:7" ht="14.25" thickBot="1">
      <c r="A276" s="3218" t="s">
        <v>1155</v>
      </c>
      <c r="B276" s="3208" t="s">
        <v>3125</v>
      </c>
      <c r="C276" s="3210"/>
      <c r="D276" s="3210"/>
      <c r="E276" s="3210"/>
      <c r="F276" s="3209">
        <v>0.05</v>
      </c>
      <c r="G276" s="3223"/>
    </row>
    <row r="277" spans="1:7">
      <c r="A277" s="3214" t="s">
        <v>1156</v>
      </c>
      <c r="B277" s="3200" t="s">
        <v>3126</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3127</v>
      </c>
      <c r="C279" s="3205">
        <v>0.15</v>
      </c>
      <c r="D279" s="3205">
        <v>0.15</v>
      </c>
      <c r="E279" s="3205">
        <v>0.15</v>
      </c>
      <c r="F279" s="3205">
        <v>0.15</v>
      </c>
      <c r="G279" s="3206">
        <v>0.15</v>
      </c>
    </row>
    <row r="280" spans="1:7">
      <c r="A280" s="3215" t="s">
        <v>1156</v>
      </c>
      <c r="B280" s="3204" t="s">
        <v>3128</v>
      </c>
      <c r="C280" s="3205">
        <v>0.15</v>
      </c>
      <c r="D280" s="3205">
        <v>0.15</v>
      </c>
      <c r="E280" s="3205">
        <v>0.15</v>
      </c>
      <c r="F280" s="3205">
        <v>0.15</v>
      </c>
      <c r="G280" s="3206">
        <v>0.15</v>
      </c>
    </row>
    <row r="281" spans="1:7">
      <c r="A281" s="3215" t="s">
        <v>1156</v>
      </c>
      <c r="B281" s="3204" t="s">
        <v>3129</v>
      </c>
      <c r="C281" s="3205">
        <v>0.15</v>
      </c>
      <c r="D281" s="3205">
        <v>0.15</v>
      </c>
      <c r="E281" s="3205">
        <v>0.15</v>
      </c>
      <c r="F281" s="3205">
        <v>0.15</v>
      </c>
      <c r="G281" s="3206">
        <v>0.15</v>
      </c>
    </row>
    <row r="282" spans="1:7">
      <c r="A282" s="3215" t="s">
        <v>1156</v>
      </c>
      <c r="B282" s="3204" t="s">
        <v>3130</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3131</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3132</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2955</v>
      </c>
      <c r="C293" s="3205">
        <v>0.15</v>
      </c>
      <c r="D293" s="3205">
        <v>0.15</v>
      </c>
      <c r="E293" s="3205">
        <v>0.15</v>
      </c>
      <c r="F293" s="3205">
        <v>0.14499999999999999</v>
      </c>
      <c r="G293" s="3206">
        <v>0.15</v>
      </c>
    </row>
    <row r="294" spans="1:7">
      <c r="A294" s="3215" t="s">
        <v>1156</v>
      </c>
      <c r="B294" s="3204" t="s">
        <v>3133</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2957</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3134</v>
      </c>
      <c r="C302" s="3205">
        <v>0.15</v>
      </c>
      <c r="D302" s="3205">
        <v>0.15</v>
      </c>
      <c r="E302" s="3205">
        <v>0.15</v>
      </c>
      <c r="F302" s="3205">
        <v>0.14699999999999999</v>
      </c>
      <c r="G302" s="3206">
        <v>0.15</v>
      </c>
    </row>
    <row r="303" spans="1:7">
      <c r="A303" s="3215" t="s">
        <v>1156</v>
      </c>
      <c r="B303" s="3204" t="s">
        <v>2959</v>
      </c>
      <c r="C303" s="3205">
        <v>0.15</v>
      </c>
      <c r="D303" s="3205">
        <v>0.15</v>
      </c>
      <c r="E303" s="3205">
        <v>0.15</v>
      </c>
      <c r="F303" s="3205">
        <v>0.14199999999999999</v>
      </c>
      <c r="G303" s="3206">
        <v>0.15</v>
      </c>
    </row>
    <row r="304" spans="1:7">
      <c r="A304" s="3215" t="s">
        <v>1156</v>
      </c>
      <c r="B304" s="3204" t="s">
        <v>2960</v>
      </c>
      <c r="C304" s="3205">
        <v>0.15</v>
      </c>
      <c r="D304" s="3205">
        <v>0.15</v>
      </c>
      <c r="E304" s="3205">
        <v>0.15</v>
      </c>
      <c r="F304" s="3205">
        <v>0.14499999999999999</v>
      </c>
      <c r="G304" s="3206">
        <v>0.15</v>
      </c>
    </row>
    <row r="305" spans="1:7">
      <c r="A305" s="3215" t="s">
        <v>1156</v>
      </c>
      <c r="B305" s="3204" t="s">
        <v>2961</v>
      </c>
      <c r="C305" s="3205">
        <v>0.15</v>
      </c>
      <c r="D305" s="3205">
        <v>0.15</v>
      </c>
      <c r="E305" s="3205">
        <v>0.15</v>
      </c>
      <c r="F305" s="3205">
        <v>0.111</v>
      </c>
      <c r="G305" s="3206">
        <v>0.15</v>
      </c>
    </row>
    <row r="306" spans="1:7">
      <c r="A306" s="3215" t="s">
        <v>1156</v>
      </c>
      <c r="B306" s="3204" t="s">
        <v>3135</v>
      </c>
      <c r="C306" s="3205">
        <v>0.15</v>
      </c>
      <c r="D306" s="3205">
        <v>0.15</v>
      </c>
      <c r="E306" s="3205">
        <v>0.15</v>
      </c>
      <c r="F306" s="3205">
        <v>0.126</v>
      </c>
      <c r="G306" s="3206">
        <v>0.15</v>
      </c>
    </row>
    <row r="307" spans="1:7">
      <c r="A307" s="3215" t="s">
        <v>1156</v>
      </c>
      <c r="B307" s="3204" t="s">
        <v>2963</v>
      </c>
      <c r="C307" s="3205">
        <v>0.15</v>
      </c>
      <c r="D307" s="3205">
        <v>0.15</v>
      </c>
      <c r="E307" s="3205">
        <v>0.15</v>
      </c>
      <c r="F307" s="3205">
        <v>0.12</v>
      </c>
      <c r="G307" s="3206">
        <v>0.15</v>
      </c>
    </row>
    <row r="308" spans="1:7">
      <c r="A308" s="3215" t="s">
        <v>1156</v>
      </c>
      <c r="B308" s="3204" t="s">
        <v>3136</v>
      </c>
      <c r="C308" s="3205">
        <v>0.15</v>
      </c>
      <c r="D308" s="3205">
        <v>0.15</v>
      </c>
      <c r="E308" s="3205">
        <v>0.15</v>
      </c>
      <c r="F308" s="3205">
        <v>0.13</v>
      </c>
      <c r="G308" s="3206">
        <v>0.15</v>
      </c>
    </row>
    <row r="309" spans="1:7">
      <c r="A309" s="3215" t="s">
        <v>1156</v>
      </c>
      <c r="B309" s="3204" t="s">
        <v>3137</v>
      </c>
      <c r="C309" s="3205">
        <v>0.15</v>
      </c>
      <c r="D309" s="3205">
        <v>0.15</v>
      </c>
      <c r="E309" s="3205">
        <v>0.15</v>
      </c>
      <c r="F309" s="3205">
        <v>0.14099999999999999</v>
      </c>
      <c r="G309" s="3206">
        <v>0.15</v>
      </c>
    </row>
    <row r="310" spans="1:7">
      <c r="A310" s="3215" t="s">
        <v>1156</v>
      </c>
      <c r="B310" s="3204" t="s">
        <v>2966</v>
      </c>
      <c r="C310" s="3205">
        <v>0.15</v>
      </c>
      <c r="D310" s="3205">
        <v>0.15</v>
      </c>
      <c r="E310" s="3205">
        <v>0.15</v>
      </c>
      <c r="F310" s="3205">
        <v>0.15</v>
      </c>
      <c r="G310" s="3206">
        <v>0.15</v>
      </c>
    </row>
    <row r="311" spans="1:7">
      <c r="A311" s="3215" t="s">
        <v>1156</v>
      </c>
      <c r="B311" s="3204" t="s">
        <v>3138</v>
      </c>
      <c r="C311" s="3205">
        <v>0.13200000000000001</v>
      </c>
      <c r="D311" s="3205">
        <v>0.13300000000000001</v>
      </c>
      <c r="E311" s="3205">
        <v>0.14499999999999999</v>
      </c>
      <c r="F311" s="3205">
        <v>0.14199999999999999</v>
      </c>
      <c r="G311" s="3206">
        <v>0.14000000000000001</v>
      </c>
    </row>
    <row r="312" spans="1:7">
      <c r="A312" s="3215" t="s">
        <v>1156</v>
      </c>
      <c r="B312" s="3204" t="s">
        <v>2968</v>
      </c>
      <c r="C312" s="3205">
        <v>0.13800000000000001</v>
      </c>
      <c r="D312" s="3205">
        <v>0.14000000000000001</v>
      </c>
      <c r="E312" s="3205">
        <v>0.14599999999999999</v>
      </c>
      <c r="F312" s="3205">
        <v>0.14899999999999999</v>
      </c>
      <c r="G312" s="3206">
        <v>0.14199999999999999</v>
      </c>
    </row>
    <row r="313" spans="1:7">
      <c r="A313" s="3215" t="s">
        <v>1156</v>
      </c>
      <c r="B313" s="3204" t="s">
        <v>2969</v>
      </c>
      <c r="C313" s="3205">
        <v>0.125</v>
      </c>
      <c r="D313" s="3205">
        <v>0.127</v>
      </c>
      <c r="E313" s="3205">
        <v>0.14399999999999999</v>
      </c>
      <c r="F313" s="3205">
        <v>0.115</v>
      </c>
      <c r="G313" s="3206">
        <v>0.13600000000000001</v>
      </c>
    </row>
    <row r="314" spans="1:7">
      <c r="A314" s="3215" t="s">
        <v>1156</v>
      </c>
      <c r="B314" s="3204" t="s">
        <v>3139</v>
      </c>
      <c r="C314" s="3221"/>
      <c r="D314" s="3221"/>
      <c r="E314" s="3221"/>
      <c r="F314" s="3205">
        <v>0.05</v>
      </c>
      <c r="G314" s="3222"/>
    </row>
    <row r="315" spans="1:7">
      <c r="A315" s="3215" t="s">
        <v>1156</v>
      </c>
      <c r="B315" s="3204" t="s">
        <v>3140</v>
      </c>
      <c r="C315" s="3221"/>
      <c r="D315" s="3221"/>
      <c r="E315" s="3221"/>
      <c r="F315" s="3205">
        <v>0.05</v>
      </c>
      <c r="G315" s="3222"/>
    </row>
    <row r="316" spans="1:7">
      <c r="A316" s="3215" t="s">
        <v>1156</v>
      </c>
      <c r="B316" s="3204" t="s">
        <v>3141</v>
      </c>
      <c r="C316" s="3216"/>
      <c r="D316" s="3216"/>
      <c r="E316" s="3216"/>
      <c r="F316" s="3205">
        <v>0.05</v>
      </c>
      <c r="G316" s="3222"/>
    </row>
    <row r="317" spans="1:7">
      <c r="A317" s="3215" t="s">
        <v>1156</v>
      </c>
      <c r="B317" s="3204" t="s">
        <v>3142</v>
      </c>
      <c r="C317" s="3216"/>
      <c r="D317" s="3216"/>
      <c r="E317" s="3216"/>
      <c r="F317" s="3205">
        <v>0.05</v>
      </c>
      <c r="G317" s="3222"/>
    </row>
    <row r="318" spans="1:7">
      <c r="A318" s="3215" t="s">
        <v>1156</v>
      </c>
      <c r="B318" s="3204" t="s">
        <v>3143</v>
      </c>
      <c r="C318" s="3216"/>
      <c r="D318" s="3216"/>
      <c r="E318" s="3216"/>
      <c r="F318" s="3205">
        <v>0.05</v>
      </c>
      <c r="G318" s="3222"/>
    </row>
    <row r="319" spans="1:7">
      <c r="A319" s="3215" t="s">
        <v>1156</v>
      </c>
      <c r="B319" s="3204" t="s">
        <v>3144</v>
      </c>
      <c r="C319" s="3216"/>
      <c r="D319" s="3216"/>
      <c r="E319" s="3216"/>
      <c r="F319" s="3205">
        <v>0.05</v>
      </c>
      <c r="G319" s="3222"/>
    </row>
    <row r="320" spans="1:7">
      <c r="A320" s="3215" t="s">
        <v>1156</v>
      </c>
      <c r="B320" s="3204" t="s">
        <v>3145</v>
      </c>
      <c r="C320" s="3216"/>
      <c r="D320" s="3216"/>
      <c r="E320" s="3216"/>
      <c r="F320" s="3205">
        <v>0.05</v>
      </c>
      <c r="G320" s="3222"/>
    </row>
    <row r="321" spans="1:7">
      <c r="A321" s="3215" t="s">
        <v>1156</v>
      </c>
      <c r="B321" s="3204" t="s">
        <v>3146</v>
      </c>
      <c r="C321" s="3216"/>
      <c r="D321" s="3216"/>
      <c r="E321" s="3216"/>
      <c r="F321" s="3205">
        <v>0.05</v>
      </c>
      <c r="G321" s="3222"/>
    </row>
    <row r="322" spans="1:7">
      <c r="A322" s="3215" t="s">
        <v>1156</v>
      </c>
      <c r="B322" s="3204" t="s">
        <v>3147</v>
      </c>
      <c r="C322" s="3216"/>
      <c r="D322" s="3216"/>
      <c r="E322" s="3216"/>
      <c r="F322" s="3205">
        <v>0.05</v>
      </c>
      <c r="G322" s="3222"/>
    </row>
    <row r="323" spans="1:7">
      <c r="A323" s="3215" t="s">
        <v>1156</v>
      </c>
      <c r="B323" s="3204" t="s">
        <v>3148</v>
      </c>
      <c r="C323" s="3216"/>
      <c r="D323" s="3216"/>
      <c r="E323" s="3216"/>
      <c r="F323" s="3205">
        <v>0.05</v>
      </c>
      <c r="G323" s="3222"/>
    </row>
    <row r="324" spans="1:7">
      <c r="A324" s="3215" t="s">
        <v>1156</v>
      </c>
      <c r="B324" s="3204" t="s">
        <v>3149</v>
      </c>
      <c r="C324" s="3216"/>
      <c r="D324" s="3216"/>
      <c r="E324" s="3216"/>
      <c r="F324" s="3205">
        <v>0.05</v>
      </c>
      <c r="G324" s="3222"/>
    </row>
    <row r="325" spans="1:7">
      <c r="A325" s="3215" t="s">
        <v>1156</v>
      </c>
      <c r="B325" s="3204" t="s">
        <v>3150</v>
      </c>
      <c r="C325" s="3216"/>
      <c r="D325" s="3216"/>
      <c r="E325" s="3216"/>
      <c r="F325" s="3205">
        <v>0.05</v>
      </c>
      <c r="G325" s="3222"/>
    </row>
    <row r="326" spans="1:7" ht="14.25" thickBot="1">
      <c r="A326" s="3218" t="s">
        <v>1156</v>
      </c>
      <c r="B326" s="3208" t="s">
        <v>3151</v>
      </c>
      <c r="C326" s="3210"/>
      <c r="D326" s="3210"/>
      <c r="E326" s="3210"/>
      <c r="F326" s="3209">
        <v>0.05</v>
      </c>
      <c r="G326" s="3223"/>
    </row>
    <row r="327" spans="1:7">
      <c r="A327" s="3214" t="s">
        <v>1157</v>
      </c>
      <c r="B327" s="3200" t="s">
        <v>3152</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3153</v>
      </c>
      <c r="C329" s="3205">
        <v>0.15</v>
      </c>
      <c r="D329" s="3205">
        <v>0.15</v>
      </c>
      <c r="E329" s="3205">
        <v>0.15</v>
      </c>
      <c r="F329" s="3205">
        <v>0.15</v>
      </c>
      <c r="G329" s="3206">
        <v>0.15</v>
      </c>
    </row>
    <row r="330" spans="1:7">
      <c r="A330" s="3215" t="s">
        <v>1157</v>
      </c>
      <c r="B330" s="3204" t="s">
        <v>3154</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2986</v>
      </c>
      <c r="C332" s="3205">
        <v>0.15</v>
      </c>
      <c r="D332" s="3205">
        <v>0.15</v>
      </c>
      <c r="E332" s="3205">
        <v>0.15</v>
      </c>
      <c r="F332" s="3205">
        <v>0.15</v>
      </c>
      <c r="G332" s="3206">
        <v>0.15</v>
      </c>
    </row>
    <row r="333" spans="1:7">
      <c r="A333" s="3215" t="s">
        <v>1157</v>
      </c>
      <c r="B333" s="3204" t="s">
        <v>3155</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2988</v>
      </c>
      <c r="C336" s="3205">
        <v>0.15</v>
      </c>
      <c r="D336" s="3205">
        <v>0.15</v>
      </c>
      <c r="E336" s="3205">
        <v>0.15</v>
      </c>
      <c r="F336" s="3205">
        <v>0.14199999999999999</v>
      </c>
      <c r="G336" s="3206">
        <v>0.15</v>
      </c>
    </row>
    <row r="337" spans="1:7">
      <c r="A337" s="3215" t="s">
        <v>1157</v>
      </c>
      <c r="B337" s="3204" t="s">
        <v>3156</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3157</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3158</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2992</v>
      </c>
      <c r="C345" s="3205">
        <v>0.15</v>
      </c>
      <c r="D345" s="3205">
        <v>0.15</v>
      </c>
      <c r="E345" s="3205">
        <v>0.15</v>
      </c>
      <c r="F345" s="3205">
        <v>0.13800000000000001</v>
      </c>
      <c r="G345" s="3206">
        <v>0.15</v>
      </c>
    </row>
    <row r="346" spans="1:7">
      <c r="A346" s="3215" t="s">
        <v>1157</v>
      </c>
      <c r="B346" s="3204" t="s">
        <v>3159</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2994</v>
      </c>
      <c r="C348" s="3205">
        <v>0.15</v>
      </c>
      <c r="D348" s="3205">
        <v>0.15</v>
      </c>
      <c r="E348" s="3205">
        <v>0.15</v>
      </c>
      <c r="F348" s="3205">
        <v>0.14399999999999999</v>
      </c>
      <c r="G348" s="3206">
        <v>0.15</v>
      </c>
    </row>
    <row r="349" spans="1:7">
      <c r="A349" s="3215" t="s">
        <v>1157</v>
      </c>
      <c r="B349" s="3204" t="s">
        <v>2995</v>
      </c>
      <c r="C349" s="3205">
        <v>0.15</v>
      </c>
      <c r="D349" s="3205">
        <v>0.15</v>
      </c>
      <c r="E349" s="3205">
        <v>0.15</v>
      </c>
      <c r="F349" s="3205">
        <v>0.15</v>
      </c>
      <c r="G349" s="3206">
        <v>0.15</v>
      </c>
    </row>
    <row r="350" spans="1:7">
      <c r="A350" s="3215" t="s">
        <v>1157</v>
      </c>
      <c r="B350" s="3204" t="s">
        <v>3160</v>
      </c>
      <c r="C350" s="3205">
        <v>0.15</v>
      </c>
      <c r="D350" s="3205">
        <v>0.15</v>
      </c>
      <c r="E350" s="3205">
        <v>0.15</v>
      </c>
      <c r="F350" s="3205">
        <v>0.14699999999999999</v>
      </c>
      <c r="G350" s="3206">
        <v>0.15</v>
      </c>
    </row>
    <row r="351" spans="1:7">
      <c r="A351" s="3215" t="s">
        <v>1157</v>
      </c>
      <c r="B351" s="3204" t="s">
        <v>2997</v>
      </c>
      <c r="C351" s="3205">
        <v>0.15</v>
      </c>
      <c r="D351" s="3205">
        <v>0.15</v>
      </c>
      <c r="E351" s="3205">
        <v>0.15</v>
      </c>
      <c r="F351" s="3205">
        <v>0.13</v>
      </c>
      <c r="G351" s="3206">
        <v>0.15</v>
      </c>
    </row>
    <row r="352" spans="1:7">
      <c r="A352" s="3215" t="s">
        <v>1157</v>
      </c>
      <c r="B352" s="3204" t="s">
        <v>2998</v>
      </c>
      <c r="C352" s="3205">
        <v>0.15</v>
      </c>
      <c r="D352" s="3205">
        <v>0.15</v>
      </c>
      <c r="E352" s="3205">
        <v>0.15</v>
      </c>
      <c r="F352" s="3205">
        <v>0.14599999999999999</v>
      </c>
      <c r="G352" s="3206">
        <v>0.15</v>
      </c>
    </row>
    <row r="353" spans="1:7">
      <c r="A353" s="3215" t="s">
        <v>1157</v>
      </c>
      <c r="B353" s="3204" t="s">
        <v>3161</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3000</v>
      </c>
      <c r="C355" s="3205">
        <v>0.15</v>
      </c>
      <c r="D355" s="3205">
        <v>0.15</v>
      </c>
      <c r="E355" s="3205">
        <v>0.15</v>
      </c>
      <c r="F355" s="3205">
        <v>0.15</v>
      </c>
      <c r="G355" s="3206">
        <v>0.15</v>
      </c>
    </row>
    <row r="356" spans="1:7">
      <c r="A356" s="3215" t="s">
        <v>1157</v>
      </c>
      <c r="B356" s="3204" t="s">
        <v>3001</v>
      </c>
      <c r="C356" s="3205">
        <v>0.15</v>
      </c>
      <c r="D356" s="3205">
        <v>0.15</v>
      </c>
      <c r="E356" s="3205">
        <v>0.15</v>
      </c>
      <c r="F356" s="3205">
        <v>0.15</v>
      </c>
      <c r="G356" s="3206">
        <v>0.15</v>
      </c>
    </row>
    <row r="357" spans="1:7" ht="14.25" thickBot="1">
      <c r="A357" s="3218" t="s">
        <v>1157</v>
      </c>
      <c r="B357" s="3208" t="s">
        <v>3162</v>
      </c>
      <c r="C357" s="3209">
        <v>0.126</v>
      </c>
      <c r="D357" s="3209">
        <v>0.127</v>
      </c>
      <c r="E357" s="3209">
        <v>0.14299999999999999</v>
      </c>
      <c r="F357" s="3209">
        <v>0.125</v>
      </c>
      <c r="G357" s="3211">
        <v>0.129</v>
      </c>
    </row>
    <row r="358" spans="1:7">
      <c r="A358" s="3214" t="s">
        <v>3163</v>
      </c>
      <c r="B358" s="3200" t="s">
        <v>3164</v>
      </c>
      <c r="C358" s="3201">
        <v>0.15</v>
      </c>
      <c r="D358" s="3201">
        <v>0.15</v>
      </c>
      <c r="E358" s="3201">
        <v>0.15</v>
      </c>
      <c r="F358" s="3201">
        <v>0.15</v>
      </c>
      <c r="G358" s="3202">
        <v>0.15</v>
      </c>
    </row>
    <row r="359" spans="1:7">
      <c r="A359" s="3215" t="s">
        <v>3163</v>
      </c>
      <c r="B359" s="3204" t="s">
        <v>3165</v>
      </c>
      <c r="C359" s="3205">
        <v>0.1</v>
      </c>
      <c r="D359" s="3205">
        <v>0.1</v>
      </c>
      <c r="E359" s="3205">
        <v>0.1</v>
      </c>
      <c r="F359" s="3205">
        <v>0.1</v>
      </c>
      <c r="G359" s="3206">
        <v>0.1</v>
      </c>
    </row>
    <row r="360" spans="1:7">
      <c r="A360" s="3215" t="s">
        <v>3163</v>
      </c>
      <c r="B360" s="3204" t="s">
        <v>3166</v>
      </c>
      <c r="C360" s="3205">
        <v>0.15</v>
      </c>
      <c r="D360" s="3205">
        <v>0.15</v>
      </c>
      <c r="E360" s="3205">
        <v>0.15</v>
      </c>
      <c r="F360" s="3205">
        <v>0.14899999999999999</v>
      </c>
      <c r="G360" s="3206">
        <v>0.15</v>
      </c>
    </row>
    <row r="361" spans="1:7">
      <c r="A361" s="3215" t="s">
        <v>3163</v>
      </c>
      <c r="B361" s="3204" t="s">
        <v>999</v>
      </c>
      <c r="C361" s="3205">
        <v>0.15</v>
      </c>
      <c r="D361" s="3205">
        <v>0.15</v>
      </c>
      <c r="E361" s="3205">
        <v>0.15</v>
      </c>
      <c r="F361" s="3205">
        <v>0.115</v>
      </c>
      <c r="G361" s="3206">
        <v>0.15</v>
      </c>
    </row>
    <row r="362" spans="1:7">
      <c r="A362" s="3215" t="s">
        <v>3163</v>
      </c>
      <c r="B362" s="3204" t="s">
        <v>3167</v>
      </c>
      <c r="C362" s="3205">
        <v>0.15</v>
      </c>
      <c r="D362" s="3205">
        <v>0.15</v>
      </c>
      <c r="E362" s="3205">
        <v>0.15</v>
      </c>
      <c r="F362" s="3205">
        <v>0.106</v>
      </c>
      <c r="G362" s="3206">
        <v>0.15</v>
      </c>
    </row>
    <row r="363" spans="1:7">
      <c r="A363" s="3215" t="s">
        <v>3163</v>
      </c>
      <c r="B363" s="3204" t="s">
        <v>3007</v>
      </c>
      <c r="C363" s="3205">
        <v>0.15</v>
      </c>
      <c r="D363" s="3205">
        <v>0.15</v>
      </c>
      <c r="E363" s="3205">
        <v>0.15</v>
      </c>
      <c r="F363" s="3205">
        <v>0.14699999999999999</v>
      </c>
      <c r="G363" s="3206">
        <v>0.15</v>
      </c>
    </row>
    <row r="364" spans="1:7">
      <c r="A364" s="3215" t="s">
        <v>3163</v>
      </c>
      <c r="B364" s="3204" t="s">
        <v>3168</v>
      </c>
      <c r="C364" s="3205">
        <v>0.15</v>
      </c>
      <c r="D364" s="3205">
        <v>0.15</v>
      </c>
      <c r="E364" s="3205">
        <v>0.15</v>
      </c>
      <c r="F364" s="3205">
        <v>0.14799999999999999</v>
      </c>
      <c r="G364" s="3206">
        <v>0.15</v>
      </c>
    </row>
    <row r="365" spans="1:7">
      <c r="A365" s="3215" t="s">
        <v>3163</v>
      </c>
      <c r="B365" s="3204" t="s">
        <v>1047</v>
      </c>
      <c r="C365" s="3205">
        <v>0.15</v>
      </c>
      <c r="D365" s="3205">
        <v>0.15</v>
      </c>
      <c r="E365" s="3205">
        <v>0.15</v>
      </c>
      <c r="F365" s="3205">
        <v>0.15</v>
      </c>
      <c r="G365" s="3206">
        <v>0.15</v>
      </c>
    </row>
    <row r="366" spans="1:7">
      <c r="A366" s="3215" t="s">
        <v>3163</v>
      </c>
      <c r="B366" s="3204" t="s">
        <v>3009</v>
      </c>
      <c r="C366" s="3205">
        <v>0.15</v>
      </c>
      <c r="D366" s="3205">
        <v>0.15</v>
      </c>
      <c r="E366" s="3205">
        <v>0.15</v>
      </c>
      <c r="F366" s="3205">
        <v>0.15</v>
      </c>
      <c r="G366" s="3206">
        <v>0.15</v>
      </c>
    </row>
    <row r="367" spans="1:7">
      <c r="A367" s="3215" t="s">
        <v>3163</v>
      </c>
      <c r="B367" s="3204" t="s">
        <v>3169</v>
      </c>
      <c r="C367" s="3205">
        <v>0.15</v>
      </c>
      <c r="D367" s="3205">
        <v>0.15</v>
      </c>
      <c r="E367" s="3205">
        <v>0.15</v>
      </c>
      <c r="F367" s="3205">
        <v>0.14699999999999999</v>
      </c>
      <c r="G367" s="3206">
        <v>0.15</v>
      </c>
    </row>
    <row r="368" spans="1:7">
      <c r="A368" s="3215" t="s">
        <v>3163</v>
      </c>
      <c r="B368" s="3204" t="s">
        <v>3170</v>
      </c>
      <c r="C368" s="3205">
        <v>0.15</v>
      </c>
      <c r="D368" s="3205">
        <v>0.15</v>
      </c>
      <c r="E368" s="3205">
        <v>0.15</v>
      </c>
      <c r="F368" s="3205">
        <v>0.13600000000000001</v>
      </c>
      <c r="G368" s="3206">
        <v>0.15</v>
      </c>
    </row>
    <row r="369" spans="1:7">
      <c r="A369" s="3215" t="s">
        <v>3163</v>
      </c>
      <c r="B369" s="3204" t="s">
        <v>1061</v>
      </c>
      <c r="C369" s="3205">
        <v>0.15</v>
      </c>
      <c r="D369" s="3205">
        <v>0.15</v>
      </c>
      <c r="E369" s="3205">
        <v>0.15</v>
      </c>
      <c r="F369" s="3205">
        <v>0.14399999999999999</v>
      </c>
      <c r="G369" s="3206">
        <v>0.15</v>
      </c>
    </row>
    <row r="370" spans="1:7">
      <c r="A370" s="3215" t="s">
        <v>3163</v>
      </c>
      <c r="B370" s="3204" t="s">
        <v>1069</v>
      </c>
      <c r="C370" s="3205">
        <v>0.15</v>
      </c>
      <c r="D370" s="3205">
        <v>0.15</v>
      </c>
      <c r="E370" s="3205">
        <v>0.15</v>
      </c>
      <c r="F370" s="3205">
        <v>0.14599999999999999</v>
      </c>
      <c r="G370" s="3206">
        <v>0.15</v>
      </c>
    </row>
    <row r="371" spans="1:7">
      <c r="A371" s="3215" t="s">
        <v>3163</v>
      </c>
      <c r="B371" s="3204" t="s">
        <v>1077</v>
      </c>
      <c r="C371" s="3205">
        <v>0.15</v>
      </c>
      <c r="D371" s="3205">
        <v>0.15</v>
      </c>
      <c r="E371" s="3205">
        <v>0.15</v>
      </c>
      <c r="F371" s="3205">
        <v>0.12</v>
      </c>
      <c r="G371" s="3206">
        <v>0.15</v>
      </c>
    </row>
    <row r="372" spans="1:7">
      <c r="A372" s="3215" t="s">
        <v>3163</v>
      </c>
      <c r="B372" s="3204" t="s">
        <v>3171</v>
      </c>
      <c r="C372" s="3205">
        <v>0.15</v>
      </c>
      <c r="D372" s="3205">
        <v>0.15</v>
      </c>
      <c r="E372" s="3205">
        <v>0.15</v>
      </c>
      <c r="F372" s="3205">
        <v>0.14299999999999999</v>
      </c>
      <c r="G372" s="3206">
        <v>0.15</v>
      </c>
    </row>
    <row r="373" spans="1:7">
      <c r="A373" s="3215" t="s">
        <v>3163</v>
      </c>
      <c r="B373" s="3204" t="s">
        <v>1106</v>
      </c>
      <c r="C373" s="3205">
        <v>0.15</v>
      </c>
      <c r="D373" s="3205">
        <v>0.15</v>
      </c>
      <c r="E373" s="3205">
        <v>0.15</v>
      </c>
      <c r="F373" s="3205">
        <v>0.14599999999999999</v>
      </c>
      <c r="G373" s="3206">
        <v>0.15</v>
      </c>
    </row>
    <row r="374" spans="1:7">
      <c r="A374" s="3215" t="s">
        <v>3163</v>
      </c>
      <c r="B374" s="3204" t="s">
        <v>1114</v>
      </c>
      <c r="C374" s="3205">
        <v>0.15</v>
      </c>
      <c r="D374" s="3205">
        <v>0.15</v>
      </c>
      <c r="E374" s="3205">
        <v>0.15</v>
      </c>
      <c r="F374" s="3205">
        <v>0.14399999999999999</v>
      </c>
      <c r="G374" s="3206">
        <v>0.15</v>
      </c>
    </row>
    <row r="375" spans="1:7">
      <c r="A375" s="3215" t="s">
        <v>3163</v>
      </c>
      <c r="B375" s="3204" t="s">
        <v>3172</v>
      </c>
      <c r="C375" s="3205">
        <v>0.15</v>
      </c>
      <c r="D375" s="3205">
        <v>0.15</v>
      </c>
      <c r="E375" s="3205">
        <v>0.15</v>
      </c>
      <c r="F375" s="3205">
        <v>0.13</v>
      </c>
      <c r="G375" s="3206">
        <v>0.15</v>
      </c>
    </row>
    <row r="376" spans="1:7">
      <c r="A376" s="3215" t="s">
        <v>3163</v>
      </c>
      <c r="B376" s="3204" t="s">
        <v>1126</v>
      </c>
      <c r="C376" s="3205">
        <v>0.15</v>
      </c>
      <c r="D376" s="3205">
        <v>0.15</v>
      </c>
      <c r="E376" s="3205">
        <v>0.15</v>
      </c>
      <c r="F376" s="3205">
        <v>0.14199999999999999</v>
      </c>
      <c r="G376" s="3206">
        <v>0.15</v>
      </c>
    </row>
    <row r="377" spans="1:7" ht="14.25" thickBot="1">
      <c r="A377" s="3218" t="s">
        <v>3163</v>
      </c>
      <c r="B377" s="3208" t="s">
        <v>3014</v>
      </c>
      <c r="C377" s="3209">
        <v>0.15</v>
      </c>
      <c r="D377" s="3209">
        <v>0.15</v>
      </c>
      <c r="E377" s="3209">
        <v>0.15</v>
      </c>
      <c r="F377" s="3209">
        <v>0.14000000000000001</v>
      </c>
      <c r="G377" s="3211">
        <v>0.15</v>
      </c>
    </row>
    <row r="378" spans="1:7">
      <c r="A378" s="3214" t="s">
        <v>3173</v>
      </c>
      <c r="B378" s="3200" t="s">
        <v>3174</v>
      </c>
      <c r="C378" s="3201">
        <v>0.15</v>
      </c>
      <c r="D378" s="3201">
        <v>0.15</v>
      </c>
      <c r="E378" s="3201">
        <v>0.15</v>
      </c>
      <c r="F378" s="3201">
        <v>0.107</v>
      </c>
      <c r="G378" s="3202">
        <v>0.15</v>
      </c>
    </row>
    <row r="379" spans="1:7">
      <c r="A379" s="3215" t="s">
        <v>3173</v>
      </c>
      <c r="B379" s="3204" t="s">
        <v>3175</v>
      </c>
      <c r="C379" s="3205">
        <v>0.15</v>
      </c>
      <c r="D379" s="3205">
        <v>0.15</v>
      </c>
      <c r="E379" s="3205">
        <v>0.15</v>
      </c>
      <c r="F379" s="3205">
        <v>0.115</v>
      </c>
      <c r="G379" s="3206">
        <v>0.14899999999999999</v>
      </c>
    </row>
    <row r="380" spans="1:7">
      <c r="A380" s="3215" t="s">
        <v>3176</v>
      </c>
      <c r="B380" s="3204" t="s">
        <v>3177</v>
      </c>
      <c r="C380" s="3205">
        <v>0.15</v>
      </c>
      <c r="D380" s="3205">
        <v>0.15</v>
      </c>
      <c r="E380" s="3205">
        <v>0.15</v>
      </c>
      <c r="F380" s="3205">
        <v>0.1</v>
      </c>
      <c r="G380" s="3206">
        <v>0.14799999999999999</v>
      </c>
    </row>
    <row r="381" spans="1:7">
      <c r="A381" s="3215" t="s">
        <v>3176</v>
      </c>
      <c r="B381" s="3204" t="s">
        <v>3178</v>
      </c>
      <c r="C381" s="3205">
        <v>0.15</v>
      </c>
      <c r="D381" s="3205">
        <v>0.15</v>
      </c>
      <c r="E381" s="3205">
        <v>0.15</v>
      </c>
      <c r="F381" s="3205">
        <v>0.126</v>
      </c>
      <c r="G381" s="3206">
        <v>0.15</v>
      </c>
    </row>
    <row r="382" spans="1:7">
      <c r="A382" s="3215" t="s">
        <v>3176</v>
      </c>
      <c r="B382" s="3204" t="s">
        <v>3179</v>
      </c>
      <c r="C382" s="3205">
        <v>0.15</v>
      </c>
      <c r="D382" s="3205">
        <v>0.15</v>
      </c>
      <c r="E382" s="3205">
        <v>0.15</v>
      </c>
      <c r="F382" s="3205">
        <v>0.15</v>
      </c>
      <c r="G382" s="3206">
        <v>0.15</v>
      </c>
    </row>
    <row r="383" spans="1:7">
      <c r="A383" s="3215" t="s">
        <v>3176</v>
      </c>
      <c r="B383" s="3204" t="s">
        <v>3180</v>
      </c>
      <c r="C383" s="3205">
        <v>0.15</v>
      </c>
      <c r="D383" s="3205">
        <v>0.15</v>
      </c>
      <c r="E383" s="3205">
        <v>0.15</v>
      </c>
      <c r="F383" s="3205">
        <v>0.14699999999999999</v>
      </c>
      <c r="G383" s="3206">
        <v>0.15</v>
      </c>
    </row>
    <row r="384" spans="1:7" ht="14.25" thickBot="1">
      <c r="A384" s="3225" t="s">
        <v>3176</v>
      </c>
      <c r="B384" s="3226" t="s">
        <v>3181</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81" t="s">
        <v>1858</v>
      </c>
      <c r="C1" s="3681"/>
      <c r="D1" s="3681"/>
      <c r="E1" s="3681"/>
      <c r="F1" s="3681"/>
      <c r="G1" s="3680" t="s">
        <v>1859</v>
      </c>
      <c r="H1" s="3680"/>
      <c r="I1" s="3680"/>
      <c r="J1" s="3680"/>
      <c r="K1" s="3680"/>
      <c r="L1" s="3680"/>
      <c r="N1" s="3680" t="s">
        <v>1860</v>
      </c>
      <c r="O1" s="3680"/>
      <c r="P1" s="3680"/>
      <c r="Q1" s="3680"/>
      <c r="S1" s="3680" t="s">
        <v>1861</v>
      </c>
      <c r="T1" s="3680"/>
      <c r="U1" s="3680"/>
      <c r="V1" s="3680"/>
      <c r="X1" s="3679" t="s">
        <v>1921</v>
      </c>
      <c r="Y1" s="3680"/>
      <c r="Z1" s="3680"/>
      <c r="AA1" s="3680"/>
      <c r="AB1" s="3680"/>
      <c r="AD1" s="3679" t="s">
        <v>1925</v>
      </c>
      <c r="AE1" s="3680"/>
      <c r="AF1" s="3680"/>
      <c r="AG1" s="3680"/>
      <c r="AH1" s="3680"/>
    </row>
    <row r="2" spans="1:34" s="2422" customFormat="1" ht="14.25" thickBot="1">
      <c r="B2" s="2423" t="s">
        <v>1862</v>
      </c>
      <c r="C2" s="2423" t="s">
        <v>1923</v>
      </c>
      <c r="D2" s="2424" t="s">
        <v>1179</v>
      </c>
      <c r="E2" s="2424" t="s">
        <v>1469</v>
      </c>
      <c r="F2" s="2423" t="s">
        <v>1924</v>
      </c>
      <c r="G2" s="2425"/>
      <c r="I2" s="2423" t="s">
        <v>2211</v>
      </c>
      <c r="J2" s="2424" t="s">
        <v>2213</v>
      </c>
      <c r="K2" s="2424" t="s">
        <v>2214</v>
      </c>
      <c r="L2" s="2423" t="s">
        <v>2215</v>
      </c>
      <c r="N2" s="2423" t="s">
        <v>1862</v>
      </c>
      <c r="O2" s="2424" t="s">
        <v>2212</v>
      </c>
      <c r="P2" s="2424" t="s">
        <v>1469</v>
      </c>
      <c r="Q2" s="2423" t="s">
        <v>1924</v>
      </c>
      <c r="S2" s="2423" t="s">
        <v>1862</v>
      </c>
      <c r="T2" s="2424" t="s">
        <v>2212</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2442</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2441</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2440</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2439</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2438</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2287</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2286</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2285</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2284</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2281</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2280</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675">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675"/>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675"/>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676"/>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674">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75"/>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75"/>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76"/>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74">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75"/>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75"/>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78"/>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77">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75"/>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75"/>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78"/>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77">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75"/>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75"/>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78"/>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82">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83"/>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83"/>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84"/>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77">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75"/>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75"/>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78"/>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77">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75">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75">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78">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77">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75">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75">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78">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77">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75">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75">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78">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77">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75">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75">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78">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77">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75">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75">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78">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77">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75">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75">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78">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77">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75">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75">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78">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77">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75">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75">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78">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77">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75">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75">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78">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77">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75">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75">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78">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S48" sqref="S48"/>
    </sheetView>
  </sheetViews>
  <sheetFormatPr defaultRowHeight="13.5"/>
  <cols>
    <col min="1" max="1" width="12.375" customWidth="1"/>
    <col min="11" max="17" width="0" hidden="1" customWidth="1"/>
    <col min="24" max="30" width="0" hidden="1" customWidth="1"/>
  </cols>
  <sheetData>
    <row r="1" spans="1:30">
      <c r="A1" s="3131">
        <f>基准地价!G23</f>
        <v>45541</v>
      </c>
      <c r="B1" s="3088" t="s">
        <v>2785</v>
      </c>
      <c r="C1" s="3089"/>
      <c r="D1" s="3089"/>
      <c r="E1" s="3089"/>
      <c r="F1" s="3089"/>
      <c r="G1" s="3089"/>
      <c r="H1" s="3089"/>
      <c r="I1" s="3089"/>
      <c r="J1" s="3090"/>
      <c r="K1" s="3089" t="s">
        <v>2786</v>
      </c>
      <c r="L1" s="3089"/>
      <c r="M1" s="3089"/>
      <c r="N1" s="3089"/>
      <c r="O1" s="3089"/>
      <c r="P1" s="3089"/>
      <c r="Q1" s="3090"/>
      <c r="R1" s="3685" t="s">
        <v>2795</v>
      </c>
      <c r="S1" s="3686"/>
      <c r="T1" s="3686"/>
      <c r="U1" s="3686"/>
      <c r="V1" s="3686"/>
      <c r="W1" s="3686"/>
      <c r="X1" s="3090"/>
      <c r="Y1" s="3685" t="s">
        <v>2806</v>
      </c>
      <c r="Z1" s="3686"/>
      <c r="AA1" s="3686"/>
      <c r="AB1" s="3686"/>
      <c r="AC1" s="3686"/>
      <c r="AD1" s="3686"/>
    </row>
    <row r="2" spans="1:30" ht="14.25" thickBot="1">
      <c r="A2" s="3083"/>
      <c r="B2" s="3091"/>
      <c r="C2" s="3092"/>
      <c r="D2" s="2423" t="s">
        <v>2788</v>
      </c>
      <c r="E2" s="2424" t="s">
        <v>2789</v>
      </c>
      <c r="F2" s="2424" t="s">
        <v>2790</v>
      </c>
      <c r="G2" s="2424" t="s">
        <v>2791</v>
      </c>
      <c r="H2" s="2424" t="s">
        <v>2792</v>
      </c>
      <c r="I2" s="2424" t="s">
        <v>2733</v>
      </c>
      <c r="J2" s="3093"/>
      <c r="K2" s="2423" t="s">
        <v>2788</v>
      </c>
      <c r="L2" s="2424" t="s">
        <v>2789</v>
      </c>
      <c r="M2" s="2424" t="s">
        <v>2790</v>
      </c>
      <c r="N2" s="2424" t="s">
        <v>2791</v>
      </c>
      <c r="O2" s="2424" t="s">
        <v>2792</v>
      </c>
      <c r="P2" s="2424" t="s">
        <v>2733</v>
      </c>
      <c r="Q2" s="3093"/>
      <c r="R2" s="2423" t="s">
        <v>2796</v>
      </c>
      <c r="S2" s="2424" t="s">
        <v>2797</v>
      </c>
      <c r="T2" s="2424" t="s">
        <v>2798</v>
      </c>
      <c r="U2" s="2424" t="s">
        <v>2799</v>
      </c>
      <c r="V2" s="2424" t="s">
        <v>2800</v>
      </c>
      <c r="W2" s="2424" t="s">
        <v>2801</v>
      </c>
      <c r="X2" s="3093"/>
      <c r="Y2" s="2423" t="s">
        <v>2788</v>
      </c>
      <c r="Z2" s="2424" t="s">
        <v>1470</v>
      </c>
      <c r="AA2" s="2424" t="s">
        <v>2807</v>
      </c>
      <c r="AB2" s="2424" t="s">
        <v>1469</v>
      </c>
      <c r="AC2" s="2424" t="s">
        <v>2792</v>
      </c>
      <c r="AD2" s="2424" t="s">
        <v>2450</v>
      </c>
    </row>
    <row r="3" spans="1:30">
      <c r="A3" s="3084" t="s">
        <v>2776</v>
      </c>
      <c r="B3" s="3094"/>
      <c r="C3" s="3095"/>
      <c r="D3" s="3095">
        <f>ROUND(AVERAGEIF(D4:D19,"&lt;&gt;0"),2)</f>
        <v>0.59</v>
      </c>
      <c r="E3" s="3095">
        <f>ROUND(AVERAGEIF(E4:E19,"&lt;&gt;0"),2)</f>
        <v>0.36</v>
      </c>
      <c r="F3" s="3095">
        <f>ROUND(AVERAGEIF(F4:F19,"&lt;&gt;0"),2)</f>
        <v>0.06</v>
      </c>
      <c r="G3" s="3095">
        <f>ROUND(AVERAGEIF(G4:G19,"&lt;&gt;0"),2)</f>
        <v>0.6</v>
      </c>
      <c r="H3" s="3095">
        <f>ROUND(AVERAGEIF(H4:H19,"&lt;&gt;0"),2)</f>
        <v>0.6</v>
      </c>
      <c r="I3" s="3095">
        <f>F3</f>
        <v>0.06</v>
      </c>
      <c r="J3" s="3096"/>
      <c r="K3" s="3097">
        <f>ROUND(AVERAGEIF(K4:K19,"&lt;&gt;0"),4)</f>
        <v>5.8999999999999999E-3</v>
      </c>
      <c r="L3" s="3098">
        <f>ROUND(AVERAGEIF(L4:L19,"&lt;&gt;0"),4)</f>
        <v>3.5999999999999999E-3</v>
      </c>
      <c r="M3" s="3098">
        <f>ROUND(AVERAGEIF(M4:M19,"&lt;&gt;0"),4)</f>
        <v>5.9999999999999995E-4</v>
      </c>
      <c r="N3" s="3098">
        <f>ROUND(AVERAGEIF(N4:N19,"&lt;&gt;0"),4)</f>
        <v>6.0000000000000001E-3</v>
      </c>
      <c r="O3" s="3098">
        <f>ROUND(AVERAGEIF(O4:O19,"&lt;&gt;0"),4)</f>
        <v>6.0000000000000001E-3</v>
      </c>
      <c r="P3" s="3098">
        <f>M3</f>
        <v>5.9999999999999995E-4</v>
      </c>
      <c r="Q3" s="3096"/>
      <c r="R3" s="3111">
        <f>ROUND(SUMPRODUCT(PRODUCT(1+K4:K19)),4)</f>
        <v>1.0852999999999999</v>
      </c>
      <c r="S3" s="3112">
        <f>ROUND(SUMPRODUCT(PRODUCT(1+L4:L19)),4)</f>
        <v>1.0513999999999999</v>
      </c>
      <c r="T3" s="3112">
        <f>ROUND(SUMPRODUCT(PRODUCT(1+M4:M19)),4)</f>
        <v>1.0083</v>
      </c>
      <c r="U3" s="3112">
        <f>ROUND(SUMPRODUCT(PRODUCT(1+N4:N19)),4)</f>
        <v>1.0871999999999999</v>
      </c>
      <c r="V3" s="3112">
        <f>ROUND(SUMPRODUCT(PRODUCT(1+O4:O19)),4)</f>
        <v>1.0880000000000001</v>
      </c>
      <c r="W3" s="3111">
        <f>T3</f>
        <v>1.0083</v>
      </c>
      <c r="X3" s="3096"/>
      <c r="Y3" s="3118">
        <f>ROUND(AVERAGEIF(Y6:Y19,"&lt;&gt;0"),4)</f>
        <v>8.0999999999999996E-3</v>
      </c>
      <c r="Z3" s="3119">
        <f>ROUND(AVERAGEIF(Z6:Z19,"&lt;&gt;0"),4)</f>
        <v>3.7000000000000002E-3</v>
      </c>
      <c r="AA3" s="3120">
        <f>ROUND(AVERAGEIF(AA6:AA19,"&lt;&gt;0"),4)</f>
        <v>1.2999999999999999E-3</v>
      </c>
      <c r="AB3" s="3118">
        <f>ROUND(AVERAGEIF(AB6:AB19,"&lt;&gt;0"),4)</f>
        <v>8.8000000000000005E-3</v>
      </c>
      <c r="AC3" s="3121">
        <f>ROUND(AVERAGEIF(AC6:AC19,"&lt;&gt;0"),4)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3257</v>
      </c>
      <c r="B5" s="3134">
        <v>2024</v>
      </c>
      <c r="C5" s="3135">
        <v>3</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ROUND(IF(项目基本情况!$B$8="出让",SUMPRODUCT(PRODUCT(1+K5:$K$19)),SUMPRODUCT(PRODUCT(1+K5:$K$18))),4)</f>
        <v>1.0748</v>
      </c>
      <c r="S5" s="3113">
        <f>ROUND(IF(项目基本情况!$B$8="出让",SUMPRODUCT(PRODUCT(1+L5:$L$19)),SUMPRODUCT(PRODUCT(1+L5:$L$18))),4)</f>
        <v>1.0498000000000001</v>
      </c>
      <c r="T5" s="3113">
        <f>ROUND(IF(项目基本情况!$B$8="出让",SUMPRODUCT(PRODUCT(1+M5:$M$19)),SUMPRODUCT(PRODUCT(1+M5:$M$18))),4)</f>
        <v>1.0107999999999999</v>
      </c>
      <c r="U5" s="3113">
        <f>ROUND(IF(项目基本情况!$B$8="出让",SUMPRODUCT(PRODUCT(1+N5:$N$19)),SUMPRODUCT(PRODUCT(1+N5:$N$18))),4)</f>
        <v>1.0752999999999999</v>
      </c>
      <c r="V5" s="3113">
        <f>ROUND(IF(项目基本情况!$B$8="出让",SUMPRODUCT(PRODUCT(1+O5:$O$19)),SUMPRODUCT(PRODUCT(1+O5:$O$18))),4)</f>
        <v>1.0841000000000001</v>
      </c>
      <c r="W5" s="3113">
        <f>T5</f>
        <v>1.0107999999999999</v>
      </c>
      <c r="X5" s="3102"/>
      <c r="Y5" s="3104">
        <f t="shared" ref="Y5:AC6" si="6">IF(D5=0,0,ROUND(AVERAGE(D5:D18)/100,4))</f>
        <v>0</v>
      </c>
      <c r="Z5" s="3104">
        <f t="shared" si="6"/>
        <v>0</v>
      </c>
      <c r="AA5" s="3104">
        <f t="shared" si="6"/>
        <v>0</v>
      </c>
      <c r="AB5" s="3104">
        <f t="shared" si="6"/>
        <v>0</v>
      </c>
      <c r="AC5" s="3104">
        <f t="shared" si="6"/>
        <v>0</v>
      </c>
      <c r="AD5" s="3104">
        <f t="shared" ref="AD5" si="7">AA5</f>
        <v>0</v>
      </c>
    </row>
    <row r="6" spans="1:30">
      <c r="A6" s="3086" t="s">
        <v>3253</v>
      </c>
      <c r="B6" s="3137">
        <v>2024</v>
      </c>
      <c r="C6" s="3138">
        <v>2</v>
      </c>
      <c r="D6" s="3138">
        <v>-0.59</v>
      </c>
      <c r="E6" s="3138">
        <v>-0.21</v>
      </c>
      <c r="F6" s="3138">
        <v>-1.38</v>
      </c>
      <c r="G6" s="3138">
        <v>-1.24</v>
      </c>
      <c r="H6" s="3139">
        <v>0.34</v>
      </c>
      <c r="I6" s="3140">
        <f t="shared" ref="I6:I19" si="8">F6</f>
        <v>-1.38</v>
      </c>
      <c r="J6" s="3105"/>
      <c r="K6" s="3106">
        <f t="shared" ref="K6:O19" si="9">D6/100</f>
        <v>-5.8999999999999999E-3</v>
      </c>
      <c r="L6" s="3107">
        <f t="shared" si="9"/>
        <v>-2.0999999999999999E-3</v>
      </c>
      <c r="M6" s="3107">
        <f t="shared" si="9"/>
        <v>-1.38E-2</v>
      </c>
      <c r="N6" s="3107">
        <f t="shared" si="9"/>
        <v>-1.24E-2</v>
      </c>
      <c r="O6" s="3107">
        <f t="shared" si="9"/>
        <v>3.4000000000000002E-3</v>
      </c>
      <c r="P6" s="3107">
        <f>M6</f>
        <v>-1.38E-2</v>
      </c>
      <c r="Q6" s="3105"/>
      <c r="R6" s="3105">
        <f>ROUND(IF(项目基本情况!$B$8="出让",SUMPRODUCT(PRODUCT(1+K6:$K$19)),SUMPRODUCT(PRODUCT(1+K6:$K$18))),4)</f>
        <v>1.0748</v>
      </c>
      <c r="S6" s="3105">
        <f>ROUND(IF(项目基本情况!$B$8="出让",SUMPRODUCT(PRODUCT(1+L6:$L$19)),SUMPRODUCT(PRODUCT(1+L6:$L$18))),4)</f>
        <v>1.0498000000000001</v>
      </c>
      <c r="T6" s="3105">
        <f>ROUND(IF(项目基本情况!$B$8="出让",SUMPRODUCT(PRODUCT(1+M6:$M$19)),SUMPRODUCT(PRODUCT(1+M6:$M$18))),4)</f>
        <v>1.0107999999999999</v>
      </c>
      <c r="U6" s="3105">
        <f>ROUND(IF(项目基本情况!$B$8="出让",SUMPRODUCT(PRODUCT(1+N6:$N$19)),SUMPRODUCT(PRODUCT(1+N6:$N$18))),4)</f>
        <v>1.0752999999999999</v>
      </c>
      <c r="V6" s="3105">
        <f>ROUND(IF(项目基本情况!$B$8="出让",SUMPRODUCT(PRODUCT(1+O6:$O$19)),SUMPRODUCT(PRODUCT(1+O6:$O$18))),4)</f>
        <v>1.0841000000000001</v>
      </c>
      <c r="W6" s="3105">
        <f>T6</f>
        <v>1.0107999999999999</v>
      </c>
      <c r="X6" s="3105"/>
      <c r="Y6" s="3107">
        <f t="shared" si="6"/>
        <v>5.8999999999999999E-3</v>
      </c>
      <c r="Z6" s="3107">
        <f t="shared" si="6"/>
        <v>3.5999999999999999E-3</v>
      </c>
      <c r="AA6" s="3107">
        <f t="shared" si="6"/>
        <v>5.9999999999999995E-4</v>
      </c>
      <c r="AB6" s="3107">
        <f t="shared" si="6"/>
        <v>6.0000000000000001E-3</v>
      </c>
      <c r="AC6" s="3107">
        <f t="shared" si="6"/>
        <v>6.0000000000000001E-3</v>
      </c>
      <c r="AD6" s="3107">
        <f t="shared" ref="AD6:AD18" si="10">AA6</f>
        <v>5.9999999999999995E-4</v>
      </c>
    </row>
    <row r="7" spans="1:30">
      <c r="A7" s="3085" t="s">
        <v>3260</v>
      </c>
      <c r="B7" s="3134">
        <v>2024</v>
      </c>
      <c r="C7" s="3135">
        <v>1</v>
      </c>
      <c r="D7" s="3135">
        <v>0.08</v>
      </c>
      <c r="E7" s="3135">
        <v>0.46</v>
      </c>
      <c r="F7" s="3135">
        <v>-0.16</v>
      </c>
      <c r="G7" s="3135">
        <v>0.26</v>
      </c>
      <c r="H7" s="3141">
        <v>0.59</v>
      </c>
      <c r="I7" s="3136">
        <f t="shared" si="8"/>
        <v>-0.16</v>
      </c>
      <c r="J7" s="3102"/>
      <c r="K7" s="3103">
        <f t="shared" ref="K7" si="11">D7/100</f>
        <v>8.0000000000000004E-4</v>
      </c>
      <c r="L7" s="3104">
        <f t="shared" ref="L7" si="12">E7/100</f>
        <v>4.5999999999999999E-3</v>
      </c>
      <c r="M7" s="3104">
        <f t="shared" ref="M7" si="13">F7/100</f>
        <v>-1.6000000000000001E-3</v>
      </c>
      <c r="N7" s="3104">
        <f t="shared" ref="N7" si="14">G7/100</f>
        <v>2.5999999999999999E-3</v>
      </c>
      <c r="O7" s="3104">
        <f t="shared" ref="O7" si="15">H7/100</f>
        <v>5.8999999999999999E-3</v>
      </c>
      <c r="P7" s="3104">
        <f t="shared" ref="P7" si="16">M7</f>
        <v>-1.6000000000000001E-3</v>
      </c>
      <c r="Q7" s="3102"/>
      <c r="R7" s="3113">
        <f>ROUND(IF(项目基本情况!$B$8="出让",SUMPRODUCT(PRODUCT(1+K7:$K$19)),SUMPRODUCT(PRODUCT(1+K7:$K$18))),4)</f>
        <v>1.0811999999999999</v>
      </c>
      <c r="S7" s="3113">
        <f>ROUND(IF(项目基本情况!$B$8="出让",SUMPRODUCT(PRODUCT(1+L7:$L$19)),SUMPRODUCT(PRODUCT(1+L7:$L$18))),4)</f>
        <v>1.052</v>
      </c>
      <c r="T7" s="3113">
        <f>ROUND(IF(项目基本情况!$B$8="出让",SUMPRODUCT(PRODUCT(1+M7:$M$19)),SUMPRODUCT(PRODUCT(1+M7:$M$18))),4)</f>
        <v>1.0249999999999999</v>
      </c>
      <c r="U7" s="3113">
        <f>ROUND(IF(项目基本情况!$B$8="出让",SUMPRODUCT(PRODUCT(1+N7:$N$19)),SUMPRODUCT(PRODUCT(1+N7:$N$18))),4)</f>
        <v>1.0888</v>
      </c>
      <c r="V7" s="3113">
        <f>ROUND(IF(项目基本情况!$B$8="出让",SUMPRODUCT(PRODUCT(1+O7:$O$19)),SUMPRODUCT(PRODUCT(1+O7:$O$18))),4)</f>
        <v>1.0804</v>
      </c>
      <c r="W7" s="3113">
        <f t="shared" ref="W7" si="17">T7</f>
        <v>1.0249999999999999</v>
      </c>
      <c r="X7" s="3102"/>
      <c r="Y7" s="3104">
        <f t="shared" ref="Y7" si="18">IF(D7=0,0,ROUND(AVERAGE(D7:D18)/100,4))</f>
        <v>6.4999999999999997E-3</v>
      </c>
      <c r="Z7" s="3104">
        <f t="shared" ref="Z7" si="19">IF(E7=0,0,ROUND(AVERAGE(E7:E18)/100,4))</f>
        <v>4.1999999999999997E-3</v>
      </c>
      <c r="AA7" s="3104">
        <f t="shared" ref="AA7" si="20">IF(F7=0,0,ROUND(AVERAGE(F7:F18)/100,4))</f>
        <v>2.0999999999999999E-3</v>
      </c>
      <c r="AB7" s="3104">
        <f t="shared" ref="AB7" si="21">IF(G7=0,0,ROUND(AVERAGE(G7:G18)/100,4))</f>
        <v>7.1000000000000004E-3</v>
      </c>
      <c r="AC7" s="3104">
        <f t="shared" ref="AC7" si="22">IF(H7=0,0,ROUND(AVERAGE(H7:H18)/100,4))</f>
        <v>6.4999999999999997E-3</v>
      </c>
      <c r="AD7" s="3104">
        <f t="shared" ref="AD7" si="23">AA7</f>
        <v>2.0999999999999999E-3</v>
      </c>
    </row>
    <row r="8" spans="1:30">
      <c r="A8" s="3085" t="s">
        <v>3255</v>
      </c>
      <c r="B8" s="3134">
        <v>2023</v>
      </c>
      <c r="C8" s="3135">
        <v>4</v>
      </c>
      <c r="D8" s="3135">
        <v>0.19</v>
      </c>
      <c r="E8" s="3135">
        <v>0.24</v>
      </c>
      <c r="F8" s="3135">
        <v>-0.16</v>
      </c>
      <c r="G8" s="3135">
        <v>0.17</v>
      </c>
      <c r="H8" s="3141">
        <v>0.61</v>
      </c>
      <c r="I8" s="3136">
        <f t="shared" ref="I8" si="24">F8</f>
        <v>-0.16</v>
      </c>
      <c r="J8" s="3102"/>
      <c r="K8" s="3103">
        <f t="shared" si="9"/>
        <v>1.9E-3</v>
      </c>
      <c r="L8" s="3104">
        <f t="shared" si="9"/>
        <v>2.3999999999999998E-3</v>
      </c>
      <c r="M8" s="3104">
        <f t="shared" si="9"/>
        <v>-1.6000000000000001E-3</v>
      </c>
      <c r="N8" s="3104">
        <f t="shared" si="9"/>
        <v>1.7000000000000001E-3</v>
      </c>
      <c r="O8" s="3104">
        <f t="shared" si="9"/>
        <v>6.0999999999999995E-3</v>
      </c>
      <c r="P8" s="3104">
        <f t="shared" ref="P8" si="25">M8</f>
        <v>-1.6000000000000001E-3</v>
      </c>
      <c r="Q8" s="3102"/>
      <c r="R8" s="3113">
        <f>ROUND(IF(项目基本情况!$B$8="出让",SUMPRODUCT(PRODUCT(1+K8:$K$19)),SUMPRODUCT(PRODUCT(1+K8:$K$18))),4)</f>
        <v>1.0804</v>
      </c>
      <c r="S8" s="3113">
        <f>ROUND(IF(项目基本情况!$B$8="出让",SUMPRODUCT(PRODUCT(1+L8:$L$19)),SUMPRODUCT(PRODUCT(1+L8:$L$18))),4)</f>
        <v>1.0471999999999999</v>
      </c>
      <c r="T8" s="3113">
        <f>ROUND(IF(项目基本情况!$B$8="出让",SUMPRODUCT(PRODUCT(1+M8:$M$19)),SUMPRODUCT(PRODUCT(1+M8:$M$18))),4)</f>
        <v>1.0266</v>
      </c>
      <c r="U8" s="3113">
        <f>ROUND(IF(项目基本情况!$B$8="出让",SUMPRODUCT(PRODUCT(1+N8:$N$19)),SUMPRODUCT(PRODUCT(1+N8:$N$18))),4)</f>
        <v>1.0859000000000001</v>
      </c>
      <c r="V8" s="3113">
        <f>ROUND(IF(项目基本情况!$B$8="出让",SUMPRODUCT(PRODUCT(1+O8:$O$19)),SUMPRODUCT(PRODUCT(1+O8:$O$18))),4)</f>
        <v>1.0741000000000001</v>
      </c>
      <c r="W8" s="3113">
        <f t="shared" ref="W8" si="26">T8</f>
        <v>1.0266</v>
      </c>
      <c r="X8" s="3102"/>
      <c r="Y8" s="3104">
        <f t="shared" ref="Y8" si="27">IF(D8=0,0,ROUND(AVERAGE(D8:D19)/100,4))</f>
        <v>7.3000000000000001E-3</v>
      </c>
      <c r="Z8" s="3104">
        <f t="shared" ref="Z8" si="28">IF(E8=0,0,ROUND(AVERAGE(E8:E19)/100,4))</f>
        <v>4.0000000000000001E-3</v>
      </c>
      <c r="AA8" s="3104">
        <f t="shared" ref="AA8" si="29">IF(F8=0,0,ROUND(AVERAGE(F8:F19)/100,4))</f>
        <v>2E-3</v>
      </c>
      <c r="AB8" s="3104">
        <f t="shared" ref="AB8" si="30">IF(G8=0,0,ROUND(AVERAGE(G8:G19)/100,4))</f>
        <v>7.7999999999999996E-3</v>
      </c>
      <c r="AC8" s="3104">
        <f t="shared" ref="AC8" si="31">IF(H8=0,0,ROUND(AVERAGE(H8:H19)/100,4))</f>
        <v>6.3E-3</v>
      </c>
      <c r="AD8" s="3104">
        <f t="shared" si="10"/>
        <v>2E-3</v>
      </c>
    </row>
    <row r="9" spans="1:30">
      <c r="A9" s="3085" t="s">
        <v>3254</v>
      </c>
      <c r="B9" s="3134">
        <v>2023</v>
      </c>
      <c r="C9" s="3135">
        <v>3</v>
      </c>
      <c r="D9" s="3135">
        <v>0.25</v>
      </c>
      <c r="E9" s="3135">
        <v>0.5</v>
      </c>
      <c r="F9" s="3135">
        <v>0.31</v>
      </c>
      <c r="G9" s="3135">
        <v>0.21</v>
      </c>
      <c r="H9" s="3141">
        <v>0.43</v>
      </c>
      <c r="I9" s="3136">
        <f t="shared" si="8"/>
        <v>0.31</v>
      </c>
      <c r="J9" s="3102"/>
      <c r="K9" s="3103">
        <f t="shared" ref="K9:K11" si="32">D9/100</f>
        <v>2.5000000000000001E-3</v>
      </c>
      <c r="L9" s="3104">
        <f t="shared" ref="L9:L11" si="33">E9/100</f>
        <v>5.0000000000000001E-3</v>
      </c>
      <c r="M9" s="3104">
        <f t="shared" ref="M9:M11" si="34">F9/100</f>
        <v>3.0999999999999999E-3</v>
      </c>
      <c r="N9" s="3104">
        <f t="shared" ref="N9:N11" si="35">G9/100</f>
        <v>2.0999999999999999E-3</v>
      </c>
      <c r="O9" s="3104">
        <f t="shared" ref="O9:O11" si="36">H9/100</f>
        <v>4.3E-3</v>
      </c>
      <c r="P9" s="3104">
        <f t="shared" ref="P9:P11" si="37">M9</f>
        <v>3.0999999999999999E-3</v>
      </c>
      <c r="Q9" s="3102"/>
      <c r="R9" s="3113">
        <f>ROUND(IF(项目基本情况!$B$8="出让",SUMPRODUCT(PRODUCT(1+K9:$K$19)),SUMPRODUCT(PRODUCT(1+K9:$K$18))),4)</f>
        <v>1.0783</v>
      </c>
      <c r="S9" s="3113">
        <f>ROUND(IF(项目基本情况!$B$8="出让",SUMPRODUCT(PRODUCT(1+L9:$L$19)),SUMPRODUCT(PRODUCT(1+L9:$L$18))),4)</f>
        <v>1.0447</v>
      </c>
      <c r="T9" s="3113">
        <f>ROUND(IF(项目基本情况!$B$8="出让",SUMPRODUCT(PRODUCT(1+M9:$M$19)),SUMPRODUCT(PRODUCT(1+M9:$M$18))),4)</f>
        <v>1.0282</v>
      </c>
      <c r="U9" s="3113">
        <f>ROUND(IF(项目基本情况!$B$8="出让",SUMPRODUCT(PRODUCT(1+N9:$N$19)),SUMPRODUCT(PRODUCT(1+N9:$N$18))),4)</f>
        <v>1.0841000000000001</v>
      </c>
      <c r="V9" s="3113">
        <f>ROUND(IF(项目基本情况!$B$8="出让",SUMPRODUCT(PRODUCT(1+O9:$O$19)),SUMPRODUCT(PRODUCT(1+O9:$O$18))),4)</f>
        <v>1.0674999999999999</v>
      </c>
      <c r="W9" s="3113">
        <f t="shared" ref="W9:W11" si="38">T9</f>
        <v>1.0282</v>
      </c>
      <c r="X9" s="3102"/>
      <c r="Y9" s="3104">
        <f t="shared" ref="Y9:AC9" si="39">IF(D9=0,0,ROUND(AVERAGE(D9:D20)/100,4))</f>
        <v>7.7999999999999996E-3</v>
      </c>
      <c r="Z9" s="3104">
        <f t="shared" si="39"/>
        <v>4.1000000000000003E-3</v>
      </c>
      <c r="AA9" s="3104">
        <f t="shared" si="39"/>
        <v>2.3E-3</v>
      </c>
      <c r="AB9" s="3104">
        <f t="shared" si="39"/>
        <v>8.3999999999999995E-3</v>
      </c>
      <c r="AC9" s="3104">
        <f t="shared" si="39"/>
        <v>6.3E-3</v>
      </c>
      <c r="AD9" s="3104">
        <f t="shared" ref="AD9:AD11" si="40">AA9</f>
        <v>2.3E-3</v>
      </c>
    </row>
    <row r="10" spans="1:30">
      <c r="A10" s="3085" t="s">
        <v>3251</v>
      </c>
      <c r="B10" s="3134">
        <v>2023</v>
      </c>
      <c r="C10" s="3135">
        <v>2</v>
      </c>
      <c r="D10" s="3135">
        <v>0.91</v>
      </c>
      <c r="E10" s="3135">
        <v>0.66</v>
      </c>
      <c r="F10" s="3135">
        <v>0.47</v>
      </c>
      <c r="G10" s="3135">
        <v>0.96</v>
      </c>
      <c r="H10" s="3141">
        <v>0.71</v>
      </c>
      <c r="I10" s="3136">
        <f t="shared" si="8"/>
        <v>0.47</v>
      </c>
      <c r="J10" s="3102"/>
      <c r="K10" s="3103">
        <f t="shared" si="32"/>
        <v>9.1000000000000004E-3</v>
      </c>
      <c r="L10" s="3104">
        <f t="shared" si="33"/>
        <v>6.6E-3</v>
      </c>
      <c r="M10" s="3104">
        <f t="shared" si="34"/>
        <v>4.6999999999999993E-3</v>
      </c>
      <c r="N10" s="3104">
        <f t="shared" si="35"/>
        <v>9.5999999999999992E-3</v>
      </c>
      <c r="O10" s="3104">
        <f t="shared" si="36"/>
        <v>7.0999999999999995E-3</v>
      </c>
      <c r="P10" s="3104">
        <f t="shared" si="37"/>
        <v>4.6999999999999993E-3</v>
      </c>
      <c r="Q10" s="3102"/>
      <c r="R10" s="3113">
        <f>ROUND(IF(项目基本情况!$B$8="出让",SUMPRODUCT(PRODUCT(1+K10:$K$19)),SUMPRODUCT(PRODUCT(1+K10:$K$18))),4)</f>
        <v>1.0755999999999999</v>
      </c>
      <c r="S10" s="3113">
        <f>ROUND(IF(项目基本情况!$B$8="出让",SUMPRODUCT(PRODUCT(1+L10:$L$19)),SUMPRODUCT(PRODUCT(1+L10:$L$18))),4)</f>
        <v>1.0395000000000001</v>
      </c>
      <c r="T10" s="3113">
        <f>ROUND(IF(项目基本情况!$B$8="出让",SUMPRODUCT(PRODUCT(1+M10:$M$19)),SUMPRODUCT(PRODUCT(1+M10:$M$18))),4)</f>
        <v>1.0250999999999999</v>
      </c>
      <c r="U10" s="3113">
        <f>ROUND(IF(项目基本情况!$B$8="出让",SUMPRODUCT(PRODUCT(1+N10:$N$19)),SUMPRODUCT(PRODUCT(1+N10:$N$18))),4)</f>
        <v>1.0818000000000001</v>
      </c>
      <c r="V10" s="3113">
        <f>ROUND(IF(项目基本情况!$B$8="出让",SUMPRODUCT(PRODUCT(1+O10:$O$19)),SUMPRODUCT(PRODUCT(1+O10:$O$18))),4)</f>
        <v>1.0629999999999999</v>
      </c>
      <c r="W10" s="3113">
        <f t="shared" si="38"/>
        <v>1.0250999999999999</v>
      </c>
      <c r="X10" s="3102"/>
      <c r="Y10" s="3104">
        <f t="shared" ref="Y10:AC10" si="41">IF(D10=0,0,ROUND(AVERAGE(D10:D21)/100,4))</f>
        <v>8.3000000000000001E-3</v>
      </c>
      <c r="Z10" s="3104">
        <f t="shared" si="41"/>
        <v>4.0000000000000001E-3</v>
      </c>
      <c r="AA10" s="3104">
        <f t="shared" si="41"/>
        <v>2.2000000000000001E-3</v>
      </c>
      <c r="AB10" s="3104">
        <f t="shared" si="41"/>
        <v>8.9999999999999993E-3</v>
      </c>
      <c r="AC10" s="3104">
        <f t="shared" si="41"/>
        <v>6.4999999999999997E-3</v>
      </c>
      <c r="AD10" s="3104">
        <f t="shared" si="40"/>
        <v>2.2000000000000001E-3</v>
      </c>
    </row>
    <row r="11" spans="1:30">
      <c r="A11" s="3085" t="s">
        <v>3249</v>
      </c>
      <c r="B11" s="3134">
        <v>2023</v>
      </c>
      <c r="C11" s="3135">
        <v>1</v>
      </c>
      <c r="D11" s="3135">
        <v>0.89</v>
      </c>
      <c r="E11" s="3135">
        <v>0.74</v>
      </c>
      <c r="F11" s="3135">
        <v>0.56999999999999995</v>
      </c>
      <c r="G11" s="3135">
        <v>0.92</v>
      </c>
      <c r="H11" s="3141">
        <v>0.5</v>
      </c>
      <c r="I11" s="3136">
        <f t="shared" si="8"/>
        <v>0.56999999999999995</v>
      </c>
      <c r="J11" s="3102"/>
      <c r="K11" s="3103">
        <f t="shared" si="32"/>
        <v>8.8999999999999999E-3</v>
      </c>
      <c r="L11" s="3104">
        <f t="shared" si="33"/>
        <v>7.4000000000000003E-3</v>
      </c>
      <c r="M11" s="3104">
        <f t="shared" si="34"/>
        <v>5.6999999999999993E-3</v>
      </c>
      <c r="N11" s="3104">
        <f t="shared" si="35"/>
        <v>9.1999999999999998E-3</v>
      </c>
      <c r="O11" s="3104">
        <f t="shared" si="36"/>
        <v>5.0000000000000001E-3</v>
      </c>
      <c r="P11" s="3104">
        <f t="shared" si="37"/>
        <v>5.6999999999999993E-3</v>
      </c>
      <c r="Q11" s="3102"/>
      <c r="R11" s="3113">
        <f>ROUND(IF(项目基本情况!$B$8="出让",SUMPRODUCT(PRODUCT(1+K11:$K$19)),SUMPRODUCT(PRODUCT(1+K11:$K$18))),4)</f>
        <v>1.0659000000000001</v>
      </c>
      <c r="S11" s="3113">
        <f>ROUND(IF(项目基本情况!$B$8="出让",SUMPRODUCT(PRODUCT(1+L11:$L$19)),SUMPRODUCT(PRODUCT(1+L11:$L$18))),4)</f>
        <v>1.0326</v>
      </c>
      <c r="T11" s="3113">
        <f>ROUND(IF(项目基本情况!$B$8="出让",SUMPRODUCT(PRODUCT(1+M11:$M$19)),SUMPRODUCT(PRODUCT(1+M11:$M$18))),4)</f>
        <v>1.0203</v>
      </c>
      <c r="U11" s="3113">
        <f>ROUND(IF(项目基本情况!$B$8="出让",SUMPRODUCT(PRODUCT(1+N11:$N$19)),SUMPRODUCT(PRODUCT(1+N11:$N$18))),4)</f>
        <v>1.0714999999999999</v>
      </c>
      <c r="V11" s="3113">
        <f>ROUND(IF(项目基本情况!$B$8="出让",SUMPRODUCT(PRODUCT(1+O11:$O$19)),SUMPRODUCT(PRODUCT(1+O11:$O$18))),4)</f>
        <v>1.0555000000000001</v>
      </c>
      <c r="W11" s="3113">
        <f t="shared" si="38"/>
        <v>1.0203</v>
      </c>
      <c r="X11" s="3102"/>
      <c r="Y11" s="3104">
        <f t="shared" ref="Y11:AC11" si="42">IF(D11=0,0,ROUND(AVERAGE(D11:D22)/100,4))</f>
        <v>8.2000000000000007E-3</v>
      </c>
      <c r="Z11" s="3104">
        <f t="shared" si="42"/>
        <v>3.8E-3</v>
      </c>
      <c r="AA11" s="3104">
        <f t="shared" si="42"/>
        <v>2E-3</v>
      </c>
      <c r="AB11" s="3104">
        <f t="shared" si="42"/>
        <v>8.8999999999999999E-3</v>
      </c>
      <c r="AC11" s="3104">
        <f t="shared" si="42"/>
        <v>6.4000000000000003E-3</v>
      </c>
      <c r="AD11" s="3104">
        <f t="shared" si="40"/>
        <v>2E-3</v>
      </c>
    </row>
    <row r="12" spans="1:30">
      <c r="A12" s="3085" t="s">
        <v>3247</v>
      </c>
      <c r="B12" s="3134">
        <v>2022</v>
      </c>
      <c r="C12" s="3135">
        <v>4</v>
      </c>
      <c r="D12" s="3135">
        <v>0.62</v>
      </c>
      <c r="E12" s="3135">
        <v>0.2</v>
      </c>
      <c r="F12" s="3135">
        <v>0.11</v>
      </c>
      <c r="G12" s="3135">
        <v>0.69</v>
      </c>
      <c r="H12" s="3141">
        <v>0.53</v>
      </c>
      <c r="I12" s="3136">
        <f t="shared" si="8"/>
        <v>0.11</v>
      </c>
      <c r="J12" s="3102"/>
      <c r="K12" s="3103">
        <f t="shared" si="9"/>
        <v>6.1999999999999998E-3</v>
      </c>
      <c r="L12" s="3104">
        <f t="shared" si="9"/>
        <v>2E-3</v>
      </c>
      <c r="M12" s="3104">
        <f t="shared" si="9"/>
        <v>1.1000000000000001E-3</v>
      </c>
      <c r="N12" s="3104">
        <f t="shared" si="9"/>
        <v>6.8999999999999999E-3</v>
      </c>
      <c r="O12" s="3104">
        <f t="shared" si="9"/>
        <v>5.3E-3</v>
      </c>
      <c r="P12" s="3104">
        <f t="shared" ref="P12:P19" si="43">M12</f>
        <v>1.1000000000000001E-3</v>
      </c>
      <c r="Q12" s="3102"/>
      <c r="R12" s="3113">
        <f>ROUND(IF(项目基本情况!B8="出让",SUMPRODUCT(PRODUCT(1+K12:K19)),SUMPRODUCT(PRODUCT(1+K12:K18))),4)</f>
        <v>1.0565</v>
      </c>
      <c r="S12" s="3113">
        <f>ROUND(IF(项目基本情况!B8="出让",SUMPRODUCT(PRODUCT(1+L12:L19)),SUMPRODUCT(PRODUCT(1+L12:L18))),4)</f>
        <v>1.0250999999999999</v>
      </c>
      <c r="T12" s="3113">
        <f>ROUND(IF(项目基本情况!B8="出让",SUMPRODUCT(PRODUCT(1+M12:M19)),SUMPRODUCT(PRODUCT(1+M12:M18))),4)</f>
        <v>1.0145</v>
      </c>
      <c r="U12" s="3113">
        <f>ROUND(IF(项目基本情况!B8="出让",SUMPRODUCT(PRODUCT(1+N12:N19)),SUMPRODUCT(PRODUCT(1+N12:N18))),4)</f>
        <v>1.0618000000000001</v>
      </c>
      <c r="V12" s="3113">
        <f>ROUND(IF(项目基本情况!B8="出让",SUMPRODUCT(PRODUCT(1+O12:O19)),SUMPRODUCT(PRODUCT(1+O12:O18))),4)</f>
        <v>1.0502</v>
      </c>
      <c r="W12" s="3113">
        <f t="shared" ref="W12:W19" si="44">T12</f>
        <v>1.0145</v>
      </c>
      <c r="X12" s="3102"/>
      <c r="Y12" s="3104">
        <f>IF(D12=0,0,ROUND(AVERAGE(D12:D20)/100,4))</f>
        <v>8.0999999999999996E-3</v>
      </c>
      <c r="Z12" s="3104">
        <f>IF(E12=0,0,ROUND(AVERAGE(E12:E19)/100,4))</f>
        <v>3.3E-3</v>
      </c>
      <c r="AA12" s="3104">
        <f>IF(F12=0,0,ROUND(AVERAGE(F12:F19)/100,4))</f>
        <v>1.5E-3</v>
      </c>
      <c r="AB12" s="3104">
        <f>IF(G12=0,0,ROUND(AVERAGE(G12:G19)/100,4))</f>
        <v>8.8999999999999999E-3</v>
      </c>
      <c r="AC12" s="3104">
        <f>IF(H12=0,0,ROUND(AVERAGE(H12:H19)/100,4))</f>
        <v>6.6E-3</v>
      </c>
      <c r="AD12" s="3104">
        <f t="shared" si="10"/>
        <v>1.5E-3</v>
      </c>
    </row>
    <row r="13" spans="1:30">
      <c r="A13" s="3085" t="s">
        <v>3242</v>
      </c>
      <c r="B13" s="3134">
        <v>2022</v>
      </c>
      <c r="C13" s="3135">
        <v>3</v>
      </c>
      <c r="D13" s="3135">
        <v>0.66</v>
      </c>
      <c r="E13" s="3135">
        <v>0.32</v>
      </c>
      <c r="F13" s="3135">
        <v>0.23</v>
      </c>
      <c r="G13" s="3135">
        <v>0.72</v>
      </c>
      <c r="H13" s="3141">
        <v>0.63</v>
      </c>
      <c r="I13" s="3136">
        <f t="shared" si="8"/>
        <v>0.23</v>
      </c>
      <c r="J13" s="3102"/>
      <c r="K13" s="3103">
        <f t="shared" si="9"/>
        <v>6.6E-3</v>
      </c>
      <c r="L13" s="3104">
        <f t="shared" si="9"/>
        <v>3.2000000000000002E-3</v>
      </c>
      <c r="M13" s="3104">
        <f t="shared" si="9"/>
        <v>2.3E-3</v>
      </c>
      <c r="N13" s="3104">
        <f t="shared" si="9"/>
        <v>7.1999999999999998E-3</v>
      </c>
      <c r="O13" s="3104">
        <f t="shared" si="9"/>
        <v>6.3E-3</v>
      </c>
      <c r="P13" s="3104">
        <f t="shared" si="43"/>
        <v>2.3E-3</v>
      </c>
      <c r="Q13" s="3102"/>
      <c r="R13" s="3113">
        <f>ROUND(IF(项目基本情况!B8="出让",SUMPRODUCT(PRODUCT(1+K13:K19)),SUMPRODUCT(PRODUCT(1+K13:K18))),4)</f>
        <v>1.05</v>
      </c>
      <c r="S13" s="3113">
        <f>ROUND(IF(项目基本情况!B8="出让",SUMPRODUCT(PRODUCT(1+L13:L19)),SUMPRODUCT(PRODUCT(1+L13:L18))),4)</f>
        <v>1.0229999999999999</v>
      </c>
      <c r="T13" s="3113">
        <f>ROUND(IF(项目基本情况!B8="出让",SUMPRODUCT(PRODUCT(1+M13:M19)),SUMPRODUCT(PRODUCT(1+M13:M18))),4)</f>
        <v>1.0134000000000001</v>
      </c>
      <c r="U13" s="3113">
        <f>ROUND(IF(项目基本情况!B8="出让",SUMPRODUCT(PRODUCT(1+N13:N19)),SUMPRODUCT(PRODUCT(1+N13:N18))),4)</f>
        <v>1.0545</v>
      </c>
      <c r="V13" s="3113">
        <f>ROUND(IF(项目基本情况!B8="出让",SUMPRODUCT(PRODUCT(1+O13:O19)),SUMPRODUCT(PRODUCT(1+O13:O18))),4)</f>
        <v>1.0447</v>
      </c>
      <c r="W13" s="3113">
        <f t="shared" si="44"/>
        <v>1.0134000000000001</v>
      </c>
      <c r="X13" s="3102"/>
      <c r="Y13" s="3104">
        <f>IF(D13=0,0,ROUND(AVERAGE(D13:D19)/100,4))</f>
        <v>8.3999999999999995E-3</v>
      </c>
      <c r="Z13" s="3104">
        <f>IF(E13=0,0,ROUND(AVERAGE(E13:E19)/100,4))</f>
        <v>3.5000000000000001E-3</v>
      </c>
      <c r="AA13" s="3104">
        <f>IF(F13=0,0,ROUND(AVERAGE(F13:F19)/100,4))</f>
        <v>1.5E-3</v>
      </c>
      <c r="AB13" s="3104">
        <f>IF(G13=0,0,ROUND(AVERAGE(G13:G19)/100,4))</f>
        <v>9.1999999999999998E-3</v>
      </c>
      <c r="AC13" s="3104">
        <f>IF(H13=0,0,ROUND(AVERAGE(H13:H19)/100,4))</f>
        <v>6.7999999999999996E-3</v>
      </c>
      <c r="AD13" s="3104">
        <f t="shared" si="10"/>
        <v>1.5E-3</v>
      </c>
    </row>
    <row r="14" spans="1:30">
      <c r="A14" s="3085" t="s">
        <v>3243</v>
      </c>
      <c r="B14" s="3134">
        <v>2022</v>
      </c>
      <c r="C14" s="3135">
        <v>2</v>
      </c>
      <c r="D14" s="3135">
        <v>0.93</v>
      </c>
      <c r="E14" s="3135">
        <v>0.15</v>
      </c>
      <c r="F14" s="3135">
        <v>0.01</v>
      </c>
      <c r="G14" s="3135">
        <v>1.05</v>
      </c>
      <c r="H14" s="3141">
        <v>1.08</v>
      </c>
      <c r="I14" s="3136">
        <f t="shared" si="8"/>
        <v>0.01</v>
      </c>
      <c r="J14" s="3102"/>
      <c r="K14" s="3103">
        <f t="shared" si="9"/>
        <v>9.300000000000001E-3</v>
      </c>
      <c r="L14" s="3104">
        <f t="shared" si="9"/>
        <v>1.5E-3</v>
      </c>
      <c r="M14" s="3104">
        <f t="shared" si="9"/>
        <v>1E-4</v>
      </c>
      <c r="N14" s="3104">
        <f t="shared" si="9"/>
        <v>1.0500000000000001E-2</v>
      </c>
      <c r="O14" s="3104">
        <f t="shared" si="9"/>
        <v>1.0800000000000001E-2</v>
      </c>
      <c r="P14" s="3104">
        <f t="shared" si="43"/>
        <v>1E-4</v>
      </c>
      <c r="Q14" s="3102"/>
      <c r="R14" s="3113">
        <f>ROUND(IF(项目基本情况!B8="出让",SUMPRODUCT(PRODUCT(1+K14:K19)),SUMPRODUCT(PRODUCT(1+K14:K18))),4)</f>
        <v>1.0430999999999999</v>
      </c>
      <c r="S14" s="3113">
        <f>ROUND(IF(项目基本情况!B8="出让",SUMPRODUCT(PRODUCT(1+L14:L19)),SUMPRODUCT(PRODUCT(1+L14:L18))),4)</f>
        <v>1.0197000000000001</v>
      </c>
      <c r="T14" s="3113">
        <f>ROUND(IF(项目基本情况!B8="出让",SUMPRODUCT(PRODUCT(1+M14:M19)),SUMPRODUCT(PRODUCT(1+M14:M18))),4)</f>
        <v>1.0109999999999999</v>
      </c>
      <c r="U14" s="3113">
        <f>ROUND(IF(项目基本情况!B8="出让",SUMPRODUCT(PRODUCT(1+N14:N19)),SUMPRODUCT(PRODUCT(1+N14:N18))),4)</f>
        <v>1.0468999999999999</v>
      </c>
      <c r="V14" s="3113">
        <f>ROUND(IF(项目基本情况!B8="出让",SUMPRODUCT(PRODUCT(1+O14:O19)),SUMPRODUCT(PRODUCT(1+O14:O18))),4)</f>
        <v>1.0382</v>
      </c>
      <c r="W14" s="3113">
        <f t="shared" si="44"/>
        <v>1.0109999999999999</v>
      </c>
      <c r="X14" s="3102"/>
      <c r="Y14" s="3104">
        <f>IF(D14=0,0,ROUND(AVERAGE(D14:D19)/100,4))</f>
        <v>8.6999999999999994E-3</v>
      </c>
      <c r="Z14" s="3104">
        <f>IF(E14=0,0,ROUND(AVERAGE(E14:E19)/100,4))</f>
        <v>3.5000000000000001E-3</v>
      </c>
      <c r="AA14" s="3104">
        <f>IF(F14=0,0,ROUND(AVERAGE(F14:F19)/100,4))</f>
        <v>1.4E-3</v>
      </c>
      <c r="AB14" s="3104">
        <f>IF(G14=0,0,ROUND(AVERAGE(G14:G19)/100,4))</f>
        <v>9.4999999999999998E-3</v>
      </c>
      <c r="AC14" s="3104">
        <f>IF(H14=0,0,ROUND(AVERAGE(H14:H19)/100,4))</f>
        <v>6.8999999999999999E-3</v>
      </c>
      <c r="AD14" s="3104">
        <f t="shared" si="10"/>
        <v>1.4E-3</v>
      </c>
    </row>
    <row r="15" spans="1:30">
      <c r="A15" s="3085" t="s">
        <v>2777</v>
      </c>
      <c r="B15" s="3134">
        <v>2022</v>
      </c>
      <c r="C15" s="3135">
        <v>1</v>
      </c>
      <c r="D15" s="3135">
        <v>0.89</v>
      </c>
      <c r="E15" s="3135">
        <v>0.44</v>
      </c>
      <c r="F15" s="3135">
        <v>0.37</v>
      </c>
      <c r="G15" s="3135">
        <v>0.96</v>
      </c>
      <c r="H15" s="3141">
        <v>0.64</v>
      </c>
      <c r="I15" s="3136">
        <f t="shared" si="8"/>
        <v>0.37</v>
      </c>
      <c r="J15" s="3102"/>
      <c r="K15" s="3103">
        <f t="shared" si="9"/>
        <v>8.8999999999999999E-3</v>
      </c>
      <c r="L15" s="3104">
        <f t="shared" si="9"/>
        <v>4.4000000000000003E-3</v>
      </c>
      <c r="M15" s="3104">
        <f t="shared" si="9"/>
        <v>3.7000000000000002E-3</v>
      </c>
      <c r="N15" s="3104">
        <f t="shared" si="9"/>
        <v>9.5999999999999992E-3</v>
      </c>
      <c r="O15" s="3104">
        <f t="shared" si="9"/>
        <v>6.4000000000000003E-3</v>
      </c>
      <c r="P15" s="3104">
        <f t="shared" si="43"/>
        <v>3.7000000000000002E-3</v>
      </c>
      <c r="Q15" s="3102"/>
      <c r="R15" s="3113">
        <f>ROUND(IF(项目基本情况!B8="出让",SUMPRODUCT(PRODUCT(1+K15:K19)),SUMPRODUCT(PRODUCT(1+K15:K18))),4)</f>
        <v>1.0335000000000001</v>
      </c>
      <c r="S15" s="3113">
        <f>ROUND(IF(项目基本情况!B8="出让",SUMPRODUCT(PRODUCT(1+L15:L19)),SUMPRODUCT(PRODUCT(1+L15:L18))),4)</f>
        <v>1.0182</v>
      </c>
      <c r="T15" s="3113">
        <f>ROUND(IF(项目基本情况!B8="出让",SUMPRODUCT(PRODUCT(1+M15:M19)),SUMPRODUCT(PRODUCT(1+M15:M18))),4)</f>
        <v>1.0108999999999999</v>
      </c>
      <c r="U15" s="3113">
        <f>ROUND(IF(项目基本情况!B8="出让",SUMPRODUCT(PRODUCT(1+N15:N19)),SUMPRODUCT(PRODUCT(1+N15:N18))),4)</f>
        <v>1.0361</v>
      </c>
      <c r="V15" s="3113">
        <f>ROUND(IF(项目基本情况!B8="出让",SUMPRODUCT(PRODUCT(1+O15:O19)),SUMPRODUCT(PRODUCT(1+O15:O18))),4)</f>
        <v>1.0270999999999999</v>
      </c>
      <c r="W15" s="3113">
        <f t="shared" si="44"/>
        <v>1.0108999999999999</v>
      </c>
      <c r="X15" s="3102"/>
      <c r="Y15" s="3104">
        <f>IF(D15=0,0,ROUND(AVERAGE(D15:D19)/100,4))</f>
        <v>8.6E-3</v>
      </c>
      <c r="Z15" s="3104">
        <f>IF(E15=0,0,ROUND(AVERAGE(E15:E19)/100,4))</f>
        <v>3.8999999999999998E-3</v>
      </c>
      <c r="AA15" s="3104">
        <f>IF(F15=0,0,ROUND(AVERAGE(F15:F19)/100,4))</f>
        <v>1.6999999999999999E-3</v>
      </c>
      <c r="AB15" s="3104">
        <f>IF(G15=0,0,ROUND(AVERAGE(G15:G19)/100,4))</f>
        <v>9.2999999999999992E-3</v>
      </c>
      <c r="AC15" s="3104">
        <f>IF(H15=0,0,ROUND(AVERAGE(H15:H19)/100,4))</f>
        <v>6.1000000000000004E-3</v>
      </c>
      <c r="AD15" s="3104">
        <f t="shared" si="10"/>
        <v>1.6999999999999999E-3</v>
      </c>
    </row>
    <row r="16" spans="1:30">
      <c r="A16" s="3085" t="s">
        <v>2778</v>
      </c>
      <c r="B16" s="3134">
        <v>2021</v>
      </c>
      <c r="C16" s="3135">
        <v>4</v>
      </c>
      <c r="D16" s="3135">
        <v>1.03</v>
      </c>
      <c r="E16" s="3135">
        <v>0.24</v>
      </c>
      <c r="F16" s="3135">
        <v>7.0000000000000007E-2</v>
      </c>
      <c r="G16" s="3135">
        <v>1.17</v>
      </c>
      <c r="H16" s="3141">
        <v>0.55000000000000004</v>
      </c>
      <c r="I16" s="3136">
        <f t="shared" si="8"/>
        <v>7.0000000000000007E-2</v>
      </c>
      <c r="J16" s="3102"/>
      <c r="K16" s="3103">
        <f t="shared" si="9"/>
        <v>1.03E-2</v>
      </c>
      <c r="L16" s="3104">
        <f t="shared" si="9"/>
        <v>2.3999999999999998E-3</v>
      </c>
      <c r="M16" s="3104">
        <f t="shared" si="9"/>
        <v>7.000000000000001E-4</v>
      </c>
      <c r="N16" s="3104">
        <f t="shared" si="9"/>
        <v>1.1699999999999999E-2</v>
      </c>
      <c r="O16" s="3104">
        <f t="shared" si="9"/>
        <v>5.5000000000000005E-3</v>
      </c>
      <c r="P16" s="3104">
        <f t="shared" si="43"/>
        <v>7.000000000000001E-4</v>
      </c>
      <c r="Q16" s="3102"/>
      <c r="R16" s="3113">
        <f>ROUND(IF(项目基本情况!B8="出让",SUMPRODUCT(PRODUCT(1+K16:K19)),SUMPRODUCT(PRODUCT(1+K16:K18))),4)</f>
        <v>1.0244</v>
      </c>
      <c r="S16" s="3113">
        <f>ROUND(IF(项目基本情况!B8="出让",SUMPRODUCT(PRODUCT(1+L16:L19)),SUMPRODUCT(PRODUCT(1+L16:L18))),4)</f>
        <v>1.0138</v>
      </c>
      <c r="T16" s="3113">
        <f>ROUND(IF(项目基本情况!B8="出让",SUMPRODUCT(PRODUCT(1+M16:M19)),SUMPRODUCT(PRODUCT(1+M16:M18))),4)</f>
        <v>1.0072000000000001</v>
      </c>
      <c r="U16" s="3113">
        <f>ROUND(IF(项目基本情况!B8="出让",SUMPRODUCT(PRODUCT(1+N16:N19)),SUMPRODUCT(PRODUCT(1+N16:N18))),4)</f>
        <v>1.0262</v>
      </c>
      <c r="V16" s="3113">
        <f>ROUND(IF(项目基本情况!B8="出让",SUMPRODUCT(PRODUCT(1+O16:O19)),SUMPRODUCT(PRODUCT(1+O16:O18))),4)</f>
        <v>1.0205</v>
      </c>
      <c r="W16" s="3113">
        <f t="shared" si="44"/>
        <v>1.0072000000000001</v>
      </c>
      <c r="X16" s="3102"/>
      <c r="Y16" s="3104">
        <f>IF(D16=0,0,ROUND(AVERAGE(D16:D19)/100,4))</f>
        <v>8.5000000000000006E-3</v>
      </c>
      <c r="Z16" s="3104">
        <f>IF(E16=0,0,ROUND(AVERAGE(E16:E19)/100,4))</f>
        <v>3.8E-3</v>
      </c>
      <c r="AA16" s="3104">
        <f>IF(F16=0,0,ROUND(AVERAGE(F16:F19)/100,4))</f>
        <v>1.1999999999999999E-3</v>
      </c>
      <c r="AB16" s="3104">
        <f>IF(G16=0,0,ROUND(AVERAGE(G16:G19)/100,4))</f>
        <v>9.2999999999999992E-3</v>
      </c>
      <c r="AC16" s="3104">
        <f>IF(H16=0,0,ROUND(AVERAGE(H16:H19)/100,4))</f>
        <v>6.0000000000000001E-3</v>
      </c>
      <c r="AD16" s="3104">
        <f t="shared" si="10"/>
        <v>1.1999999999999999E-3</v>
      </c>
    </row>
    <row r="17" spans="1:30">
      <c r="A17" s="3085" t="s">
        <v>2779</v>
      </c>
      <c r="B17" s="3134">
        <v>2021</v>
      </c>
      <c r="C17" s="3135">
        <v>3</v>
      </c>
      <c r="D17" s="3135">
        <v>0.47</v>
      </c>
      <c r="E17" s="3135">
        <v>0.41</v>
      </c>
      <c r="F17" s="3135">
        <v>0.24</v>
      </c>
      <c r="G17" s="3135">
        <v>0.48</v>
      </c>
      <c r="H17" s="3141">
        <v>0.48</v>
      </c>
      <c r="I17" s="3136">
        <f t="shared" si="8"/>
        <v>0.24</v>
      </c>
      <c r="J17" s="3102"/>
      <c r="K17" s="3103">
        <f t="shared" si="9"/>
        <v>4.6999999999999993E-3</v>
      </c>
      <c r="L17" s="3104">
        <f t="shared" si="9"/>
        <v>4.0999999999999995E-3</v>
      </c>
      <c r="M17" s="3104">
        <f t="shared" si="9"/>
        <v>2.3999999999999998E-3</v>
      </c>
      <c r="N17" s="3104">
        <f t="shared" si="9"/>
        <v>4.7999999999999996E-3</v>
      </c>
      <c r="O17" s="3104">
        <f t="shared" si="9"/>
        <v>4.7999999999999996E-3</v>
      </c>
      <c r="P17" s="3104">
        <f t="shared" si="43"/>
        <v>2.3999999999999998E-3</v>
      </c>
      <c r="Q17" s="3102"/>
      <c r="R17" s="3113">
        <f>ROUND(IF(项目基本情况!B8="出让",SUMPRODUCT(PRODUCT(1+K17:K19)),SUMPRODUCT(PRODUCT(1+K17:K18))),4)</f>
        <v>1.0139</v>
      </c>
      <c r="S17" s="3113">
        <f>ROUND(IF(项目基本情况!B8="出让",SUMPRODUCT(PRODUCT(1+L17:L19)),SUMPRODUCT(PRODUCT(1+L17:L18))),4)</f>
        <v>1.0113000000000001</v>
      </c>
      <c r="T17" s="3113">
        <f>ROUND(IF(项目基本情况!B8="出让",SUMPRODUCT(PRODUCT(1+M17:M19)),SUMPRODUCT(PRODUCT(1+M17:M18))),4)</f>
        <v>1.0065</v>
      </c>
      <c r="U17" s="3113">
        <f>ROUND(IF(项目基本情况!B8="出让",SUMPRODUCT(PRODUCT(1+N17:N19)),SUMPRODUCT(PRODUCT(1+N17:N18))),4)</f>
        <v>1.0143</v>
      </c>
      <c r="V17" s="3113">
        <f>ROUND(IF(项目基本情况!B8="出让",SUMPRODUCT(PRODUCT(1+O17:O19)),SUMPRODUCT(PRODUCT(1+O17:O18))),4)</f>
        <v>1.0148999999999999</v>
      </c>
      <c r="W17" s="3113">
        <f t="shared" si="44"/>
        <v>1.0065</v>
      </c>
      <c r="X17" s="3102"/>
      <c r="Y17" s="3104">
        <f>IF(D17=0,0,ROUND(AVERAGE(D17:D19)/100,4))</f>
        <v>7.9000000000000008E-3</v>
      </c>
      <c r="Z17" s="3104">
        <f>IF(E17=0,0,ROUND(AVERAGE(E17:E19)/100,4))</f>
        <v>4.3E-3</v>
      </c>
      <c r="AA17" s="3104">
        <f>IF(F17=0,0,ROUND(AVERAGE(F17:F19)/100,4))</f>
        <v>1.2999999999999999E-3</v>
      </c>
      <c r="AB17" s="3104">
        <f>IF(G17=0,0,ROUND(AVERAGE(G17:G19)/100,4))</f>
        <v>8.5000000000000006E-3</v>
      </c>
      <c r="AC17" s="3104">
        <f>IF(H17=0,0,ROUND(AVERAGE(H17:H19)/100,4))</f>
        <v>6.1999999999999998E-3</v>
      </c>
      <c r="AD17" s="3104">
        <f t="shared" si="10"/>
        <v>1.2999999999999999E-3</v>
      </c>
    </row>
    <row r="18" spans="1:30">
      <c r="A18" s="3085" t="s">
        <v>2780</v>
      </c>
      <c r="B18" s="3134">
        <v>2021</v>
      </c>
      <c r="C18" s="3135">
        <v>2</v>
      </c>
      <c r="D18" s="3135">
        <v>0.92</v>
      </c>
      <c r="E18" s="3135">
        <v>0.72</v>
      </c>
      <c r="F18" s="3135">
        <v>0.41</v>
      </c>
      <c r="G18" s="3135">
        <v>0.95</v>
      </c>
      <c r="H18" s="3141">
        <v>1.01</v>
      </c>
      <c r="I18" s="3136">
        <f t="shared" si="8"/>
        <v>0.41</v>
      </c>
      <c r="J18" s="3102"/>
      <c r="K18" s="3103">
        <f t="shared" si="9"/>
        <v>9.1999999999999998E-3</v>
      </c>
      <c r="L18" s="3104">
        <f t="shared" si="9"/>
        <v>7.1999999999999998E-3</v>
      </c>
      <c r="M18" s="3104">
        <f t="shared" si="9"/>
        <v>4.0999999999999995E-3</v>
      </c>
      <c r="N18" s="3104">
        <f t="shared" si="9"/>
        <v>9.4999999999999998E-3</v>
      </c>
      <c r="O18" s="3104">
        <f t="shared" si="9"/>
        <v>1.01E-2</v>
      </c>
      <c r="P18" s="3104">
        <f t="shared" si="43"/>
        <v>4.0999999999999995E-3</v>
      </c>
      <c r="Q18" s="3102"/>
      <c r="R18" s="3113">
        <f>ROUND(IF(项目基本情况!B8="出让",SUMPRODUCT(PRODUCT(1+K18:K19)),SUMPRODUCT(PRODUCT(1+K18:K18))),4)</f>
        <v>1.0092000000000001</v>
      </c>
      <c r="S18" s="3113">
        <f>ROUND(IF(项目基本情况!B8="出让",SUMPRODUCT(PRODUCT(1+L18:L19)),SUMPRODUCT(PRODUCT(1+L18:L18))),4)</f>
        <v>1.0072000000000001</v>
      </c>
      <c r="T18" s="3113">
        <f>ROUND(IF(项目基本情况!B8="出让",SUMPRODUCT(PRODUCT(1+M18:M19)),SUMPRODUCT(PRODUCT(1+M18:M18))),4)</f>
        <v>1.0041</v>
      </c>
      <c r="U18" s="3113">
        <f>ROUND(IF(项目基本情况!B8="出让",SUMPRODUCT(PRODUCT(1+N18:N19)),SUMPRODUCT(PRODUCT(1+N18:N18))),4)</f>
        <v>1.0095000000000001</v>
      </c>
      <c r="V18" s="3113">
        <f>ROUND(IF(项目基本情况!B8="出让",SUMPRODUCT(PRODUCT(1+O18:O19)),SUMPRODUCT(PRODUCT(1+O18:O18))),4)</f>
        <v>1.0101</v>
      </c>
      <c r="W18" s="3113">
        <f t="shared" si="44"/>
        <v>1.0041</v>
      </c>
      <c r="X18" s="3102"/>
      <c r="Y18" s="3104">
        <f>IF(D18=0,0,ROUND(AVERAGE(D18:D19)/100,4))</f>
        <v>9.4999999999999998E-3</v>
      </c>
      <c r="Z18" s="3104">
        <f>IF(E18=0,0,ROUND(AVERAGE(E18:E19)/100,4))</f>
        <v>4.4000000000000003E-3</v>
      </c>
      <c r="AA18" s="3104">
        <f>IF(F18=0,0,ROUND(AVERAGE(F18:F19)/100,4))</f>
        <v>8.0000000000000004E-4</v>
      </c>
      <c r="AB18" s="3104">
        <f>IF(G18=0,0,ROUND(AVERAGE(G18:G19)/100,4))</f>
        <v>1.03E-2</v>
      </c>
      <c r="AC18" s="3104">
        <f>IF(H18=0,0,ROUND(AVERAGE(H18:H19)/100,4))</f>
        <v>6.8999999999999999E-3</v>
      </c>
      <c r="AD18" s="3104">
        <f t="shared" si="10"/>
        <v>8.0000000000000004E-4</v>
      </c>
    </row>
    <row r="19" spans="1:30" ht="14.25" thickBot="1">
      <c r="A19" s="3087" t="s">
        <v>2781</v>
      </c>
      <c r="B19" s="3142">
        <v>2021</v>
      </c>
      <c r="C19" s="3143">
        <v>1</v>
      </c>
      <c r="D19" s="3143">
        <v>0.97</v>
      </c>
      <c r="E19" s="3143">
        <v>0.16</v>
      </c>
      <c r="F19" s="3143">
        <v>-0.25</v>
      </c>
      <c r="G19" s="3143">
        <v>1.1100000000000001</v>
      </c>
      <c r="H19" s="3144">
        <v>0.36</v>
      </c>
      <c r="I19" s="3145">
        <f t="shared" si="8"/>
        <v>-0.25</v>
      </c>
      <c r="J19" s="3108"/>
      <c r="K19" s="3109">
        <f t="shared" si="9"/>
        <v>9.7000000000000003E-3</v>
      </c>
      <c r="L19" s="3110">
        <f t="shared" si="9"/>
        <v>1.6000000000000001E-3</v>
      </c>
      <c r="M19" s="3110">
        <f>F19/100</f>
        <v>-2.5000000000000001E-3</v>
      </c>
      <c r="N19" s="3110">
        <f t="shared" si="9"/>
        <v>1.11E-2</v>
      </c>
      <c r="O19" s="3110">
        <f t="shared" si="9"/>
        <v>3.5999999999999999E-3</v>
      </c>
      <c r="P19" s="3110">
        <f t="shared" si="43"/>
        <v>-2.5000000000000001E-3</v>
      </c>
      <c r="Q19" s="3108"/>
      <c r="R19" s="3117">
        <v>1</v>
      </c>
      <c r="S19" s="3117">
        <v>1</v>
      </c>
      <c r="T19" s="3117">
        <v>1</v>
      </c>
      <c r="U19" s="3117">
        <v>1</v>
      </c>
      <c r="V19" s="3117">
        <v>1</v>
      </c>
      <c r="W19" s="3117">
        <f t="shared" si="44"/>
        <v>1</v>
      </c>
      <c r="X19" s="3108"/>
      <c r="Y19" s="3110">
        <f>IF(D19=0,0,ROUND(AVERAGE(D19:D19)/100,4))</f>
        <v>9.7000000000000003E-3</v>
      </c>
      <c r="Z19" s="3110">
        <f>IF(E19=0,0,ROUND(AVERAGE(E19:E19)/100,4))</f>
        <v>1.6000000000000001E-3</v>
      </c>
      <c r="AA19" s="3110">
        <f>IF(F19=0,0,ROUND(AVERAGE(F19:F19)/100,4))</f>
        <v>-2.5000000000000001E-3</v>
      </c>
      <c r="AB19" s="3110">
        <f>IF(G19=0,0,ROUND(AVERAGE(G19:G19)/100,4))</f>
        <v>1.11E-2</v>
      </c>
      <c r="AC19" s="3110">
        <f>IF(H19=0,0,ROUND(AVERAGE(H19:H19)/100,4))</f>
        <v>3.5999999999999999E-3</v>
      </c>
      <c r="AD19" s="3110">
        <f>AA19</f>
        <v>-2.5000000000000001E-3</v>
      </c>
    </row>
    <row r="20" spans="1:30" ht="14.25" thickTop="1"/>
    <row r="21" spans="1:30">
      <c r="A21" s="3386" t="s">
        <v>3245</v>
      </c>
    </row>
    <row r="22" spans="1:30">
      <c r="I22" s="2746" t="s">
        <v>2793</v>
      </c>
    </row>
    <row r="24" spans="1:30">
      <c r="A24" s="2439"/>
      <c r="B24" s="3088" t="s">
        <v>2794</v>
      </c>
      <c r="C24" s="3089"/>
      <c r="D24" s="3089"/>
      <c r="E24" s="3089"/>
      <c r="F24" s="3089"/>
      <c r="G24" s="3089"/>
      <c r="H24" s="3089"/>
      <c r="I24" s="3089"/>
      <c r="J24" s="3090"/>
      <c r="K24" s="3089" t="s">
        <v>2786</v>
      </c>
      <c r="L24" s="3089"/>
      <c r="M24" s="3089"/>
      <c r="N24" s="3089"/>
      <c r="O24" s="3089"/>
      <c r="P24" s="3089"/>
      <c r="Q24" s="3090"/>
      <c r="R24" s="3685" t="s">
        <v>2802</v>
      </c>
      <c r="S24" s="3686"/>
      <c r="T24" s="3686"/>
      <c r="U24" s="3686"/>
      <c r="V24" s="3686"/>
      <c r="W24" s="3686"/>
      <c r="X24" s="3090"/>
      <c r="Y24" s="3685" t="s">
        <v>1925</v>
      </c>
      <c r="Z24" s="3686"/>
      <c r="AA24" s="3686"/>
      <c r="AB24" s="3686"/>
      <c r="AC24" s="3686"/>
      <c r="AD24" s="3686"/>
    </row>
    <row r="25" spans="1:30" ht="14.25" thickBot="1">
      <c r="A25" s="3083"/>
      <c r="B25" s="3091"/>
      <c r="C25" s="3092"/>
      <c r="D25" s="2423" t="s">
        <v>2788</v>
      </c>
      <c r="E25" s="2424" t="s">
        <v>2789</v>
      </c>
      <c r="F25" s="2424" t="s">
        <v>2790</v>
      </c>
      <c r="G25" s="2424" t="s">
        <v>1469</v>
      </c>
      <c r="H25" s="2424"/>
      <c r="I25" s="2424" t="s">
        <v>2733</v>
      </c>
      <c r="J25" s="3093"/>
      <c r="K25" s="2423" t="s">
        <v>2788</v>
      </c>
      <c r="L25" s="2424" t="s">
        <v>2789</v>
      </c>
      <c r="M25" s="2424" t="s">
        <v>2790</v>
      </c>
      <c r="N25" s="2424" t="s">
        <v>2791</v>
      </c>
      <c r="O25" s="2424"/>
      <c r="P25" s="2424" t="s">
        <v>2733</v>
      </c>
      <c r="Q25" s="3093"/>
      <c r="R25" s="2423" t="s">
        <v>2803</v>
      </c>
      <c r="S25" s="2424" t="s">
        <v>2804</v>
      </c>
      <c r="T25" s="2424" t="s">
        <v>2790</v>
      </c>
      <c r="U25" s="2424" t="s">
        <v>1469</v>
      </c>
      <c r="V25" s="2424"/>
      <c r="W25" s="2424" t="s">
        <v>2805</v>
      </c>
      <c r="X25" s="3093"/>
      <c r="Y25" s="2423" t="s">
        <v>2787</v>
      </c>
      <c r="Z25" s="2424" t="s">
        <v>2789</v>
      </c>
      <c r="AA25" s="2424" t="s">
        <v>2790</v>
      </c>
      <c r="AB25" s="2424" t="s">
        <v>1469</v>
      </c>
      <c r="AC25" s="2424"/>
      <c r="AD25" s="2424" t="s">
        <v>2808</v>
      </c>
    </row>
    <row r="26" spans="1:30">
      <c r="A26" s="3084" t="s">
        <v>2782</v>
      </c>
      <c r="B26" s="3094"/>
      <c r="C26" s="3095"/>
      <c r="D26" s="3095"/>
      <c r="E26" s="3095">
        <f>ROUND(AVERAGEIF(E27:E42,"&lt;&gt;0"),2)</f>
        <v>0.33</v>
      </c>
      <c r="F26" s="3095">
        <f>ROUND(AVERAGEIF(F27:F42,"&lt;&gt;0"),2)</f>
        <v>0.24</v>
      </c>
      <c r="G26" s="3095">
        <f>ROUND(AVERAGEIF(G27:G42,"&lt;&gt;0"),2)</f>
        <v>0.62</v>
      </c>
      <c r="H26" s="3095"/>
      <c r="I26" s="3095">
        <f>F26</f>
        <v>0.24</v>
      </c>
      <c r="J26" s="3096"/>
      <c r="K26" s="3097"/>
      <c r="L26" s="3098">
        <f>ROUND(AVERAGEIF(L27:L42,"&lt;&gt;0"),4)</f>
        <v>3.3E-3</v>
      </c>
      <c r="M26" s="3098">
        <f>ROUND(AVERAGEIF(M27:M42,"&lt;&gt;0"),4)</f>
        <v>2.3999999999999998E-3</v>
      </c>
      <c r="N26" s="3098">
        <f>ROUND(AVERAGEIF(N27:N42,"&lt;&gt;0"),4)</f>
        <v>6.1999999999999998E-3</v>
      </c>
      <c r="O26" s="3098"/>
      <c r="P26" s="3098">
        <f>M26</f>
        <v>2.3999999999999998E-3</v>
      </c>
      <c r="Q26" s="3096"/>
      <c r="R26" s="3111"/>
      <c r="S26" s="3112">
        <f>ROUND(SUMPRODUCT(PRODUCT(1+L27:L42)),4)</f>
        <v>1.0468999999999999</v>
      </c>
      <c r="T26" s="3112">
        <f>ROUND(SUMPRODUCT(PRODUCT(1+M27:M42)),4)</f>
        <v>1.0347</v>
      </c>
      <c r="U26" s="3112">
        <f>ROUND(SUMPRODUCT(PRODUCT(1+N27:N42)),4)</f>
        <v>1.0895999999999999</v>
      </c>
      <c r="V26" s="3112"/>
      <c r="W26" s="3111">
        <f>T26</f>
        <v>1.0347</v>
      </c>
      <c r="X26" s="3096"/>
      <c r="Y26" s="3118"/>
      <c r="Z26" s="3119">
        <f>ROUND(AVERAGEIF(Z27:Z42,"&lt;&gt;0"),4)</f>
        <v>4.1999999999999997E-3</v>
      </c>
      <c r="AA26" s="3120">
        <f>ROUND(AVERAGEIF(AA27:AA42,"&lt;&gt;0"),4)</f>
        <v>3.3E-3</v>
      </c>
      <c r="AB26" s="3118">
        <f>ROUND(AVERAGEIF(AB27:AB42,"&lt;&gt;0"),4)</f>
        <v>8.0000000000000002E-3</v>
      </c>
      <c r="AC26" s="3121"/>
      <c r="AD26" s="3118">
        <f>AA26</f>
        <v>3.3E-3</v>
      </c>
    </row>
    <row r="27" spans="1:30">
      <c r="A27" s="2439"/>
      <c r="B27" s="3099"/>
      <c r="C27" s="2439"/>
      <c r="D27" s="2439"/>
      <c r="E27" s="2439"/>
      <c r="F27" s="2439"/>
      <c r="G27" s="2439"/>
      <c r="H27" s="2439"/>
      <c r="I27" s="2439"/>
      <c r="J27" s="3090"/>
      <c r="K27" s="3100"/>
      <c r="L27" s="3101"/>
      <c r="M27" s="3101"/>
      <c r="N27" s="3101"/>
      <c r="O27" s="3101"/>
      <c r="P27" s="3101"/>
      <c r="Q27" s="3090"/>
      <c r="R27" s="3113"/>
      <c r="S27" s="3114"/>
      <c r="T27" s="3115"/>
      <c r="U27" s="3113"/>
      <c r="V27" s="3116"/>
      <c r="W27" s="3113"/>
      <c r="X27" s="3090"/>
      <c r="Y27" s="3104"/>
      <c r="Z27" s="3122"/>
      <c r="AA27" s="3123"/>
      <c r="AB27" s="3104"/>
      <c r="AC27" s="3124"/>
      <c r="AD27" s="3104"/>
    </row>
    <row r="28" spans="1:30">
      <c r="A28" s="3387" t="s">
        <v>3258</v>
      </c>
      <c r="B28" s="3134">
        <v>2024</v>
      </c>
      <c r="C28" s="3135">
        <v>3</v>
      </c>
      <c r="D28" s="3135"/>
      <c r="E28" s="3135">
        <v>0</v>
      </c>
      <c r="F28" s="3135">
        <v>0</v>
      </c>
      <c r="G28" s="3135">
        <v>0</v>
      </c>
      <c r="H28" s="3135"/>
      <c r="I28" s="3136">
        <f t="shared" ref="I28" si="45">F28</f>
        <v>0</v>
      </c>
      <c r="J28" s="3102"/>
      <c r="K28" s="3103"/>
      <c r="L28" s="3104">
        <f t="shared" ref="L28" si="46">E28/100</f>
        <v>0</v>
      </c>
      <c r="M28" s="3104">
        <f t="shared" ref="M28" si="47">F28/100</f>
        <v>0</v>
      </c>
      <c r="N28" s="3104">
        <f t="shared" ref="N28" si="48">G28/100</f>
        <v>0</v>
      </c>
      <c r="O28" s="3104"/>
      <c r="P28" s="3104">
        <f>M28</f>
        <v>0</v>
      </c>
      <c r="Q28" s="3102"/>
      <c r="R28" s="3113"/>
      <c r="S28" s="3113">
        <f>ROUND(IF(项目基本情况!$B$8="出让",SUMPRODUCT(PRODUCT(1+L28:L$42)),SUMPRODUCT(PRODUCT(1+L28:L$41))),4)</f>
        <v>1.0432999999999999</v>
      </c>
      <c r="T28" s="3113">
        <f>ROUND(IF(项目基本情况!$B$8="出让",SUMPRODUCT(PRODUCT(1+M28:M$42)),SUMPRODUCT(PRODUCT(1+M28:M$41))),4)</f>
        <v>1.0298</v>
      </c>
      <c r="U28" s="3113">
        <f>ROUND(IF(项目基本情况!$B$8="出让",SUMPRODUCT(PRODUCT(1+N28:N$42)),SUMPRODUCT(PRODUCT(1+N28:N$41))),4)</f>
        <v>1.079</v>
      </c>
      <c r="V28" s="3113"/>
      <c r="W28" s="3113">
        <f>T28</f>
        <v>1.0298</v>
      </c>
      <c r="X28" s="3102"/>
      <c r="Y28" s="3104"/>
      <c r="Z28" s="3122">
        <f t="shared" ref="Z28:AB29" si="49">IF(E28=0,0,ROUND(AVERAGE(E28:E41)/100,4))</f>
        <v>0</v>
      </c>
      <c r="AA28" s="3122">
        <f t="shared" si="49"/>
        <v>0</v>
      </c>
      <c r="AB28" s="3122">
        <f t="shared" si="49"/>
        <v>0</v>
      </c>
      <c r="AC28" s="3124"/>
      <c r="AD28" s="3104">
        <f>IF(I28=0,0,ROUND(AVERAGE(I28:I41)/100,4))</f>
        <v>0</v>
      </c>
    </row>
    <row r="29" spans="1:30">
      <c r="A29" s="3086" t="s">
        <v>3261</v>
      </c>
      <c r="B29" s="3137">
        <v>2024</v>
      </c>
      <c r="C29" s="3138">
        <v>2</v>
      </c>
      <c r="D29" s="3138"/>
      <c r="E29" s="3138">
        <v>-0.31</v>
      </c>
      <c r="F29" s="3138">
        <v>-0.39</v>
      </c>
      <c r="G29" s="3138">
        <v>1.23</v>
      </c>
      <c r="H29" s="3139"/>
      <c r="I29" s="3140">
        <f t="shared" ref="I29:I42" si="50">F29</f>
        <v>-0.39</v>
      </c>
      <c r="J29" s="3105"/>
      <c r="K29" s="3106"/>
      <c r="L29" s="3107">
        <f t="shared" ref="L29:N42" si="51">E29/100</f>
        <v>-3.0999999999999999E-3</v>
      </c>
      <c r="M29" s="3107">
        <f t="shared" si="51"/>
        <v>-3.9000000000000003E-3</v>
      </c>
      <c r="N29" s="3107">
        <f t="shared" si="51"/>
        <v>1.23E-2</v>
      </c>
      <c r="O29" s="3107"/>
      <c r="P29" s="3107">
        <f>M29</f>
        <v>-3.9000000000000003E-3</v>
      </c>
      <c r="Q29" s="3105"/>
      <c r="R29" s="3105"/>
      <c r="S29" s="3105">
        <f>ROUND(IF(项目基本情况!$B$8="出让",SUMPRODUCT(PRODUCT(1+L29:L$42)),SUMPRODUCT(PRODUCT(1+L29:L$41))),4)</f>
        <v>1.0432999999999999</v>
      </c>
      <c r="T29" s="3105">
        <f>ROUND(IF(项目基本情况!$B$8="出让",SUMPRODUCT(PRODUCT(1+M29:M$42)),SUMPRODUCT(PRODUCT(1+M29:M$41))),4)</f>
        <v>1.0298</v>
      </c>
      <c r="U29" s="3105">
        <f>ROUND(IF(项目基本情况!$B$8="出让",SUMPRODUCT(PRODUCT(1+N29:N$42)),SUMPRODUCT(PRODUCT(1+N29:N$41))),4)</f>
        <v>1.079</v>
      </c>
      <c r="V29" s="3105"/>
      <c r="W29" s="3105">
        <f>T29</f>
        <v>1.0298</v>
      </c>
      <c r="X29" s="3105"/>
      <c r="Y29" s="3107"/>
      <c r="Z29" s="3125">
        <f t="shared" si="49"/>
        <v>3.3E-3</v>
      </c>
      <c r="AA29" s="3126">
        <f t="shared" si="49"/>
        <v>2.3999999999999998E-3</v>
      </c>
      <c r="AB29" s="3107">
        <f t="shared" si="49"/>
        <v>6.1999999999999998E-3</v>
      </c>
      <c r="AC29" s="3127"/>
      <c r="AD29" s="3107">
        <f>IF(I29=0,0,ROUND(AVERAGE(I29:I42)/100,4))</f>
        <v>2.3999999999999998E-3</v>
      </c>
    </row>
    <row r="30" spans="1:30">
      <c r="A30" s="3085" t="s">
        <v>3262</v>
      </c>
      <c r="B30" s="3134">
        <v>2024</v>
      </c>
      <c r="C30" s="3135">
        <v>1</v>
      </c>
      <c r="D30" s="3135"/>
      <c r="E30" s="3135">
        <v>0.25</v>
      </c>
      <c r="F30" s="3135">
        <v>0.4</v>
      </c>
      <c r="G30" s="3135">
        <v>-0.63</v>
      </c>
      <c r="H30" s="3141"/>
      <c r="I30" s="3136">
        <f t="shared" si="50"/>
        <v>0.4</v>
      </c>
      <c r="J30" s="3102"/>
      <c r="K30" s="3103"/>
      <c r="L30" s="3104">
        <f t="shared" ref="L30" si="52">E30/100</f>
        <v>2.5000000000000001E-3</v>
      </c>
      <c r="M30" s="3104">
        <f t="shared" ref="M30" si="53">F30/100</f>
        <v>4.0000000000000001E-3</v>
      </c>
      <c r="N30" s="3104">
        <f t="shared" ref="N30" si="54">G30/100</f>
        <v>-6.3E-3</v>
      </c>
      <c r="O30" s="3104"/>
      <c r="P30" s="3104">
        <f t="shared" ref="P30" si="55">M30</f>
        <v>4.0000000000000001E-3</v>
      </c>
      <c r="Q30" s="3102"/>
      <c r="R30" s="3113"/>
      <c r="S30" s="3113">
        <f>ROUND(IF(项目基本情况!$B$8="出让",SUMPRODUCT(PRODUCT(1+L30:L$42)),SUMPRODUCT(PRODUCT(1+L30:L$41))),4)</f>
        <v>1.0465</v>
      </c>
      <c r="T30" s="3113">
        <f>ROUND(IF(项目基本情况!$B$8="出让",SUMPRODUCT(PRODUCT(1+M30:M$42)),SUMPRODUCT(PRODUCT(1+M30:M$41))),4)</f>
        <v>1.0338000000000001</v>
      </c>
      <c r="U30" s="3113">
        <f>ROUND(IF(项目基本情况!$B$8="出让",SUMPRODUCT(PRODUCT(1+N30:N$42)),SUMPRODUCT(PRODUCT(1+N30:N$41))),4)</f>
        <v>1.0659000000000001</v>
      </c>
      <c r="V30" s="3113"/>
      <c r="W30" s="3113">
        <f t="shared" ref="W30" si="56">T30</f>
        <v>1.0338000000000001</v>
      </c>
      <c r="X30" s="3102"/>
      <c r="Y30" s="3104"/>
      <c r="Z30" s="3122">
        <f t="shared" ref="Z30" si="57">IF(E30=0,0,ROUND(AVERAGE(E30:E41)/100,4))</f>
        <v>3.8E-3</v>
      </c>
      <c r="AA30" s="3123">
        <f t="shared" ref="AA30" si="58">IF(F30=0,0,ROUND(AVERAGE(F30:F41)/100,4))</f>
        <v>2.8E-3</v>
      </c>
      <c r="AB30" s="3104">
        <f t="shared" ref="AB30" si="59">IF(G30=0,0,ROUND(AVERAGE(G30:G41)/100,4))</f>
        <v>5.3E-3</v>
      </c>
      <c r="AC30" s="3124"/>
      <c r="AD30" s="3104">
        <f t="shared" ref="AD30" si="60">IF(I30=0,0,ROUND(AVERAGE(I30:I41)/100,4))</f>
        <v>2.8E-3</v>
      </c>
    </row>
    <row r="31" spans="1:30">
      <c r="A31" s="3085" t="s">
        <v>3256</v>
      </c>
      <c r="B31" s="3134">
        <v>2023</v>
      </c>
      <c r="C31" s="3135">
        <v>4</v>
      </c>
      <c r="D31" s="3135"/>
      <c r="E31" s="3135">
        <v>7.0000000000000007E-2</v>
      </c>
      <c r="F31" s="3135">
        <v>0.09</v>
      </c>
      <c r="G31" s="3135">
        <v>0.03</v>
      </c>
      <c r="H31" s="3141"/>
      <c r="I31" s="3136">
        <f t="shared" ref="I31" si="61">F31</f>
        <v>0.09</v>
      </c>
      <c r="J31" s="3102"/>
      <c r="K31" s="3103"/>
      <c r="L31" s="3104">
        <f t="shared" si="51"/>
        <v>7.000000000000001E-4</v>
      </c>
      <c r="M31" s="3104">
        <f t="shared" si="51"/>
        <v>8.9999999999999998E-4</v>
      </c>
      <c r="N31" s="3104">
        <f t="shared" si="51"/>
        <v>2.9999999999999997E-4</v>
      </c>
      <c r="O31" s="3104"/>
      <c r="P31" s="3104">
        <f t="shared" ref="P31" si="62">M31</f>
        <v>8.9999999999999998E-4</v>
      </c>
      <c r="Q31" s="3102"/>
      <c r="R31" s="3113"/>
      <c r="S31" s="3113">
        <f>ROUND(IF(项目基本情况!$B$8="出让",SUMPRODUCT(PRODUCT(1+L31:L$42)),SUMPRODUCT(PRODUCT(1+L31:L$41))),4)</f>
        <v>1.0439000000000001</v>
      </c>
      <c r="T31" s="3113">
        <f>ROUND(IF(项目基本情况!$B$8="出让",SUMPRODUCT(PRODUCT(1+M31:M$42)),SUMPRODUCT(PRODUCT(1+M31:M$41))),4)</f>
        <v>1.0297000000000001</v>
      </c>
      <c r="U31" s="3113">
        <f>ROUND(IF(项目基本情况!$B$8="出让",SUMPRODUCT(PRODUCT(1+N31:N$42)),SUMPRODUCT(PRODUCT(1+N31:N$41))),4)</f>
        <v>1.0727</v>
      </c>
      <c r="V31" s="3113"/>
      <c r="W31" s="3113">
        <f t="shared" ref="W31" si="63">T31</f>
        <v>1.0297000000000001</v>
      </c>
      <c r="X31" s="3102"/>
      <c r="Y31" s="3104"/>
      <c r="Z31" s="3122">
        <f t="shared" ref="Z31" si="64">IF(E31=0,0,ROUND(AVERAGE(E31:E42)/100,4))</f>
        <v>3.8999999999999998E-3</v>
      </c>
      <c r="AA31" s="3123">
        <f t="shared" ref="AA31" si="65">IF(F31=0,0,ROUND(AVERAGE(F31:F42)/100,4))</f>
        <v>2.8E-3</v>
      </c>
      <c r="AB31" s="3104">
        <f t="shared" ref="AB31" si="66">IF(G31=0,0,ROUND(AVERAGE(G31:G42)/100,4))</f>
        <v>6.7000000000000002E-3</v>
      </c>
      <c r="AC31" s="3124"/>
      <c r="AD31" s="3104">
        <f t="shared" ref="AD31" si="67">IF(I31=0,0,ROUND(AVERAGE(I31:I42)/100,4))</f>
        <v>2.8E-3</v>
      </c>
    </row>
    <row r="32" spans="1:30">
      <c r="A32" s="3085" t="s">
        <v>3254</v>
      </c>
      <c r="B32" s="3134">
        <v>2023</v>
      </c>
      <c r="C32" s="3135">
        <v>3</v>
      </c>
      <c r="D32" s="3135"/>
      <c r="E32" s="3135">
        <v>0.35</v>
      </c>
      <c r="F32" s="3135">
        <v>0.17</v>
      </c>
      <c r="G32" s="3135">
        <v>0.52</v>
      </c>
      <c r="H32" s="3141"/>
      <c r="I32" s="3136">
        <f t="shared" si="50"/>
        <v>0.17</v>
      </c>
      <c r="J32" s="3102"/>
      <c r="K32" s="3103"/>
      <c r="L32" s="3104">
        <f t="shared" ref="L32:L34" si="68">E32/100</f>
        <v>3.4999999999999996E-3</v>
      </c>
      <c r="M32" s="3104">
        <f t="shared" ref="M32:M34" si="69">F32/100</f>
        <v>1.7000000000000001E-3</v>
      </c>
      <c r="N32" s="3104">
        <f t="shared" ref="N32:N34" si="70">G32/100</f>
        <v>5.1999999999999998E-3</v>
      </c>
      <c r="O32" s="3104"/>
      <c r="P32" s="3104">
        <f t="shared" ref="P32:P34" si="71">M32</f>
        <v>1.7000000000000001E-3</v>
      </c>
      <c r="Q32" s="3102"/>
      <c r="R32" s="3113"/>
      <c r="S32" s="3113">
        <f>ROUND(IF(项目基本情况!$B$8="出让",SUMPRODUCT(PRODUCT(1+L32:L$42)),SUMPRODUCT(PRODUCT(1+L32:L$41))),4)</f>
        <v>1.0431999999999999</v>
      </c>
      <c r="T32" s="3113">
        <f>ROUND(IF(项目基本情况!$B$8="出让",SUMPRODUCT(PRODUCT(1+M32:M$42)),SUMPRODUCT(PRODUCT(1+M32:M$41))),4)</f>
        <v>1.0286999999999999</v>
      </c>
      <c r="U32" s="3113">
        <f>ROUND(IF(项目基本情况!$B$8="出让",SUMPRODUCT(PRODUCT(1+N32:N$42)),SUMPRODUCT(PRODUCT(1+N32:N$41))),4)</f>
        <v>1.0723</v>
      </c>
      <c r="V32" s="3113"/>
      <c r="W32" s="3113">
        <f t="shared" ref="W32:W34" si="72">T32</f>
        <v>1.0286999999999999</v>
      </c>
      <c r="X32" s="3102"/>
      <c r="Y32" s="3104"/>
      <c r="Z32" s="3122">
        <f t="shared" ref="Z32:AB32" si="73">IF(E32=0,0,ROUND(AVERAGE(E32:E43)/100,4))</f>
        <v>4.1999999999999997E-3</v>
      </c>
      <c r="AA32" s="3123">
        <f t="shared" si="73"/>
        <v>3.0000000000000001E-3</v>
      </c>
      <c r="AB32" s="3104">
        <f t="shared" si="73"/>
        <v>7.3000000000000001E-3</v>
      </c>
      <c r="AC32" s="3124"/>
      <c r="AD32" s="3104">
        <f t="shared" ref="AD32:AD34" si="74">IF(I32=0,0,ROUND(AVERAGE(I32:I43)/100,4))</f>
        <v>3.0000000000000001E-3</v>
      </c>
    </row>
    <row r="33" spans="1:30">
      <c r="A33" s="3085" t="s">
        <v>3252</v>
      </c>
      <c r="B33" s="3134">
        <v>2023</v>
      </c>
      <c r="C33" s="3135">
        <v>2</v>
      </c>
      <c r="D33" s="3135"/>
      <c r="E33" s="3135">
        <v>0.5</v>
      </c>
      <c r="F33" s="3135">
        <v>0.45</v>
      </c>
      <c r="G33" s="3135">
        <v>0.89</v>
      </c>
      <c r="H33" s="3141"/>
      <c r="I33" s="3136">
        <f t="shared" si="50"/>
        <v>0.45</v>
      </c>
      <c r="J33" s="3102"/>
      <c r="K33" s="3103"/>
      <c r="L33" s="3104">
        <f t="shared" si="68"/>
        <v>5.0000000000000001E-3</v>
      </c>
      <c r="M33" s="3104">
        <f t="shared" si="69"/>
        <v>4.5000000000000005E-3</v>
      </c>
      <c r="N33" s="3104">
        <f t="shared" si="70"/>
        <v>8.8999999999999999E-3</v>
      </c>
      <c r="O33" s="3104"/>
      <c r="P33" s="3104">
        <f t="shared" si="71"/>
        <v>4.5000000000000005E-3</v>
      </c>
      <c r="Q33" s="3102"/>
      <c r="R33" s="3113"/>
      <c r="S33" s="3113">
        <f>ROUND(IF(项目基本情况!$B$8="出让",SUMPRODUCT(PRODUCT(1+L33:L$42)),SUMPRODUCT(PRODUCT(1+L33:L$41))),4)</f>
        <v>1.0396000000000001</v>
      </c>
      <c r="T33" s="3113">
        <f>ROUND(IF(项目基本情况!$B$8="出让",SUMPRODUCT(PRODUCT(1+M33:M$42)),SUMPRODUCT(PRODUCT(1+M33:M$41))),4)</f>
        <v>1.0269999999999999</v>
      </c>
      <c r="U33" s="3113">
        <f>ROUND(IF(项目基本情况!$B$8="出让",SUMPRODUCT(PRODUCT(1+N33:N$42)),SUMPRODUCT(PRODUCT(1+N33:N$41))),4)</f>
        <v>1.0668</v>
      </c>
      <c r="V33" s="3113"/>
      <c r="W33" s="3113">
        <f t="shared" si="72"/>
        <v>1.0269999999999999</v>
      </c>
      <c r="X33" s="3102"/>
      <c r="Y33" s="3104"/>
      <c r="Z33" s="3122">
        <f t="shared" ref="Z33:AB33" si="75">IF(E33=0,0,ROUND(AVERAGE(E33:E44)/100,4))</f>
        <v>4.1999999999999997E-3</v>
      </c>
      <c r="AA33" s="3123">
        <f t="shared" si="75"/>
        <v>3.2000000000000002E-3</v>
      </c>
      <c r="AB33" s="3104">
        <f t="shared" si="75"/>
        <v>7.4999999999999997E-3</v>
      </c>
      <c r="AC33" s="3124"/>
      <c r="AD33" s="3104">
        <f t="shared" si="74"/>
        <v>3.2000000000000002E-3</v>
      </c>
    </row>
    <row r="34" spans="1:30">
      <c r="A34" s="3085" t="s">
        <v>3250</v>
      </c>
      <c r="B34" s="3134">
        <v>2023</v>
      </c>
      <c r="C34" s="3135">
        <v>1</v>
      </c>
      <c r="D34" s="3135"/>
      <c r="E34" s="3135">
        <v>0.55000000000000004</v>
      </c>
      <c r="F34" s="3135">
        <v>0.59</v>
      </c>
      <c r="G34" s="3135">
        <v>0.64</v>
      </c>
      <c r="H34" s="3141"/>
      <c r="I34" s="3136">
        <f t="shared" si="50"/>
        <v>0.59</v>
      </c>
      <c r="J34" s="3102"/>
      <c r="K34" s="3103"/>
      <c r="L34" s="3104">
        <f t="shared" si="68"/>
        <v>5.5000000000000005E-3</v>
      </c>
      <c r="M34" s="3104">
        <f t="shared" si="69"/>
        <v>5.8999999999999999E-3</v>
      </c>
      <c r="N34" s="3104">
        <f t="shared" si="70"/>
        <v>6.4000000000000003E-3</v>
      </c>
      <c r="O34" s="3104"/>
      <c r="P34" s="3104">
        <f t="shared" si="71"/>
        <v>5.8999999999999999E-3</v>
      </c>
      <c r="Q34" s="3102"/>
      <c r="R34" s="3113"/>
      <c r="S34" s="3113">
        <f>ROUND(IF(项目基本情况!$B$8="出让",SUMPRODUCT(PRODUCT(1+L34:L$42)),SUMPRODUCT(PRODUCT(1+L34:L$41))),4)</f>
        <v>1.0344</v>
      </c>
      <c r="T34" s="3113">
        <f>ROUND(IF(项目基本情况!$B$8="出让",SUMPRODUCT(PRODUCT(1+M34:M$42)),SUMPRODUCT(PRODUCT(1+M34:M$41))),4)</f>
        <v>1.0224</v>
      </c>
      <c r="U34" s="3113">
        <f>ROUND(IF(项目基本情况!$B$8="出让",SUMPRODUCT(PRODUCT(1+N34:N$42)),SUMPRODUCT(PRODUCT(1+N34:N$41))),4)</f>
        <v>1.0573999999999999</v>
      </c>
      <c r="V34" s="3113"/>
      <c r="W34" s="3113">
        <f t="shared" si="72"/>
        <v>1.0224</v>
      </c>
      <c r="X34" s="3102"/>
      <c r="Y34" s="3104"/>
      <c r="Z34" s="3122">
        <f t="shared" ref="Z34:AB34" si="76">IF(E34=0,0,ROUND(AVERAGE(E34:E45)/100,4))</f>
        <v>4.1999999999999997E-3</v>
      </c>
      <c r="AA34" s="3123">
        <f t="shared" si="76"/>
        <v>3.0000000000000001E-3</v>
      </c>
      <c r="AB34" s="3104">
        <f t="shared" si="76"/>
        <v>7.3000000000000001E-3</v>
      </c>
      <c r="AC34" s="3124"/>
      <c r="AD34" s="3104">
        <f t="shared" si="74"/>
        <v>3.0000000000000001E-3</v>
      </c>
    </row>
    <row r="35" spans="1:30">
      <c r="A35" s="3085" t="s">
        <v>3248</v>
      </c>
      <c r="B35" s="3134">
        <v>2022</v>
      </c>
      <c r="C35" s="3135">
        <v>4</v>
      </c>
      <c r="D35" s="3135"/>
      <c r="E35" s="3135">
        <v>0.45</v>
      </c>
      <c r="F35" s="3135">
        <v>0.2</v>
      </c>
      <c r="G35" s="3135">
        <v>0.38</v>
      </c>
      <c r="H35" s="3141"/>
      <c r="I35" s="3136">
        <f t="shared" si="50"/>
        <v>0.2</v>
      </c>
      <c r="J35" s="3102"/>
      <c r="K35" s="3103"/>
      <c r="L35" s="3104">
        <f t="shared" si="51"/>
        <v>4.5000000000000005E-3</v>
      </c>
      <c r="M35" s="3104">
        <f t="shared" si="51"/>
        <v>2E-3</v>
      </c>
      <c r="N35" s="3104">
        <f t="shared" si="51"/>
        <v>3.8E-3</v>
      </c>
      <c r="O35" s="3104"/>
      <c r="P35" s="3104">
        <f t="shared" ref="P35:P42" si="77">M35</f>
        <v>2E-3</v>
      </c>
      <c r="Q35" s="3102"/>
      <c r="R35" s="3113"/>
      <c r="S35" s="3113">
        <f>ROUND(IF(项目基本情况!$B$8="出让",SUMPRODUCT(PRODUCT(1+L35:L$42)),SUMPRODUCT(PRODUCT(1+L35:L$41))),4)</f>
        <v>1.0286999999999999</v>
      </c>
      <c r="T35" s="3113">
        <f>ROUND(IF(项目基本情况!$B$8="出让",SUMPRODUCT(PRODUCT(1+M35:M$42)),SUMPRODUCT(PRODUCT(1+M35:M$41))),4)</f>
        <v>1.0164</v>
      </c>
      <c r="U35" s="3113">
        <f>ROUND(IF(项目基本情况!$B$8="出让",SUMPRODUCT(PRODUCT(1+N35:N$42)),SUMPRODUCT(PRODUCT(1+N35:N$41))),4)</f>
        <v>1.0506</v>
      </c>
      <c r="V35" s="3113"/>
      <c r="W35" s="3113">
        <f t="shared" ref="W35:W42" si="78">T35</f>
        <v>1.0164</v>
      </c>
      <c r="X35" s="3102"/>
      <c r="Y35" s="3104"/>
      <c r="Z35" s="3122">
        <f t="shared" ref="Z35:AD42" si="79">IF(E35=0,0,ROUND(AVERAGE(E35:E43)/100,4))</f>
        <v>4.0000000000000001E-3</v>
      </c>
      <c r="AA35" s="3123">
        <f t="shared" si="79"/>
        <v>2.5999999999999999E-3</v>
      </c>
      <c r="AB35" s="3104">
        <f t="shared" si="79"/>
        <v>7.4000000000000003E-3</v>
      </c>
      <c r="AC35" s="3124"/>
      <c r="AD35" s="3104">
        <f t="shared" si="79"/>
        <v>2.5999999999999999E-3</v>
      </c>
    </row>
    <row r="36" spans="1:30">
      <c r="A36" s="3085" t="s">
        <v>3244</v>
      </c>
      <c r="B36" s="3134">
        <v>2022</v>
      </c>
      <c r="C36" s="3135">
        <v>3</v>
      </c>
      <c r="D36" s="3135"/>
      <c r="E36" s="3135">
        <v>0.3</v>
      </c>
      <c r="F36" s="3135">
        <v>0.28999999999999998</v>
      </c>
      <c r="G36" s="3135">
        <v>0.83</v>
      </c>
      <c r="H36" s="3141"/>
      <c r="I36" s="3136">
        <f t="shared" si="50"/>
        <v>0.28999999999999998</v>
      </c>
      <c r="J36" s="3102"/>
      <c r="K36" s="3103"/>
      <c r="L36" s="3104">
        <f t="shared" si="51"/>
        <v>3.0000000000000001E-3</v>
      </c>
      <c r="M36" s="3104">
        <f t="shared" si="51"/>
        <v>2.8999999999999998E-3</v>
      </c>
      <c r="N36" s="3104">
        <f t="shared" si="51"/>
        <v>8.3000000000000001E-3</v>
      </c>
      <c r="O36" s="3104"/>
      <c r="P36" s="3104">
        <f t="shared" si="77"/>
        <v>2.8999999999999998E-3</v>
      </c>
      <c r="Q36" s="3102"/>
      <c r="R36" s="3113"/>
      <c r="S36" s="3113">
        <f>ROUND(IF(项目基本情况!$B$8="出让",SUMPRODUCT(PRODUCT(1+L36:L$42)),SUMPRODUCT(PRODUCT(1+L36:L$41))),4)</f>
        <v>1.0241</v>
      </c>
      <c r="T36" s="3113">
        <f>ROUND(IF(项目基本情况!$B$8="出让",SUMPRODUCT(PRODUCT(1+M36:M$42)),SUMPRODUCT(PRODUCT(1+M36:M$41))),4)</f>
        <v>1.0144</v>
      </c>
      <c r="U36" s="3113">
        <f>ROUND(IF(项目基本情况!$B$8="出让",SUMPRODUCT(PRODUCT(1+N36:N$42)),SUMPRODUCT(PRODUCT(1+N36:N$41))),4)</f>
        <v>1.0467</v>
      </c>
      <c r="V36" s="3113"/>
      <c r="W36" s="3113">
        <f t="shared" si="78"/>
        <v>1.0144</v>
      </c>
      <c r="X36" s="3102"/>
      <c r="Y36" s="3104"/>
      <c r="Z36" s="3122">
        <f t="shared" si="79"/>
        <v>3.8999999999999998E-3</v>
      </c>
      <c r="AA36" s="3123">
        <f t="shared" si="79"/>
        <v>2.7000000000000001E-3</v>
      </c>
      <c r="AB36" s="3104">
        <f t="shared" si="79"/>
        <v>7.9000000000000008E-3</v>
      </c>
      <c r="AC36" s="3124"/>
      <c r="AD36" s="3104">
        <f t="shared" si="79"/>
        <v>2.7000000000000001E-3</v>
      </c>
    </row>
    <row r="37" spans="1:30">
      <c r="A37" s="3085" t="s">
        <v>3243</v>
      </c>
      <c r="B37" s="3134">
        <v>2022</v>
      </c>
      <c r="C37" s="3135">
        <v>2</v>
      </c>
      <c r="D37" s="3135"/>
      <c r="E37" s="3135">
        <v>-0.11</v>
      </c>
      <c r="F37" s="3135">
        <v>-0.13</v>
      </c>
      <c r="G37" s="3135">
        <v>0.53</v>
      </c>
      <c r="H37" s="3141"/>
      <c r="I37" s="3136">
        <f t="shared" si="50"/>
        <v>-0.13</v>
      </c>
      <c r="J37" s="3102"/>
      <c r="K37" s="3103"/>
      <c r="L37" s="3104">
        <f t="shared" si="51"/>
        <v>-1.1000000000000001E-3</v>
      </c>
      <c r="M37" s="3104">
        <f t="shared" si="51"/>
        <v>-1.2999999999999999E-3</v>
      </c>
      <c r="N37" s="3104">
        <f t="shared" si="51"/>
        <v>5.3E-3</v>
      </c>
      <c r="O37" s="3104"/>
      <c r="P37" s="3104">
        <f t="shared" si="77"/>
        <v>-1.2999999999999999E-3</v>
      </c>
      <c r="Q37" s="3102"/>
      <c r="R37" s="3113"/>
      <c r="S37" s="3113">
        <f>ROUND(IF(项目基本情况!$B$8="出让",SUMPRODUCT(PRODUCT(1+L37:L$42)),SUMPRODUCT(PRODUCT(1+L37:L$41))),4)</f>
        <v>1.0210999999999999</v>
      </c>
      <c r="T37" s="3113">
        <f>ROUND(IF(项目基本情况!$B$8="出让",SUMPRODUCT(PRODUCT(1+M37:M$42)),SUMPRODUCT(PRODUCT(1+M37:M$41))),4)</f>
        <v>1.0114000000000001</v>
      </c>
      <c r="U37" s="3113">
        <f>ROUND(IF(项目基本情况!$B$8="出让",SUMPRODUCT(PRODUCT(1+N37:N$42)),SUMPRODUCT(PRODUCT(1+N37:N$41))),4)</f>
        <v>1.0381</v>
      </c>
      <c r="V37" s="3113"/>
      <c r="W37" s="3113">
        <f t="shared" si="78"/>
        <v>1.0114000000000001</v>
      </c>
      <c r="X37" s="3102"/>
      <c r="Y37" s="3104"/>
      <c r="Z37" s="3122">
        <f t="shared" si="79"/>
        <v>4.1000000000000003E-3</v>
      </c>
      <c r="AA37" s="3123">
        <f t="shared" si="79"/>
        <v>2.7000000000000001E-3</v>
      </c>
      <c r="AB37" s="3104">
        <f t="shared" si="79"/>
        <v>7.9000000000000008E-3</v>
      </c>
      <c r="AC37" s="3124"/>
      <c r="AD37" s="3104">
        <f t="shared" si="79"/>
        <v>2.7000000000000001E-3</v>
      </c>
    </row>
    <row r="38" spans="1:30">
      <c r="A38" s="3085" t="s">
        <v>2777</v>
      </c>
      <c r="B38" s="3134">
        <v>2022</v>
      </c>
      <c r="C38" s="3135">
        <v>1</v>
      </c>
      <c r="D38" s="3135"/>
      <c r="E38" s="3135">
        <v>0.6</v>
      </c>
      <c r="F38" s="3135">
        <v>0.45</v>
      </c>
      <c r="G38" s="3135">
        <v>0.53</v>
      </c>
      <c r="H38" s="3141"/>
      <c r="I38" s="3136">
        <f t="shared" si="50"/>
        <v>0.45</v>
      </c>
      <c r="J38" s="3102"/>
      <c r="K38" s="3103"/>
      <c r="L38" s="3104">
        <f t="shared" si="51"/>
        <v>6.0000000000000001E-3</v>
      </c>
      <c r="M38" s="3104">
        <f t="shared" si="51"/>
        <v>4.5000000000000005E-3</v>
      </c>
      <c r="N38" s="3104">
        <f t="shared" si="51"/>
        <v>5.3E-3</v>
      </c>
      <c r="O38" s="3104"/>
      <c r="P38" s="3104">
        <f t="shared" si="77"/>
        <v>4.5000000000000005E-3</v>
      </c>
      <c r="Q38" s="3102"/>
      <c r="R38" s="3113"/>
      <c r="S38" s="3113">
        <f>ROUND(IF(项目基本情况!$B$8="出让",SUMPRODUCT(PRODUCT(1+L38:L$42)),SUMPRODUCT(PRODUCT(1+L38:L$41))),4)</f>
        <v>1.0222</v>
      </c>
      <c r="T38" s="3113">
        <f>ROUND(IF(项目基本情况!$B$8="出让",SUMPRODUCT(PRODUCT(1+M38:M$42)),SUMPRODUCT(PRODUCT(1+M38:M$41))),4)</f>
        <v>1.0127999999999999</v>
      </c>
      <c r="U38" s="3113">
        <f>ROUND(IF(项目基本情况!$B$8="出让",SUMPRODUCT(PRODUCT(1+N38:N$42)),SUMPRODUCT(PRODUCT(1+N38:N$41))),4)</f>
        <v>1.0326</v>
      </c>
      <c r="V38" s="3113"/>
      <c r="W38" s="3113">
        <f t="shared" si="78"/>
        <v>1.0127999999999999</v>
      </c>
      <c r="X38" s="3102"/>
      <c r="Y38" s="3104"/>
      <c r="Z38" s="3122">
        <f t="shared" si="79"/>
        <v>5.1000000000000004E-3</v>
      </c>
      <c r="AA38" s="3123">
        <f t="shared" si="79"/>
        <v>3.5000000000000001E-3</v>
      </c>
      <c r="AB38" s="3104">
        <f t="shared" si="79"/>
        <v>8.3999999999999995E-3</v>
      </c>
      <c r="AC38" s="3124"/>
      <c r="AD38" s="3104">
        <f t="shared" si="79"/>
        <v>3.5000000000000001E-3</v>
      </c>
    </row>
    <row r="39" spans="1:30">
      <c r="A39" s="3085" t="s">
        <v>2778</v>
      </c>
      <c r="B39" s="3134">
        <v>2021</v>
      </c>
      <c r="C39" s="3135">
        <v>4</v>
      </c>
      <c r="D39" s="3135"/>
      <c r="E39" s="3135">
        <v>0.57999999999999996</v>
      </c>
      <c r="F39" s="3135">
        <v>0.08</v>
      </c>
      <c r="G39" s="3135">
        <v>0.68</v>
      </c>
      <c r="H39" s="3141"/>
      <c r="I39" s="3136">
        <f t="shared" si="50"/>
        <v>0.08</v>
      </c>
      <c r="J39" s="3102"/>
      <c r="K39" s="3103"/>
      <c r="L39" s="3104">
        <f t="shared" si="51"/>
        <v>5.7999999999999996E-3</v>
      </c>
      <c r="M39" s="3104">
        <f t="shared" si="51"/>
        <v>8.0000000000000004E-4</v>
      </c>
      <c r="N39" s="3104">
        <f t="shared" si="51"/>
        <v>6.8000000000000005E-3</v>
      </c>
      <c r="O39" s="3104"/>
      <c r="P39" s="3104">
        <f t="shared" si="77"/>
        <v>8.0000000000000004E-4</v>
      </c>
      <c r="Q39" s="3102"/>
      <c r="R39" s="3113"/>
      <c r="S39" s="3113">
        <f>ROUND(IF(项目基本情况!$B$8="出让",SUMPRODUCT(PRODUCT(1+L39:L$42)),SUMPRODUCT(PRODUCT(1+L39:L$41))),4)</f>
        <v>1.0161</v>
      </c>
      <c r="T39" s="3113">
        <f>ROUND(IF(项目基本情况!$B$8="出让",SUMPRODUCT(PRODUCT(1+M39:M$42)),SUMPRODUCT(PRODUCT(1+M39:M$41))),4)</f>
        <v>1.0082</v>
      </c>
      <c r="U39" s="3113">
        <f>ROUND(IF(项目基本情况!$B$8="出让",SUMPRODUCT(PRODUCT(1+N39:N$42)),SUMPRODUCT(PRODUCT(1+N39:N$41))),4)</f>
        <v>1.0270999999999999</v>
      </c>
      <c r="V39" s="3113"/>
      <c r="W39" s="3113">
        <f t="shared" si="78"/>
        <v>1.0082</v>
      </c>
      <c r="X39" s="3102"/>
      <c r="Y39" s="3104"/>
      <c r="Z39" s="3122">
        <f t="shared" si="79"/>
        <v>4.8999999999999998E-3</v>
      </c>
      <c r="AA39" s="3123">
        <f t="shared" si="79"/>
        <v>3.3E-3</v>
      </c>
      <c r="AB39" s="3104">
        <f t="shared" si="79"/>
        <v>9.1999999999999998E-3</v>
      </c>
      <c r="AC39" s="3124"/>
      <c r="AD39" s="3104">
        <f t="shared" si="79"/>
        <v>3.3E-3</v>
      </c>
    </row>
    <row r="40" spans="1:30">
      <c r="A40" s="3085" t="s">
        <v>2779</v>
      </c>
      <c r="B40" s="3134">
        <v>2021</v>
      </c>
      <c r="C40" s="3135">
        <v>3</v>
      </c>
      <c r="D40" s="3135"/>
      <c r="E40" s="3135">
        <v>0.47</v>
      </c>
      <c r="F40" s="3135">
        <v>0.28000000000000003</v>
      </c>
      <c r="G40" s="3135">
        <v>0.91</v>
      </c>
      <c r="H40" s="3141"/>
      <c r="I40" s="3136">
        <f t="shared" si="50"/>
        <v>0.28000000000000003</v>
      </c>
      <c r="J40" s="3102"/>
      <c r="K40" s="3103"/>
      <c r="L40" s="3104">
        <f t="shared" si="51"/>
        <v>4.6999999999999993E-3</v>
      </c>
      <c r="M40" s="3104">
        <f t="shared" si="51"/>
        <v>2.8000000000000004E-3</v>
      </c>
      <c r="N40" s="3104">
        <f t="shared" si="51"/>
        <v>9.1000000000000004E-3</v>
      </c>
      <c r="O40" s="3104"/>
      <c r="P40" s="3104">
        <f t="shared" si="77"/>
        <v>2.8000000000000004E-3</v>
      </c>
      <c r="Q40" s="3102"/>
      <c r="R40" s="3113"/>
      <c r="S40" s="3113">
        <f>ROUND(IF(项目基本情况!$B$8="出让",SUMPRODUCT(PRODUCT(1+L40:L$42)),SUMPRODUCT(PRODUCT(1+L40:L$41))),4)</f>
        <v>1.0102</v>
      </c>
      <c r="T40" s="3113">
        <f>ROUND(IF(项目基本情况!$B$8="出让",SUMPRODUCT(PRODUCT(1+M40:M$42)),SUMPRODUCT(PRODUCT(1+M40:M$41))),4)</f>
        <v>1.0074000000000001</v>
      </c>
      <c r="U40" s="3113">
        <f>ROUND(IF(项目基本情况!$B$8="出让",SUMPRODUCT(PRODUCT(1+N40:N$42)),SUMPRODUCT(PRODUCT(1+N40:N$41))),4)</f>
        <v>1.0202</v>
      </c>
      <c r="V40" s="3113"/>
      <c r="W40" s="3113">
        <f t="shared" si="78"/>
        <v>1.0074000000000001</v>
      </c>
      <c r="X40" s="3102"/>
      <c r="Y40" s="3104"/>
      <c r="Z40" s="3122">
        <f t="shared" si="79"/>
        <v>4.5999999999999999E-3</v>
      </c>
      <c r="AA40" s="3123">
        <f t="shared" si="79"/>
        <v>4.1000000000000003E-3</v>
      </c>
      <c r="AB40" s="3104">
        <f t="shared" si="79"/>
        <v>0.01</v>
      </c>
      <c r="AC40" s="3124"/>
      <c r="AD40" s="3104">
        <f t="shared" si="79"/>
        <v>4.1000000000000003E-3</v>
      </c>
    </row>
    <row r="41" spans="1:30">
      <c r="A41" s="3085" t="s">
        <v>2783</v>
      </c>
      <c r="B41" s="3134">
        <v>2021</v>
      </c>
      <c r="C41" s="3135">
        <v>2</v>
      </c>
      <c r="D41" s="3135"/>
      <c r="E41" s="3135">
        <v>0.55000000000000004</v>
      </c>
      <c r="F41" s="3135">
        <v>0.46</v>
      </c>
      <c r="G41" s="3135">
        <v>1.1000000000000001</v>
      </c>
      <c r="H41" s="3141"/>
      <c r="I41" s="3136">
        <f t="shared" si="50"/>
        <v>0.46</v>
      </c>
      <c r="J41" s="3102"/>
      <c r="K41" s="3103"/>
      <c r="L41" s="3104">
        <f t="shared" si="51"/>
        <v>5.5000000000000005E-3</v>
      </c>
      <c r="M41" s="3104">
        <f t="shared" si="51"/>
        <v>4.5999999999999999E-3</v>
      </c>
      <c r="N41" s="3104">
        <f t="shared" si="51"/>
        <v>1.1000000000000001E-2</v>
      </c>
      <c r="O41" s="3104"/>
      <c r="P41" s="3104">
        <f t="shared" si="77"/>
        <v>4.5999999999999999E-3</v>
      </c>
      <c r="Q41" s="3102"/>
      <c r="R41" s="3113"/>
      <c r="S41" s="3113">
        <f>ROUND(IF(项目基本情况!$B$8="出让",SUMPRODUCT(PRODUCT(1+L41:L$42)),SUMPRODUCT(PRODUCT(1+L41:L$41))),4)</f>
        <v>1.0055000000000001</v>
      </c>
      <c r="T41" s="3113">
        <f>ROUND(IF(项目基本情况!$B$8="出让",SUMPRODUCT(PRODUCT(1+M41:M$42)),SUMPRODUCT(PRODUCT(1+M41:M$41))),4)</f>
        <v>1.0045999999999999</v>
      </c>
      <c r="U41" s="3113">
        <f>ROUND(IF(项目基本情况!$B$8="出让",SUMPRODUCT(PRODUCT(1+N41:N$42)),SUMPRODUCT(PRODUCT(1+N41:N$41))),4)</f>
        <v>1.0109999999999999</v>
      </c>
      <c r="V41" s="3113"/>
      <c r="W41" s="3113">
        <f t="shared" si="78"/>
        <v>1.0045999999999999</v>
      </c>
      <c r="X41" s="3102"/>
      <c r="Y41" s="3104"/>
      <c r="Z41" s="3122">
        <f t="shared" si="79"/>
        <v>4.4999999999999997E-3</v>
      </c>
      <c r="AA41" s="3123">
        <f t="shared" si="79"/>
        <v>4.7000000000000002E-3</v>
      </c>
      <c r="AB41" s="3104">
        <f t="shared" si="79"/>
        <v>1.04E-2</v>
      </c>
      <c r="AC41" s="3124"/>
      <c r="AD41" s="3104">
        <f t="shared" si="79"/>
        <v>4.7000000000000002E-3</v>
      </c>
    </row>
    <row r="42" spans="1:30" ht="14.25" thickBot="1">
      <c r="A42" s="3087" t="s">
        <v>2784</v>
      </c>
      <c r="B42" s="3142">
        <v>2021</v>
      </c>
      <c r="C42" s="3143">
        <v>1</v>
      </c>
      <c r="D42" s="3143"/>
      <c r="E42" s="3143">
        <v>0.35</v>
      </c>
      <c r="F42" s="3143">
        <v>0.48</v>
      </c>
      <c r="G42" s="3143">
        <v>0.98</v>
      </c>
      <c r="H42" s="3144"/>
      <c r="I42" s="3145">
        <f t="shared" si="50"/>
        <v>0.48</v>
      </c>
      <c r="J42" s="3108"/>
      <c r="K42" s="3109"/>
      <c r="L42" s="3110">
        <f t="shared" si="51"/>
        <v>3.4999999999999996E-3</v>
      </c>
      <c r="M42" s="3110">
        <f>F42/100</f>
        <v>4.7999999999999996E-3</v>
      </c>
      <c r="N42" s="3110">
        <f t="shared" si="51"/>
        <v>9.7999999999999997E-3</v>
      </c>
      <c r="O42" s="3110"/>
      <c r="P42" s="3110">
        <f t="shared" si="77"/>
        <v>4.7999999999999996E-3</v>
      </c>
      <c r="Q42" s="3108"/>
      <c r="R42" s="3117"/>
      <c r="S42" s="3117">
        <v>1</v>
      </c>
      <c r="T42" s="3117">
        <v>1</v>
      </c>
      <c r="U42" s="3117">
        <v>1</v>
      </c>
      <c r="V42" s="3117"/>
      <c r="W42" s="3117">
        <f t="shared" si="78"/>
        <v>1</v>
      </c>
      <c r="X42" s="3108"/>
      <c r="Y42" s="3110"/>
      <c r="Z42" s="3128">
        <f t="shared" si="79"/>
        <v>3.5000000000000001E-3</v>
      </c>
      <c r="AA42" s="3129">
        <f t="shared" si="79"/>
        <v>4.7999999999999996E-3</v>
      </c>
      <c r="AB42" s="3110">
        <f t="shared" si="79"/>
        <v>9.7999999999999997E-3</v>
      </c>
      <c r="AC42" s="3130"/>
      <c r="AD42" s="3110">
        <f t="shared" si="79"/>
        <v>4.7999999999999996E-3</v>
      </c>
    </row>
    <row r="43" spans="1:30" ht="14.25" thickTop="1"/>
    <row r="44" spans="1:30">
      <c r="A44" s="3386" t="s">
        <v>3246</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2205</v>
      </c>
      <c r="B1" s="2744"/>
      <c r="C1" s="2744"/>
      <c r="D1" s="2744"/>
      <c r="E1" s="2744"/>
      <c r="F1" s="2744"/>
      <c r="G1" s="2745"/>
      <c r="H1" s="2745"/>
      <c r="I1" s="2745"/>
      <c r="J1" s="2745"/>
      <c r="K1" s="2745"/>
      <c r="L1" s="2745"/>
      <c r="M1" s="2745"/>
      <c r="N1" s="2745"/>
    </row>
    <row r="2" spans="1:14" ht="14.25">
      <c r="A2" s="2750" t="s">
        <v>2200</v>
      </c>
      <c r="B2" s="2755">
        <f ca="1">SUMIF(B7:B14,"&lt;&gt;#ref!",B7:B14)</f>
        <v>0</v>
      </c>
      <c r="C2" s="2750" t="s">
        <v>2201</v>
      </c>
      <c r="D2" s="2747"/>
      <c r="E2" s="2747"/>
      <c r="F2" s="2747"/>
      <c r="G2" s="2745"/>
      <c r="H2" s="2745"/>
      <c r="I2" s="2745"/>
      <c r="J2" s="2745"/>
      <c r="K2" s="2745"/>
      <c r="L2" s="2745"/>
      <c r="M2" s="2745"/>
      <c r="N2" s="2745"/>
    </row>
    <row r="3" spans="1:14" ht="14.25">
      <c r="A3" s="2750" t="s">
        <v>2229</v>
      </c>
      <c r="B3" s="2755" t="e">
        <f ca="1">ROUND(B2*10000/E3,0)</f>
        <v>#DIV/0!</v>
      </c>
      <c r="C3" s="2750" t="s">
        <v>1596</v>
      </c>
      <c r="D3" s="2750" t="s">
        <v>2202</v>
      </c>
      <c r="E3" s="2748">
        <f ca="1">SUMIF(E7:E14,"&lt;&gt;#ref!",E7:E14)</f>
        <v>0</v>
      </c>
      <c r="F3" s="2747"/>
      <c r="G3" s="2745"/>
      <c r="H3" s="2745"/>
      <c r="I3" s="2745"/>
      <c r="J3" s="2745"/>
      <c r="K3" s="2745"/>
      <c r="L3" s="2745"/>
      <c r="M3" s="2745"/>
      <c r="N3" s="2745"/>
    </row>
    <row r="4" spans="1:14" ht="14.25">
      <c r="A4" s="2750" t="s">
        <v>2208</v>
      </c>
      <c r="B4" s="2755" t="e">
        <f ca="1">ROUND(B2*10000/E4,0)</f>
        <v>#DIV/0!</v>
      </c>
      <c r="C4" s="2750" t="s">
        <v>1596</v>
      </c>
      <c r="D4" s="2750" t="s">
        <v>2209</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2206</v>
      </c>
      <c r="B6" s="2750" t="s">
        <v>2203</v>
      </c>
      <c r="C6" s="2354"/>
      <c r="D6" s="2747"/>
      <c r="E6" s="2750" t="s">
        <v>2204</v>
      </c>
      <c r="F6" s="2750" t="s">
        <v>2207</v>
      </c>
      <c r="G6" s="2745"/>
      <c r="H6" s="2745"/>
      <c r="I6" s="2745"/>
      <c r="J6" s="2745"/>
      <c r="K6" s="2745"/>
      <c r="L6" s="2745"/>
      <c r="M6" s="2745"/>
      <c r="N6" s="2745"/>
    </row>
    <row r="7" spans="1:14" ht="14.25">
      <c r="A7" s="2753"/>
      <c r="B7" s="2755" t="e">
        <f ca="1">SUMIF(INDIRECT("'"&amp;A7&amp;"'"&amp;"!A:A"),"总价",INDIRECT("'"&amp;A7&amp;"'"&amp;"!B:B"))</f>
        <v>#REF!</v>
      </c>
      <c r="C7" s="2750" t="s">
        <v>2201</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2201</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2201</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2201</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2201</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2201</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2201</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2201</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v>
      </c>
      <c r="G1" s="709">
        <f>MATCH(C1,'数据-取费表'!A6:A16,0)+5</f>
        <v>8</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88" t="s">
        <v>1807</v>
      </c>
      <c r="C8" s="1516">
        <f ca="1">ROUND(F8*F10*F9*(1-F11)/10000,0)</f>
        <v>0</v>
      </c>
      <c r="D8" s="317" t="s">
        <v>1817</v>
      </c>
      <c r="E8" s="57" t="s">
        <v>585</v>
      </c>
      <c r="F8" s="720">
        <f ca="1">INDIRECT("'数据-取费表'!u"&amp;$G$1)</f>
        <v>0</v>
      </c>
      <c r="G8" s="1145"/>
      <c r="H8" s="2009" t="s">
        <v>1353</v>
      </c>
      <c r="I8" s="3688" t="s">
        <v>1807</v>
      </c>
      <c r="J8" s="718">
        <f ca="1">ROUND(M8*M10*M9*(1-M11)/10000,0)</f>
        <v>0</v>
      </c>
      <c r="K8" s="315" t="s">
        <v>1817</v>
      </c>
      <c r="L8" s="719" t="s">
        <v>1267</v>
      </c>
      <c r="M8" s="720">
        <f ca="1">INDIRECT("'数据-取费表'!z"&amp;$G$1)</f>
        <v>0</v>
      </c>
    </row>
    <row r="9" spans="1:25" ht="18" customHeight="1">
      <c r="A9" s="2005"/>
      <c r="B9" s="3689"/>
      <c r="C9" s="1517"/>
      <c r="D9" s="330"/>
      <c r="E9" s="57" t="s">
        <v>586</v>
      </c>
      <c r="F9" s="720">
        <f ca="1">IF(INDIRECT("'数据-取费表'!ah"&amp;$G$1)="",INDIRECT("'数据-取费表'!k"&amp;$G$1),INDIRECT("'数据-取费表'!ah"&amp;$G$1))</f>
        <v>0</v>
      </c>
      <c r="G9" s="1145"/>
      <c r="H9" s="1994"/>
      <c r="I9" s="3689"/>
      <c r="J9" s="723"/>
      <c r="K9" s="724"/>
      <c r="L9" s="719" t="s">
        <v>1268</v>
      </c>
      <c r="M9" s="720">
        <f ca="1">F9</f>
        <v>0</v>
      </c>
    </row>
    <row r="10" spans="1:25" ht="18" customHeight="1">
      <c r="A10" s="1998"/>
      <c r="B10" s="3690"/>
      <c r="C10" s="1517"/>
      <c r="D10" s="330"/>
      <c r="E10" s="57" t="s">
        <v>587</v>
      </c>
      <c r="F10" s="720">
        <f ca="1">INDIRECT("'数据-取费表'!ai"&amp;$G$1)</f>
        <v>0</v>
      </c>
      <c r="G10" s="1145"/>
      <c r="H10" s="1994"/>
      <c r="I10" s="3690"/>
      <c r="J10" s="723"/>
      <c r="K10" s="724"/>
      <c r="L10" s="719" t="s">
        <v>1269</v>
      </c>
      <c r="M10" s="720">
        <f ca="1">INDIRECT("'数据-取费表'!ai"&amp;$G$1)</f>
        <v>0</v>
      </c>
    </row>
    <row r="11" spans="1:25" ht="18" customHeight="1">
      <c r="A11" s="721"/>
      <c r="B11" s="3691"/>
      <c r="C11" s="1517"/>
      <c r="D11" s="330"/>
      <c r="E11" s="57" t="s">
        <v>588</v>
      </c>
      <c r="F11" s="729">
        <f ca="1">INDIRECT("'数据-取费表'!w"&amp;$G$1)</f>
        <v>0</v>
      </c>
      <c r="G11" s="1145"/>
      <c r="H11" s="2010"/>
      <c r="I11" s="3690"/>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2226</v>
      </c>
      <c r="E12" s="2003" t="s">
        <v>1808</v>
      </c>
      <c r="F12" s="2076"/>
      <c r="G12" s="1145"/>
      <c r="H12" s="2037" t="s">
        <v>1354</v>
      </c>
      <c r="I12" s="2041" t="s">
        <v>1803</v>
      </c>
      <c r="J12" s="718">
        <f ca="1">ROUND(IF(M12="押一",J8/12*M13,IF(M12="押二",J8/12*2*M13,IF(M12="押三",J8/12*3*M13,J13*M13))),0)</f>
        <v>0</v>
      </c>
      <c r="K12" s="2006" t="s">
        <v>2226</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4">
        <f ca="1">ROUND(IF(AND(项目基本情况!B11="自然人",项目基本情况!B10="北京市"),J8*M19/(1+'数据-取费表'!C42),J20+J21+J22),0)</f>
        <v>0</v>
      </c>
      <c r="K19" s="906" t="s">
        <v>605</v>
      </c>
      <c r="L19" s="907"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3241</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6.9999999999999999E-4</v>
      </c>
      <c r="D26" s="2044" t="str">
        <f>IF(F25&lt;=1,"销售费用×利率×(建设周期÷2)","销售费用×((1+利率)^(建设周期÷2)-1)")</f>
        <v>销售费用×((1+利率)^(建设周期÷2)-1)</v>
      </c>
      <c r="E26" s="719" t="s">
        <v>629</v>
      </c>
      <c r="F26" s="753">
        <f ca="1">'数据-取费表'!B40</f>
        <v>3.3500000000000002E-2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7"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8"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6" t="s">
        <v>605</v>
      </c>
      <c r="E33" s="907" t="s">
        <v>637</v>
      </c>
      <c r="F33" s="2553" t="str">
        <f>IF(项目基本情况!B11="企业","——",IF(M48="住宅",IF(F8*F9*F10/12/(1+'数据-取费表'!F30)&gt;100000,4%,2.5%),IF(F8*F9*F10/12/(1+'数据-取费表'!F30)&gt;100000,12%,7%)))</f>
        <v>——</v>
      </c>
      <c r="G33" s="1668"/>
      <c r="H33" s="2756" t="s">
        <v>2275</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3241</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87"/>
      <c r="J36" s="1690"/>
      <c r="K36" s="1691"/>
      <c r="L36" s="1690"/>
      <c r="M36" s="1690"/>
    </row>
    <row r="37" spans="1:18" ht="18" customHeight="1">
      <c r="A37" s="749"/>
      <c r="B37" s="728"/>
      <c r="C37" s="65"/>
      <c r="D37" s="750"/>
      <c r="E37" s="719" t="s">
        <v>621</v>
      </c>
      <c r="F37" s="720">
        <f ca="1">INDIRECT("'数据-取费表'!r"&amp;$G$1)</f>
        <v>0</v>
      </c>
      <c r="G37" s="1668"/>
      <c r="H37" s="1677"/>
      <c r="I37" s="3687"/>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59" t="s">
        <v>2216</v>
      </c>
      <c r="F43" s="2360">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1" t="s">
        <v>2219</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5"/>
      <c r="Q47" s="1330"/>
      <c r="R47" s="1145"/>
    </row>
    <row r="48" spans="1:18" s="1672" customFormat="1" ht="18" customHeight="1" thickBot="1">
      <c r="A48" s="1694"/>
      <c r="C48" s="1697"/>
      <c r="D48" s="1695"/>
      <c r="E48" s="1695"/>
      <c r="F48" s="1698"/>
      <c r="G48" s="1699"/>
      <c r="I48" s="2366" t="s">
        <v>1698</v>
      </c>
      <c r="J48" s="1942"/>
      <c r="K48" s="2371" t="s">
        <v>1703</v>
      </c>
      <c r="L48" s="2375">
        <f ca="1">INDIRECT("'数据-取费表'!d"&amp;$G$1)</f>
        <v>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0</v>
      </c>
      <c r="R51" s="1958" t="s">
        <v>1734</v>
      </c>
    </row>
    <row r="52" spans="1:18" s="1672" customFormat="1" ht="18" customHeight="1" thickBot="1">
      <c r="A52" s="1704"/>
      <c r="F52" s="1695"/>
      <c r="I52" s="2367" t="s">
        <v>1702</v>
      </c>
      <c r="J52" s="1567">
        <f>IF(J50="",J51,J50+J51-YEAR('数据-取费表'!B3))</f>
        <v>0</v>
      </c>
      <c r="K52" s="2363" t="s">
        <v>1708</v>
      </c>
      <c r="L52" s="2376">
        <f ca="1">C45</f>
        <v>0</v>
      </c>
      <c r="O52" s="1960" t="s">
        <v>1738</v>
      </c>
      <c r="P52" s="1958" t="s">
        <v>1739</v>
      </c>
      <c r="Q52" s="1961" t="e">
        <f ca="1">J59</f>
        <v>#DIV/0!</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2230</v>
      </c>
      <c r="J54" s="2415">
        <f ca="1">IF(M48="住宅",MAX(J52,L49-'数据-取费表'!B20),MIN(J52,L49-'数据-取费表'!B20))</f>
        <v>-2</v>
      </c>
      <c r="K54" s="3692"/>
      <c r="L54" s="3693"/>
      <c r="O54" s="1960" t="s">
        <v>1742</v>
      </c>
      <c r="P54" s="1958" t="s">
        <v>1743</v>
      </c>
      <c r="Q54" s="1959">
        <f ca="1">J54</f>
        <v>-2</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t="e">
        <f ca="1">Q49+Q50</f>
        <v>#DIV/0!</v>
      </c>
      <c r="R55" s="1962" t="s">
        <v>1746</v>
      </c>
    </row>
    <row r="56" spans="1:18" s="1672" customFormat="1" ht="16.5" thickBot="1">
      <c r="A56" s="1704"/>
      <c r="B56" s="1705"/>
      <c r="C56" s="1705"/>
      <c r="I56" s="2379" t="s">
        <v>1709</v>
      </c>
      <c r="J56" s="2352" t="e">
        <f ca="1">ROUND(IF(J48="钢混",J58/J51,1-(1-2%)*(J51-J58)/J51),3)</f>
        <v>#DIV/0!</v>
      </c>
      <c r="K56" s="2380" t="s">
        <v>1710</v>
      </c>
      <c r="L56" s="1946"/>
      <c r="O56" s="1963" t="s">
        <v>1765</v>
      </c>
      <c r="P56" s="1145"/>
      <c r="Q56" s="1330"/>
      <c r="R56" s="1145"/>
    </row>
    <row r="57" spans="1:18" s="1672" customFormat="1" ht="43.5" thickBot="1">
      <c r="A57" s="1704"/>
      <c r="B57" s="1705"/>
      <c r="C57" s="1705"/>
      <c r="I57" s="2381" t="s">
        <v>1711</v>
      </c>
      <c r="J57" s="2391"/>
      <c r="K57" s="2363" t="s">
        <v>1716</v>
      </c>
      <c r="L57" s="1567">
        <f ca="1">IF(L49&lt;J52,"——",L49-J52)</f>
        <v>0</v>
      </c>
      <c r="O57" s="1954" t="s">
        <v>1729</v>
      </c>
      <c r="P57" s="1955" t="s">
        <v>1730</v>
      </c>
      <c r="Q57" s="1956" t="s">
        <v>1731</v>
      </c>
      <c r="R57" s="1955" t="s">
        <v>1732</v>
      </c>
    </row>
    <row r="58" spans="1:18" s="1672" customFormat="1" ht="29.25" thickBot="1">
      <c r="A58" s="1704"/>
      <c r="B58" s="1705"/>
      <c r="C58" s="1705"/>
      <c r="I58" s="2382" t="s">
        <v>1712</v>
      </c>
      <c r="J58" s="2383">
        <f ca="1">IF(OR(M48="住宅",J52&lt;L49,J57="是"),"——",J52-L49)</f>
        <v>0</v>
      </c>
      <c r="K58" s="2363"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2" t="s">
        <v>1713</v>
      </c>
      <c r="J59" s="2353" t="e">
        <f ca="1">IF(J56&lt;0.4,0.4,J56)</f>
        <v>#DIV/0!</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e">
        <f ca="1">IF(OR(M48="住宅",J52&lt;L49,J57="是"),"——",ROUND(C30*J59,0))</f>
        <v>#DIV/0!</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e">
        <f ca="1">IF(OR(M48="住宅",J52&lt;L49,J57="是"),"0",ROUND(J60/(1+J53)^J54,0))</f>
        <v>#DIV/0!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2199</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5"/>
      <c r="Q65" s="1330"/>
      <c r="R65" s="1145"/>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Normal="60" zoomScaleSheetLayoutView="100" workbookViewId="0">
      <selection activeCell="C16" sqref="C16:G16"/>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t="s">
        <v>851</v>
      </c>
      <c r="E1" s="1735"/>
      <c r="F1" s="2118" t="s">
        <v>3529</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6" customFormat="1" ht="28.5" customHeight="1">
      <c r="A2" s="393" t="s">
        <v>427</v>
      </c>
      <c r="B2" s="2077">
        <f>ROUND(B3*D3/10000,0)</f>
        <v>111317</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34447</v>
      </c>
      <c r="C3" s="786" t="s">
        <v>669</v>
      </c>
      <c r="D3" s="785">
        <f>SUMIF('数据-汇总表'!$C19:$C33,D1,'数据-汇总表'!$E19:$E33)</f>
        <v>32315.351999999999</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592" t="s">
        <v>471</v>
      </c>
      <c r="D4" s="3593"/>
      <c r="E4" s="3631" t="s">
        <v>472</v>
      </c>
      <c r="F4" s="3632"/>
      <c r="G4" s="3592" t="s">
        <v>473</v>
      </c>
      <c r="H4" s="3593"/>
      <c r="I4" s="3592" t="s">
        <v>474</v>
      </c>
      <c r="J4" s="3593"/>
      <c r="K4" s="787" t="s">
        <v>475</v>
      </c>
      <c r="L4" s="1741"/>
      <c r="M4" s="1742"/>
      <c r="N4" s="1742"/>
      <c r="O4" s="1742"/>
      <c r="P4" s="3594" t="s">
        <v>476</v>
      </c>
      <c r="Q4" s="3595"/>
      <c r="R4" s="3600" t="s">
        <v>472</v>
      </c>
      <c r="S4" s="3601"/>
      <c r="T4" s="3600" t="s">
        <v>473</v>
      </c>
      <c r="U4" s="3601"/>
      <c r="V4" s="3587" t="s">
        <v>474</v>
      </c>
      <c r="W4" s="3587"/>
      <c r="X4" s="1302"/>
      <c r="Y4" s="3600" t="s">
        <v>476</v>
      </c>
      <c r="Z4" s="3601"/>
      <c r="AA4" s="3589" t="s">
        <v>472</v>
      </c>
      <c r="AB4" s="3589" t="s">
        <v>473</v>
      </c>
      <c r="AC4" s="3589" t="s">
        <v>474</v>
      </c>
    </row>
    <row r="5" spans="1:29" ht="15">
      <c r="A5" s="466"/>
      <c r="B5" s="467"/>
      <c r="C5" s="3608" t="s">
        <v>2186</v>
      </c>
      <c r="D5" s="3609"/>
      <c r="E5" s="3697" t="s">
        <v>3508</v>
      </c>
      <c r="F5" s="3634"/>
      <c r="G5" s="3696" t="s">
        <v>3526</v>
      </c>
      <c r="H5" s="3609"/>
      <c r="I5" s="3696" t="s">
        <v>3527</v>
      </c>
      <c r="J5" s="3609"/>
      <c r="K5" s="788"/>
      <c r="L5" s="1741"/>
      <c r="M5" s="1742"/>
      <c r="N5" s="1742"/>
      <c r="O5" s="1742"/>
      <c r="P5" s="3596"/>
      <c r="Q5" s="3597"/>
      <c r="R5" s="3602"/>
      <c r="S5" s="3603"/>
      <c r="T5" s="3602"/>
      <c r="U5" s="3603"/>
      <c r="V5" s="3587"/>
      <c r="W5" s="3587"/>
      <c r="X5" s="1302"/>
      <c r="Y5" s="3602"/>
      <c r="Z5" s="3603"/>
      <c r="AA5" s="3590"/>
      <c r="AB5" s="3590"/>
      <c r="AC5" s="3590"/>
    </row>
    <row r="6" spans="1:29" ht="15.75" thickBot="1">
      <c r="A6" s="468"/>
      <c r="B6" s="469"/>
      <c r="C6" s="3606" t="s">
        <v>2190</v>
      </c>
      <c r="D6" s="3607"/>
      <c r="E6" s="3629" t="s">
        <v>2190</v>
      </c>
      <c r="F6" s="3630"/>
      <c r="G6" s="3606" t="s">
        <v>2190</v>
      </c>
      <c r="H6" s="3607"/>
      <c r="I6" s="3606" t="s">
        <v>2190</v>
      </c>
      <c r="J6" s="3607"/>
      <c r="K6" s="788" t="s">
        <v>477</v>
      </c>
      <c r="L6" s="1741"/>
      <c r="M6" s="1742"/>
      <c r="N6" s="1742"/>
      <c r="O6" s="1742"/>
      <c r="P6" s="3598"/>
      <c r="Q6" s="3599"/>
      <c r="R6" s="3602"/>
      <c r="S6" s="3603"/>
      <c r="T6" s="3604"/>
      <c r="U6" s="3605"/>
      <c r="V6" s="3587"/>
      <c r="W6" s="3587"/>
      <c r="X6" s="1302"/>
      <c r="Y6" s="3604"/>
      <c r="Z6" s="3605"/>
      <c r="AA6" s="3591"/>
      <c r="AB6" s="3591"/>
      <c r="AC6" s="3591"/>
    </row>
    <row r="7" spans="1:29" s="1060" customFormat="1" ht="15.75" thickBot="1">
      <c r="A7" s="2208"/>
      <c r="B7" s="2215" t="s">
        <v>478</v>
      </c>
      <c r="C7" s="470">
        <f>'数据-取费表'!B2</f>
        <v>45541</v>
      </c>
      <c r="D7" s="471">
        <v>100</v>
      </c>
      <c r="E7" s="472">
        <v>45536</v>
      </c>
      <c r="F7" s="473">
        <f>SUMIF(58:58,YEAR(E7)&amp;"-"&amp;MONTH(E7),59:59)</f>
        <v>100</v>
      </c>
      <c r="G7" s="472">
        <v>45536</v>
      </c>
      <c r="H7" s="471">
        <f>SUMIF(58:58,YEAR(G7)&amp;"-"&amp;MONTH(G7),59:59)</f>
        <v>100</v>
      </c>
      <c r="I7" s="472">
        <v>45536</v>
      </c>
      <c r="J7" s="471">
        <f>SUMIF(58:58,YEAR(I7)&amp;"-"&amp;MONTH(I7),59:59)</f>
        <v>100</v>
      </c>
      <c r="K7" s="789"/>
      <c r="L7" s="1743"/>
      <c r="M7" s="1640"/>
      <c r="N7" s="1640"/>
      <c r="O7" s="1640"/>
      <c r="P7" s="3616" t="s">
        <v>479</v>
      </c>
      <c r="Q7" s="3618"/>
      <c r="R7" s="1303" t="s">
        <v>10</v>
      </c>
      <c r="S7" s="1304">
        <f t="shared" ref="S7:S15" si="0">F7</f>
        <v>100</v>
      </c>
      <c r="T7" s="1303" t="s">
        <v>10</v>
      </c>
      <c r="U7" s="1304">
        <f t="shared" ref="U7:U15" si="1">H7</f>
        <v>100</v>
      </c>
      <c r="V7" s="1303" t="s">
        <v>10</v>
      </c>
      <c r="W7" s="1304">
        <f t="shared" ref="W7:W15" si="2">J7</f>
        <v>100</v>
      </c>
      <c r="X7" s="1305"/>
      <c r="Y7" s="3616" t="s">
        <v>479</v>
      </c>
      <c r="Z7" s="3617"/>
      <c r="AA7" s="997">
        <f>D7/F7</f>
        <v>1</v>
      </c>
      <c r="AB7" s="997">
        <f>D7/H7</f>
        <v>1</v>
      </c>
      <c r="AC7" s="997">
        <f>D7/J7</f>
        <v>1</v>
      </c>
    </row>
    <row r="8" spans="1:29" s="1060"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616" t="s">
        <v>482</v>
      </c>
      <c r="Q8" s="3617"/>
      <c r="R8" s="1303" t="s">
        <v>10</v>
      </c>
      <c r="S8" s="1304">
        <f t="shared" si="0"/>
        <v>100</v>
      </c>
      <c r="T8" s="1303" t="s">
        <v>10</v>
      </c>
      <c r="U8" s="1304">
        <f t="shared" si="1"/>
        <v>100</v>
      </c>
      <c r="V8" s="1303" t="s">
        <v>10</v>
      </c>
      <c r="W8" s="1304">
        <f t="shared" si="2"/>
        <v>100</v>
      </c>
      <c r="X8" s="1305"/>
      <c r="Y8" s="3616" t="s">
        <v>482</v>
      </c>
      <c r="Z8" s="3617"/>
      <c r="AA8" s="997">
        <f t="shared" ref="AA8:AA46" si="3">D8/F8</f>
        <v>1</v>
      </c>
      <c r="AB8" s="997">
        <f t="shared" ref="AB8:AB46" si="4">D8/H8</f>
        <v>1</v>
      </c>
      <c r="AC8" s="997">
        <f t="shared" ref="AC8:AC46" si="5">D8/J8</f>
        <v>1</v>
      </c>
    </row>
    <row r="9" spans="1:29" s="1060" customFormat="1" ht="15">
      <c r="A9" s="2210"/>
      <c r="B9" s="2217" t="s">
        <v>2038</v>
      </c>
      <c r="C9" s="3409" t="s">
        <v>3509</v>
      </c>
      <c r="D9" s="154">
        <v>100</v>
      </c>
      <c r="E9" s="793"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586" t="s">
        <v>484</v>
      </c>
      <c r="Q9" s="818" t="str">
        <f t="shared" ref="Q9:Q15" si="6">B9</f>
        <v>用途</v>
      </c>
      <c r="R9" s="1303" t="s">
        <v>5</v>
      </c>
      <c r="S9" s="1304">
        <f t="shared" si="0"/>
        <v>100</v>
      </c>
      <c r="T9" s="1303" t="s">
        <v>5</v>
      </c>
      <c r="U9" s="1304">
        <f t="shared" si="1"/>
        <v>100</v>
      </c>
      <c r="V9" s="1303" t="s">
        <v>5</v>
      </c>
      <c r="W9" s="1304">
        <f t="shared" si="2"/>
        <v>100</v>
      </c>
      <c r="X9" s="1305"/>
      <c r="Y9" s="3534"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586"/>
      <c r="Q10" s="818" t="str">
        <f t="shared" si="6"/>
        <v>土地使用年限（年）</v>
      </c>
      <c r="R10" s="1303" t="s">
        <v>5</v>
      </c>
      <c r="S10" s="1304">
        <f t="shared" si="0"/>
        <v>100</v>
      </c>
      <c r="T10" s="1303" t="s">
        <v>5</v>
      </c>
      <c r="U10" s="1304">
        <f t="shared" si="1"/>
        <v>100</v>
      </c>
      <c r="V10" s="1303" t="s">
        <v>5</v>
      </c>
      <c r="W10" s="1304">
        <f t="shared" si="2"/>
        <v>100</v>
      </c>
      <c r="X10" s="1305"/>
      <c r="Y10" s="3534"/>
      <c r="Z10" s="997" t="str">
        <f t="shared" si="7"/>
        <v>土地使用年限（年）</v>
      </c>
      <c r="AA10" s="997">
        <f t="shared" si="3"/>
        <v>1</v>
      </c>
      <c r="AB10" s="997">
        <f t="shared" si="4"/>
        <v>1</v>
      </c>
      <c r="AC10" s="997">
        <f t="shared" si="5"/>
        <v>1</v>
      </c>
    </row>
    <row r="11" spans="1:29" ht="15">
      <c r="A11" s="2212"/>
      <c r="B11" s="2216" t="s">
        <v>2040</v>
      </c>
      <c r="C11" s="483">
        <f>'比较法-住宅、综合'!C13</f>
        <v>1.6</v>
      </c>
      <c r="D11" s="235">
        <v>100</v>
      </c>
      <c r="E11" s="484">
        <v>1.6</v>
      </c>
      <c r="F11" s="477">
        <f>LOOKUP(E11,68:68,69:69)-LOOKUP(C11,68:68,69:69)+100</f>
        <v>100</v>
      </c>
      <c r="G11" s="483">
        <v>1.6</v>
      </c>
      <c r="H11" s="235">
        <f>LOOKUP(G11,68:68,69:69)-LOOKUP(C11,68:68,69:69)+100</f>
        <v>100</v>
      </c>
      <c r="I11" s="483">
        <v>2</v>
      </c>
      <c r="J11" s="235">
        <f>LOOKUP(I11,68:68,69:69)-LOOKUP(C11,68:68,69:69)+100</f>
        <v>98</v>
      </c>
      <c r="K11" s="794">
        <v>2</v>
      </c>
      <c r="L11" s="1747"/>
      <c r="M11" s="1742"/>
      <c r="N11" s="1742"/>
      <c r="O11" s="1748"/>
      <c r="P11" s="3586"/>
      <c r="Q11" s="818" t="str">
        <f t="shared" si="6"/>
        <v>容积率</v>
      </c>
      <c r="R11" s="1303" t="s">
        <v>8</v>
      </c>
      <c r="S11" s="1304">
        <f t="shared" si="0"/>
        <v>100</v>
      </c>
      <c r="T11" s="1303" t="s">
        <v>8</v>
      </c>
      <c r="U11" s="1304">
        <f t="shared" si="1"/>
        <v>100</v>
      </c>
      <c r="V11" s="1303" t="s">
        <v>8</v>
      </c>
      <c r="W11" s="1304">
        <f t="shared" si="2"/>
        <v>98</v>
      </c>
      <c r="X11" s="1305"/>
      <c r="Y11" s="3534"/>
      <c r="Z11" s="997" t="str">
        <f t="shared" si="7"/>
        <v>容积率</v>
      </c>
      <c r="AA11" s="997">
        <f t="shared" si="3"/>
        <v>1</v>
      </c>
      <c r="AB11" s="997">
        <f t="shared" si="4"/>
        <v>1</v>
      </c>
      <c r="AC11" s="997">
        <f t="shared" si="5"/>
        <v>1.0204081632653061</v>
      </c>
    </row>
    <row r="12" spans="1:29" s="1060"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86"/>
      <c r="Q12" s="818">
        <f t="shared" si="6"/>
        <v>111</v>
      </c>
      <c r="R12" s="1303" t="s">
        <v>8</v>
      </c>
      <c r="S12" s="1304">
        <f t="shared" si="0"/>
        <v>100</v>
      </c>
      <c r="T12" s="1303" t="s">
        <v>8</v>
      </c>
      <c r="U12" s="1304">
        <f t="shared" si="1"/>
        <v>100</v>
      </c>
      <c r="V12" s="1303" t="s">
        <v>8</v>
      </c>
      <c r="W12" s="1304">
        <f t="shared" si="2"/>
        <v>100</v>
      </c>
      <c r="X12" s="1305"/>
      <c r="Y12" s="3534"/>
      <c r="Z12" s="997">
        <f t="shared" si="7"/>
        <v>111</v>
      </c>
      <c r="AA12" s="997">
        <f>D12/F12</f>
        <v>1</v>
      </c>
      <c r="AB12" s="997">
        <f>D12/H12</f>
        <v>1</v>
      </c>
      <c r="AC12" s="997">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86"/>
      <c r="Q13" s="818">
        <f t="shared" si="6"/>
        <v>111</v>
      </c>
      <c r="R13" s="1303" t="s">
        <v>8</v>
      </c>
      <c r="S13" s="1304">
        <f t="shared" si="0"/>
        <v>100</v>
      </c>
      <c r="T13" s="1303" t="s">
        <v>8</v>
      </c>
      <c r="U13" s="1304">
        <f t="shared" si="1"/>
        <v>100</v>
      </c>
      <c r="V13" s="1303" t="s">
        <v>8</v>
      </c>
      <c r="W13" s="1304">
        <f t="shared" si="2"/>
        <v>100</v>
      </c>
      <c r="X13" s="1305"/>
      <c r="Y13" s="3534"/>
      <c r="Z13" s="997">
        <f t="shared" si="7"/>
        <v>111</v>
      </c>
      <c r="AA13" s="997">
        <f t="shared" si="3"/>
        <v>1</v>
      </c>
      <c r="AB13" s="997">
        <f t="shared" si="4"/>
        <v>1</v>
      </c>
      <c r="AC13" s="997">
        <f t="shared" si="5"/>
        <v>1</v>
      </c>
    </row>
    <row r="14" spans="1:29" ht="15.75"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86"/>
      <c r="Q14" s="818">
        <f t="shared" si="6"/>
        <v>111</v>
      </c>
      <c r="R14" s="1303" t="s">
        <v>8</v>
      </c>
      <c r="S14" s="1304">
        <f t="shared" si="0"/>
        <v>100</v>
      </c>
      <c r="T14" s="1303" t="s">
        <v>8</v>
      </c>
      <c r="U14" s="1304">
        <f t="shared" si="1"/>
        <v>100</v>
      </c>
      <c r="V14" s="1303" t="s">
        <v>8</v>
      </c>
      <c r="W14" s="1304">
        <f t="shared" si="2"/>
        <v>100</v>
      </c>
      <c r="X14" s="1305"/>
      <c r="Y14" s="3534"/>
      <c r="Z14" s="997">
        <f t="shared" si="7"/>
        <v>111</v>
      </c>
      <c r="AA14" s="997">
        <f t="shared" si="3"/>
        <v>1</v>
      </c>
      <c r="AB14" s="997">
        <f t="shared" si="4"/>
        <v>1</v>
      </c>
      <c r="AC14" s="997">
        <f t="shared" si="5"/>
        <v>1</v>
      </c>
    </row>
    <row r="15" spans="1:29" ht="15">
      <c r="A15" s="2206"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f>'比较法-住宅、综合'!K17</f>
        <v>3</v>
      </c>
      <c r="L15" s="1749"/>
      <c r="M15" s="1742"/>
      <c r="N15" s="1742"/>
      <c r="O15" s="1748"/>
      <c r="P15" s="3619" t="s">
        <v>489</v>
      </c>
      <c r="Q15" s="1306" t="str">
        <f t="shared" si="6"/>
        <v>居住社区成熟度</v>
      </c>
      <c r="R15" s="1307" t="s">
        <v>8</v>
      </c>
      <c r="S15" s="1308">
        <f t="shared" si="0"/>
        <v>103</v>
      </c>
      <c r="T15" s="1307" t="s">
        <v>8</v>
      </c>
      <c r="U15" s="1308">
        <f t="shared" si="1"/>
        <v>100</v>
      </c>
      <c r="V15" s="1307" t="s">
        <v>8</v>
      </c>
      <c r="W15" s="1308">
        <f t="shared" si="2"/>
        <v>103</v>
      </c>
      <c r="X15" s="1302"/>
      <c r="Y15" s="3619" t="s">
        <v>489</v>
      </c>
      <c r="Z15" s="1309" t="str">
        <f t="shared" si="7"/>
        <v>居住社区成熟度</v>
      </c>
      <c r="AA15" s="1309">
        <f t="shared" si="3"/>
        <v>0.970873786407767</v>
      </c>
      <c r="AB15" s="1309">
        <f t="shared" si="4"/>
        <v>1</v>
      </c>
      <c r="AC15" s="1309">
        <f t="shared" si="5"/>
        <v>0.970873786407767</v>
      </c>
    </row>
    <row r="16" spans="1:29" ht="15">
      <c r="A16" s="482"/>
      <c r="B16" s="799"/>
      <c r="C16" s="526" t="s">
        <v>3355</v>
      </c>
      <c r="D16" s="505"/>
      <c r="E16" s="506" t="s">
        <v>3500</v>
      </c>
      <c r="F16" s="507"/>
      <c r="G16" s="526" t="s">
        <v>3355</v>
      </c>
      <c r="H16" s="509"/>
      <c r="I16" s="526" t="s">
        <v>3500</v>
      </c>
      <c r="J16" s="505"/>
      <c r="K16" s="800"/>
      <c r="L16" s="1749"/>
      <c r="M16" s="1742"/>
      <c r="N16" s="1742"/>
      <c r="O16" s="1748"/>
      <c r="P16" s="3620"/>
      <c r="Q16" s="1306"/>
      <c r="R16" s="1307"/>
      <c r="S16" s="1308"/>
      <c r="T16" s="1307"/>
      <c r="U16" s="1308"/>
      <c r="V16" s="1307"/>
      <c r="W16" s="1308"/>
      <c r="X16" s="1302"/>
      <c r="Y16" s="3620"/>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f>'比较法-住宅、综合'!K23</f>
        <v>2</v>
      </c>
      <c r="L17" s="1749"/>
      <c r="M17" s="1742"/>
      <c r="N17" s="1742"/>
      <c r="O17" s="1748"/>
      <c r="P17" s="3620"/>
      <c r="Q17" s="1306" t="str">
        <f>B17</f>
        <v>交通便捷度</v>
      </c>
      <c r="R17" s="1307" t="s">
        <v>8</v>
      </c>
      <c r="S17" s="1308">
        <f>F17</f>
        <v>100</v>
      </c>
      <c r="T17" s="1307" t="s">
        <v>8</v>
      </c>
      <c r="U17" s="1308">
        <f>H17</f>
        <v>100</v>
      </c>
      <c r="V17" s="1307" t="s">
        <v>8</v>
      </c>
      <c r="W17" s="1308">
        <f>J17</f>
        <v>100</v>
      </c>
      <c r="X17" s="1302"/>
      <c r="Y17" s="3620"/>
      <c r="Z17" s="1309" t="str">
        <f>Q17</f>
        <v>交通便捷度</v>
      </c>
      <c r="AA17" s="1309">
        <f t="shared" si="3"/>
        <v>1</v>
      </c>
      <c r="AB17" s="1309">
        <f t="shared" si="4"/>
        <v>1</v>
      </c>
      <c r="AC17" s="1309">
        <f t="shared" si="5"/>
        <v>1</v>
      </c>
    </row>
    <row r="18" spans="1:29" ht="15">
      <c r="A18" s="482"/>
      <c r="B18" s="544"/>
      <c r="C18" s="802" t="s">
        <v>3355</v>
      </c>
      <c r="D18" s="509"/>
      <c r="E18" s="802" t="s">
        <v>3355</v>
      </c>
      <c r="F18" s="513"/>
      <c r="G18" s="526" t="s">
        <v>3355</v>
      </c>
      <c r="H18" s="505"/>
      <c r="I18" s="526" t="s">
        <v>3355</v>
      </c>
      <c r="J18" s="505"/>
      <c r="K18" s="800"/>
      <c r="L18" s="1749"/>
      <c r="M18" s="1742"/>
      <c r="N18" s="1742"/>
      <c r="O18" s="1748"/>
      <c r="P18" s="3620"/>
      <c r="Q18" s="1306"/>
      <c r="R18" s="1307"/>
      <c r="S18" s="1308"/>
      <c r="T18" s="1307"/>
      <c r="U18" s="1308"/>
      <c r="V18" s="1307"/>
      <c r="W18" s="1308"/>
      <c r="X18" s="1302"/>
      <c r="Y18" s="3620"/>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f>'比较法-住宅、综合'!K29</f>
        <v>3</v>
      </c>
      <c r="L19" s="1749"/>
      <c r="M19" s="1742"/>
      <c r="N19" s="1742"/>
      <c r="O19" s="1748"/>
      <c r="P19" s="3620"/>
      <c r="Q19" s="1306" t="str">
        <f>B19</f>
        <v>公共配套设施</v>
      </c>
      <c r="R19" s="1307" t="s">
        <v>8</v>
      </c>
      <c r="S19" s="1308">
        <f>F19</f>
        <v>100</v>
      </c>
      <c r="T19" s="1307" t="s">
        <v>8</v>
      </c>
      <c r="U19" s="1308">
        <f>H19</f>
        <v>100</v>
      </c>
      <c r="V19" s="1307" t="s">
        <v>8</v>
      </c>
      <c r="W19" s="1308">
        <f>J19</f>
        <v>100</v>
      </c>
      <c r="X19" s="1302"/>
      <c r="Y19" s="3620"/>
      <c r="Z19" s="1309" t="str">
        <f>Q19</f>
        <v>公共配套设施</v>
      </c>
      <c r="AA19" s="1309">
        <f t="shared" si="3"/>
        <v>1</v>
      </c>
      <c r="AB19" s="1309">
        <f t="shared" si="4"/>
        <v>1</v>
      </c>
      <c r="AC19" s="1309">
        <f t="shared" si="5"/>
        <v>1</v>
      </c>
    </row>
    <row r="20" spans="1:29" ht="15">
      <c r="A20" s="482"/>
      <c r="B20" s="544"/>
      <c r="C20" s="802" t="s">
        <v>3355</v>
      </c>
      <c r="D20" s="505"/>
      <c r="E20" s="802" t="s">
        <v>3355</v>
      </c>
      <c r="F20" s="507"/>
      <c r="G20" s="526" t="s">
        <v>3355</v>
      </c>
      <c r="H20" s="505"/>
      <c r="I20" s="526" t="s">
        <v>3355</v>
      </c>
      <c r="J20" s="505"/>
      <c r="K20" s="800"/>
      <c r="L20" s="1749"/>
      <c r="M20" s="1742"/>
      <c r="N20" s="1742"/>
      <c r="O20" s="1748"/>
      <c r="P20" s="3620"/>
      <c r="Q20" s="1306"/>
      <c r="R20" s="1307"/>
      <c r="S20" s="1308"/>
      <c r="T20" s="1307"/>
      <c r="U20" s="1308"/>
      <c r="V20" s="1307"/>
      <c r="W20" s="1308"/>
      <c r="X20" s="1302"/>
      <c r="Y20" s="3620"/>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20"/>
      <c r="Q21" s="1306" t="str">
        <f>B21</f>
        <v>基础设施水平</v>
      </c>
      <c r="R21" s="1307" t="s">
        <v>8</v>
      </c>
      <c r="S21" s="1308">
        <f>F21</f>
        <v>100</v>
      </c>
      <c r="T21" s="1307" t="s">
        <v>8</v>
      </c>
      <c r="U21" s="1308">
        <f>H21</f>
        <v>100</v>
      </c>
      <c r="V21" s="1307" t="s">
        <v>8</v>
      </c>
      <c r="W21" s="1308">
        <f>J21</f>
        <v>100</v>
      </c>
      <c r="X21" s="1302"/>
      <c r="Y21" s="3620"/>
      <c r="Z21" s="1309" t="str">
        <f>Q21</f>
        <v>基础设施水平</v>
      </c>
      <c r="AA21" s="1309">
        <f>D21/F21</f>
        <v>1</v>
      </c>
      <c r="AB21" s="1309">
        <f>D21/H21</f>
        <v>1</v>
      </c>
      <c r="AC21" s="1309">
        <f>D21/J21</f>
        <v>1</v>
      </c>
    </row>
    <row r="22" spans="1:29" ht="15">
      <c r="A22" s="482"/>
      <c r="B22" s="844"/>
      <c r="C22" s="802" t="s">
        <v>3502</v>
      </c>
      <c r="D22" s="505"/>
      <c r="E22" s="802" t="s">
        <v>3502</v>
      </c>
      <c r="F22" s="507"/>
      <c r="G22" s="802" t="s">
        <v>3502</v>
      </c>
      <c r="H22" s="505"/>
      <c r="I22" s="802" t="s">
        <v>3502</v>
      </c>
      <c r="J22" s="505"/>
      <c r="K22" s="2058"/>
      <c r="L22" s="1749"/>
      <c r="M22" s="1742"/>
      <c r="N22" s="1742"/>
      <c r="O22" s="1748"/>
      <c r="P22" s="3620"/>
      <c r="Q22" s="1306"/>
      <c r="R22" s="1307"/>
      <c r="S22" s="1308"/>
      <c r="T22" s="1307"/>
      <c r="U22" s="1308"/>
      <c r="V22" s="1307"/>
      <c r="W22" s="1308"/>
      <c r="X22" s="1302"/>
      <c r="Y22" s="3620"/>
      <c r="Z22" s="1309"/>
      <c r="AA22" s="1309">
        <v>1</v>
      </c>
      <c r="AB22" s="1309">
        <v>1</v>
      </c>
      <c r="AC22" s="1309">
        <v>1</v>
      </c>
    </row>
    <row r="23" spans="1:29" ht="15">
      <c r="A23" s="482"/>
      <c r="B23" s="677" t="s">
        <v>263</v>
      </c>
      <c r="C23" s="801" t="str">
        <f>估价对象房地状况!C9</f>
        <v>一般</v>
      </c>
      <c r="D23" s="509">
        <v>100</v>
      </c>
      <c r="E23" s="512"/>
      <c r="F23" s="513">
        <f>SUMIF(84:84,E24,85:85)-SUMIF(84:84,C24,85:85)+100</f>
        <v>103</v>
      </c>
      <c r="G23" s="514"/>
      <c r="H23" s="509">
        <f>SUMIF(84:84,G24,85:85)-SUMIF(84:84,C24,85:85)+100</f>
        <v>100</v>
      </c>
      <c r="I23" s="512"/>
      <c r="J23" s="509">
        <f>SUMIF(84:84,I24,85:85)-SUMIF(84:84,C24,85:85)+100</f>
        <v>103</v>
      </c>
      <c r="K23" s="798">
        <f>'比较法-住宅、综合'!K27</f>
        <v>3</v>
      </c>
      <c r="L23" s="1749"/>
      <c r="M23" s="1742"/>
      <c r="N23" s="1742"/>
      <c r="O23" s="1748"/>
      <c r="P23" s="3620"/>
      <c r="Q23" s="1306" t="str">
        <f>B23</f>
        <v>自然及人文环境</v>
      </c>
      <c r="R23" s="1307" t="s">
        <v>8</v>
      </c>
      <c r="S23" s="1308">
        <f>F23</f>
        <v>103</v>
      </c>
      <c r="T23" s="1307" t="s">
        <v>8</v>
      </c>
      <c r="U23" s="1308">
        <f>H23</f>
        <v>100</v>
      </c>
      <c r="V23" s="1307" t="s">
        <v>8</v>
      </c>
      <c r="W23" s="1308">
        <f>J23</f>
        <v>103</v>
      </c>
      <c r="X23" s="1302"/>
      <c r="Y23" s="3620"/>
      <c r="Z23" s="1309" t="str">
        <f>Q23</f>
        <v>自然及人文环境</v>
      </c>
      <c r="AA23" s="1309">
        <f t="shared" si="3"/>
        <v>0.970873786407767</v>
      </c>
      <c r="AB23" s="1309">
        <f t="shared" si="4"/>
        <v>1</v>
      </c>
      <c r="AC23" s="1309">
        <f t="shared" si="5"/>
        <v>0.970873786407767</v>
      </c>
    </row>
    <row r="24" spans="1:29" ht="15">
      <c r="A24" s="482"/>
      <c r="B24" s="544"/>
      <c r="C24" s="526" t="s">
        <v>3355</v>
      </c>
      <c r="D24" s="505"/>
      <c r="E24" s="526" t="s">
        <v>3500</v>
      </c>
      <c r="F24" s="507"/>
      <c r="G24" s="526" t="s">
        <v>3355</v>
      </c>
      <c r="H24" s="505"/>
      <c r="I24" s="526" t="s">
        <v>3500</v>
      </c>
      <c r="J24" s="505"/>
      <c r="K24" s="800"/>
      <c r="L24" s="1749"/>
      <c r="M24" s="1742"/>
      <c r="N24" s="1742"/>
      <c r="O24" s="1748"/>
      <c r="P24" s="3620"/>
      <c r="Q24" s="1306"/>
      <c r="R24" s="1307"/>
      <c r="S24" s="1308"/>
      <c r="T24" s="1307"/>
      <c r="U24" s="1308"/>
      <c r="V24" s="1307"/>
      <c r="W24" s="1308"/>
      <c r="X24" s="1302"/>
      <c r="Y24" s="3620"/>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20"/>
      <c r="Q25" s="1306" t="str">
        <f t="shared" ref="Q25:Q46" si="8">B25</f>
        <v>楼层-1</v>
      </c>
      <c r="R25" s="1307" t="s">
        <v>8</v>
      </c>
      <c r="S25" s="1308">
        <f>F25</f>
        <v>100</v>
      </c>
      <c r="T25" s="1307" t="s">
        <v>8</v>
      </c>
      <c r="U25" s="1308">
        <f>H25</f>
        <v>100</v>
      </c>
      <c r="V25" s="1307" t="s">
        <v>8</v>
      </c>
      <c r="W25" s="1308">
        <f>J25</f>
        <v>100</v>
      </c>
      <c r="X25" s="1302"/>
      <c r="Y25" s="3620"/>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20"/>
      <c r="Q26" s="1306" t="str">
        <f t="shared" si="8"/>
        <v>朝向</v>
      </c>
      <c r="R26" s="1307" t="s">
        <v>8</v>
      </c>
      <c r="S26" s="1308">
        <f>F26</f>
        <v>100</v>
      </c>
      <c r="T26" s="1307" t="s">
        <v>8</v>
      </c>
      <c r="U26" s="1308">
        <f>H26</f>
        <v>100</v>
      </c>
      <c r="V26" s="1307" t="s">
        <v>8</v>
      </c>
      <c r="W26" s="1308">
        <f>J26</f>
        <v>100</v>
      </c>
      <c r="X26" s="1302"/>
      <c r="Y26" s="3620"/>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20"/>
      <c r="Q27" s="818" t="str">
        <f t="shared" si="8"/>
        <v>道路级别</v>
      </c>
      <c r="R27" s="1303" t="s">
        <v>8</v>
      </c>
      <c r="S27" s="1304">
        <f>F27</f>
        <v>100</v>
      </c>
      <c r="T27" s="1303" t="s">
        <v>8</v>
      </c>
      <c r="U27" s="1304">
        <f>H27</f>
        <v>100</v>
      </c>
      <c r="V27" s="1303" t="s">
        <v>8</v>
      </c>
      <c r="W27" s="1304">
        <f>J27</f>
        <v>100</v>
      </c>
      <c r="X27" s="1305"/>
      <c r="Y27" s="3620"/>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20"/>
      <c r="Q28" s="1306">
        <f t="shared" si="8"/>
        <v>111</v>
      </c>
      <c r="R28" s="1307" t="s">
        <v>8</v>
      </c>
      <c r="S28" s="1308">
        <f t="shared" ref="S28:S46" si="9">F28</f>
        <v>100</v>
      </c>
      <c r="T28" s="1307" t="s">
        <v>8</v>
      </c>
      <c r="U28" s="1308">
        <f t="shared" ref="U28:U46" si="10">H28</f>
        <v>100</v>
      </c>
      <c r="V28" s="1307" t="s">
        <v>8</v>
      </c>
      <c r="W28" s="1308">
        <f t="shared" ref="W28:W46" si="11">J28</f>
        <v>100</v>
      </c>
      <c r="X28" s="1302"/>
      <c r="Y28" s="3620"/>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20"/>
      <c r="Q29" s="1306">
        <f t="shared" si="8"/>
        <v>111</v>
      </c>
      <c r="R29" s="1307" t="s">
        <v>8</v>
      </c>
      <c r="S29" s="1308">
        <f t="shared" si="9"/>
        <v>100</v>
      </c>
      <c r="T29" s="1307" t="s">
        <v>8</v>
      </c>
      <c r="U29" s="1308">
        <f t="shared" si="10"/>
        <v>100</v>
      </c>
      <c r="V29" s="1307" t="s">
        <v>8</v>
      </c>
      <c r="W29" s="1308">
        <f t="shared" si="11"/>
        <v>100</v>
      </c>
      <c r="X29" s="1302"/>
      <c r="Y29" s="3620"/>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20"/>
      <c r="Q30" s="1306">
        <f t="shared" si="8"/>
        <v>111</v>
      </c>
      <c r="R30" s="1307" t="s">
        <v>8</v>
      </c>
      <c r="S30" s="1308">
        <f t="shared" si="9"/>
        <v>100</v>
      </c>
      <c r="T30" s="1307" t="s">
        <v>8</v>
      </c>
      <c r="U30" s="1308">
        <f t="shared" si="10"/>
        <v>100</v>
      </c>
      <c r="V30" s="1307" t="s">
        <v>8</v>
      </c>
      <c r="W30" s="1308">
        <f t="shared" si="11"/>
        <v>100</v>
      </c>
      <c r="X30" s="1302"/>
      <c r="Y30" s="3620"/>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20"/>
      <c r="Q31" s="1306">
        <f t="shared" si="8"/>
        <v>111</v>
      </c>
      <c r="R31" s="1307" t="s">
        <v>8</v>
      </c>
      <c r="S31" s="1308">
        <f t="shared" si="9"/>
        <v>100</v>
      </c>
      <c r="T31" s="1307" t="s">
        <v>8</v>
      </c>
      <c r="U31" s="1308">
        <f t="shared" si="10"/>
        <v>100</v>
      </c>
      <c r="V31" s="1307" t="s">
        <v>8</v>
      </c>
      <c r="W31" s="1308">
        <f t="shared" si="11"/>
        <v>100</v>
      </c>
      <c r="X31" s="1302"/>
      <c r="Y31" s="3620"/>
      <c r="Z31" s="1309">
        <f t="shared" si="12"/>
        <v>111</v>
      </c>
      <c r="AA31" s="1309">
        <f t="shared" si="3"/>
        <v>1</v>
      </c>
      <c r="AB31" s="1309">
        <f t="shared" si="4"/>
        <v>1</v>
      </c>
      <c r="AC31" s="1309">
        <f t="shared" si="5"/>
        <v>1</v>
      </c>
    </row>
    <row r="32" spans="1:29" ht="15">
      <c r="A32" s="2204" t="s">
        <v>2037</v>
      </c>
      <c r="B32" s="156" t="s">
        <v>672</v>
      </c>
      <c r="C32" s="804" t="s">
        <v>3528</v>
      </c>
      <c r="D32" s="546">
        <v>100</v>
      </c>
      <c r="E32" s="804" t="s">
        <v>3528</v>
      </c>
      <c r="F32" s="525">
        <f>SUMIF(100:100,E32,101:101)-SUMIF(100:100,C32,101:101)+100</f>
        <v>100</v>
      </c>
      <c r="G32" s="804" t="s">
        <v>3520</v>
      </c>
      <c r="H32" s="546">
        <f>SUMIF(100:100,G32,101:101)-SUMIF(100:100,C32,101:101)+100</f>
        <v>103</v>
      </c>
      <c r="I32" s="805" t="s">
        <v>3528</v>
      </c>
      <c r="J32" s="490">
        <f>SUMIF(100:100,I32,101:101)-SUMIF(100:100,C32,101:101)+100</f>
        <v>100</v>
      </c>
      <c r="K32" s="794">
        <v>3</v>
      </c>
      <c r="L32" s="1749"/>
      <c r="M32" s="1742"/>
      <c r="N32" s="1742"/>
      <c r="O32" s="1748"/>
      <c r="P32" s="3621" t="s">
        <v>499</v>
      </c>
      <c r="Q32" s="1306" t="str">
        <f t="shared" si="8"/>
        <v>建筑类型</v>
      </c>
      <c r="R32" s="1307" t="s">
        <v>8</v>
      </c>
      <c r="S32" s="1308">
        <f t="shared" si="9"/>
        <v>100</v>
      </c>
      <c r="T32" s="1307" t="s">
        <v>8</v>
      </c>
      <c r="U32" s="1308">
        <f t="shared" si="10"/>
        <v>103</v>
      </c>
      <c r="V32" s="1307" t="s">
        <v>8</v>
      </c>
      <c r="W32" s="1308">
        <f t="shared" si="11"/>
        <v>100</v>
      </c>
      <c r="X32" s="1302"/>
      <c r="Y32" s="3622"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22"/>
      <c r="Q33" s="819" t="str">
        <f t="shared" si="8"/>
        <v>项目建筑规模</v>
      </c>
      <c r="R33" s="1310" t="s">
        <v>8</v>
      </c>
      <c r="S33" s="1311">
        <f t="shared" si="9"/>
        <v>100</v>
      </c>
      <c r="T33" s="1310" t="s">
        <v>8</v>
      </c>
      <c r="U33" s="1311">
        <f t="shared" si="10"/>
        <v>100</v>
      </c>
      <c r="V33" s="1310" t="s">
        <v>8</v>
      </c>
      <c r="W33" s="1311">
        <f t="shared" si="11"/>
        <v>100</v>
      </c>
      <c r="X33" s="1312"/>
      <c r="Y33" s="3622"/>
      <c r="Z33" s="1313" t="str">
        <f t="shared" si="12"/>
        <v>项目建筑规模</v>
      </c>
      <c r="AA33" s="1309">
        <f t="shared" si="3"/>
        <v>1</v>
      </c>
      <c r="AB33" s="1309">
        <f t="shared" si="4"/>
        <v>1</v>
      </c>
      <c r="AC33" s="1309">
        <f t="shared" si="5"/>
        <v>1</v>
      </c>
    </row>
    <row r="34" spans="1:29" ht="15">
      <c r="A34" s="543"/>
      <c r="B34" s="477" t="s">
        <v>674</v>
      </c>
      <c r="C34" s="524" t="s">
        <v>3522</v>
      </c>
      <c r="D34" s="490">
        <v>100</v>
      </c>
      <c r="E34" s="524" t="s">
        <v>3522</v>
      </c>
      <c r="F34" s="525">
        <f>SUMIF(105:105,E34,106:106)-SUMIF(105:105,C34,106:106)+100</f>
        <v>100</v>
      </c>
      <c r="G34" s="524" t="s">
        <v>3522</v>
      </c>
      <c r="H34" s="490">
        <f>SUMIF(105:105,G34,106:106)-SUMIF(105:105,C34,106:106)+100</f>
        <v>100</v>
      </c>
      <c r="I34" s="524" t="s">
        <v>3522</v>
      </c>
      <c r="J34" s="490">
        <f>SUMIF(105:105,I34,106:106)-SUMIF(105:105,C34,106:106)+100</f>
        <v>100</v>
      </c>
      <c r="K34" s="794">
        <v>2</v>
      </c>
      <c r="L34" s="1749"/>
      <c r="M34" s="1742"/>
      <c r="N34" s="1742"/>
      <c r="O34" s="1748"/>
      <c r="P34" s="3622"/>
      <c r="Q34" s="1306" t="str">
        <f t="shared" si="8"/>
        <v>建筑结构</v>
      </c>
      <c r="R34" s="1307" t="s">
        <v>8</v>
      </c>
      <c r="S34" s="1308">
        <f t="shared" si="9"/>
        <v>100</v>
      </c>
      <c r="T34" s="1307" t="s">
        <v>8</v>
      </c>
      <c r="U34" s="1308">
        <f t="shared" si="10"/>
        <v>100</v>
      </c>
      <c r="V34" s="1307" t="s">
        <v>8</v>
      </c>
      <c r="W34" s="1308">
        <f t="shared" si="11"/>
        <v>100</v>
      </c>
      <c r="X34" s="1302"/>
      <c r="Y34" s="3622"/>
      <c r="Z34" s="1309" t="str">
        <f t="shared" si="12"/>
        <v>建筑结构</v>
      </c>
      <c r="AA34" s="1309">
        <f t="shared" si="3"/>
        <v>1</v>
      </c>
      <c r="AB34" s="1309">
        <f t="shared" si="4"/>
        <v>1</v>
      </c>
      <c r="AC34" s="1309">
        <f t="shared" si="5"/>
        <v>1</v>
      </c>
    </row>
    <row r="35" spans="1:29" ht="15">
      <c r="A35" s="543"/>
      <c r="B35" s="477" t="s">
        <v>675</v>
      </c>
      <c r="C35" s="548" t="s">
        <v>3523</v>
      </c>
      <c r="D35" s="490">
        <v>100</v>
      </c>
      <c r="E35" s="548" t="s">
        <v>3523</v>
      </c>
      <c r="F35" s="525">
        <f>SUMIF(107:107,E35,108:108)-SUMIF(107:107,C35,108:108)+100</f>
        <v>100</v>
      </c>
      <c r="G35" s="548" t="s">
        <v>3523</v>
      </c>
      <c r="H35" s="490">
        <f>SUMIF(107:107,G35,108:108)-SUMIF(107:107,C35,108:108)+100</f>
        <v>100</v>
      </c>
      <c r="I35" s="548" t="s">
        <v>3523</v>
      </c>
      <c r="J35" s="490">
        <f>SUMIF(107:107,I35,108:108)-SUMIF(107:107,C35,108:108)+100</f>
        <v>100</v>
      </c>
      <c r="K35" s="794">
        <v>2</v>
      </c>
      <c r="L35" s="1749"/>
      <c r="M35" s="1742"/>
      <c r="N35" s="1742"/>
      <c r="O35" s="1748"/>
      <c r="P35" s="3622"/>
      <c r="Q35" s="1306" t="str">
        <f t="shared" si="8"/>
        <v>建筑品质</v>
      </c>
      <c r="R35" s="1307" t="s">
        <v>8</v>
      </c>
      <c r="S35" s="1308">
        <f t="shared" si="9"/>
        <v>100</v>
      </c>
      <c r="T35" s="1307" t="s">
        <v>8</v>
      </c>
      <c r="U35" s="1308">
        <f t="shared" si="10"/>
        <v>100</v>
      </c>
      <c r="V35" s="1307" t="s">
        <v>8</v>
      </c>
      <c r="W35" s="1308">
        <f t="shared" si="11"/>
        <v>100</v>
      </c>
      <c r="X35" s="1302"/>
      <c r="Y35" s="3622"/>
      <c r="Z35" s="1309" t="str">
        <f t="shared" si="12"/>
        <v>建筑品质</v>
      </c>
      <c r="AA35" s="1309">
        <f t="shared" si="3"/>
        <v>1</v>
      </c>
      <c r="AB35" s="1309">
        <f t="shared" si="4"/>
        <v>1</v>
      </c>
      <c r="AC35" s="1309">
        <f t="shared" si="5"/>
        <v>1</v>
      </c>
    </row>
    <row r="36" spans="1:29" ht="15">
      <c r="A36" s="543"/>
      <c r="B36" s="477" t="s">
        <v>676</v>
      </c>
      <c r="C36" s="548" t="s">
        <v>3524</v>
      </c>
      <c r="D36" s="490">
        <v>100</v>
      </c>
      <c r="E36" s="548" t="s">
        <v>3524</v>
      </c>
      <c r="F36" s="525">
        <f>SUMIF(109:109,E36,110:110)-SUMIF(109:109,C36,110:110)+100</f>
        <v>100</v>
      </c>
      <c r="G36" s="548" t="s">
        <v>3524</v>
      </c>
      <c r="H36" s="490">
        <f>SUMIF(109:109,G36,110:110)-SUMIF(109:109,C36,110:110)+100</f>
        <v>100</v>
      </c>
      <c r="I36" s="548" t="s">
        <v>3524</v>
      </c>
      <c r="J36" s="490">
        <f>SUMIF(109:109,I36,110:110)-SUMIF(109:109,C36,110:110)+100</f>
        <v>100</v>
      </c>
      <c r="K36" s="794">
        <v>2</v>
      </c>
      <c r="L36" s="1749"/>
      <c r="M36" s="1742"/>
      <c r="N36" s="1742"/>
      <c r="O36" s="1748"/>
      <c r="P36" s="3622"/>
      <c r="Q36" s="1306" t="str">
        <f t="shared" si="8"/>
        <v>公共部分装修</v>
      </c>
      <c r="R36" s="1307" t="s">
        <v>8</v>
      </c>
      <c r="S36" s="1308">
        <f t="shared" si="9"/>
        <v>100</v>
      </c>
      <c r="T36" s="1307" t="s">
        <v>8</v>
      </c>
      <c r="U36" s="1308">
        <f t="shared" si="10"/>
        <v>100</v>
      </c>
      <c r="V36" s="1307" t="s">
        <v>8</v>
      </c>
      <c r="W36" s="1308">
        <f t="shared" si="11"/>
        <v>100</v>
      </c>
      <c r="X36" s="1302"/>
      <c r="Y36" s="3622"/>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8">
        <v>1</v>
      </c>
      <c r="F37" s="477">
        <f>LOOKUP(E37,112:112,113:113)-LOOKUP(C37,112:112,113:113)+100</f>
        <v>100</v>
      </c>
      <c r="G37" s="808">
        <v>1</v>
      </c>
      <c r="H37" s="235">
        <f>LOOKUP(G37,112:112,113:113)-LOOKUP(C37,112:112,113:113)+100</f>
        <v>100</v>
      </c>
      <c r="I37" s="808">
        <v>1</v>
      </c>
      <c r="J37" s="235">
        <f>LOOKUP(I37,112:112,113:113)-LOOKUP(C37,112:112,113:113)+100</f>
        <v>100</v>
      </c>
      <c r="K37" s="794">
        <v>1</v>
      </c>
      <c r="L37" s="1743"/>
      <c r="M37" s="1640"/>
      <c r="N37" s="1640"/>
      <c r="O37" s="1744"/>
      <c r="P37" s="3622"/>
      <c r="Q37" s="818" t="str">
        <f t="shared" si="8"/>
        <v>成新度</v>
      </c>
      <c r="R37" s="1303" t="s">
        <v>8</v>
      </c>
      <c r="S37" s="1304">
        <f t="shared" si="9"/>
        <v>100</v>
      </c>
      <c r="T37" s="1303" t="s">
        <v>8</v>
      </c>
      <c r="U37" s="1304">
        <f t="shared" si="10"/>
        <v>100</v>
      </c>
      <c r="V37" s="1303" t="s">
        <v>8</v>
      </c>
      <c r="W37" s="1304">
        <f t="shared" si="11"/>
        <v>100</v>
      </c>
      <c r="X37" s="1305"/>
      <c r="Y37" s="3622"/>
      <c r="Z37" s="997" t="str">
        <f t="shared" si="12"/>
        <v>成新度</v>
      </c>
      <c r="AA37" s="997">
        <f t="shared" si="3"/>
        <v>1</v>
      </c>
      <c r="AB37" s="997">
        <f t="shared" si="4"/>
        <v>1</v>
      </c>
      <c r="AC37" s="997">
        <f t="shared" si="5"/>
        <v>1</v>
      </c>
    </row>
    <row r="38" spans="1:29" ht="15">
      <c r="A38" s="543"/>
      <c r="B38" s="477" t="s">
        <v>678</v>
      </c>
      <c r="C38" s="548" t="s">
        <v>3525</v>
      </c>
      <c r="D38" s="490">
        <v>100</v>
      </c>
      <c r="E38" s="548" t="s">
        <v>3525</v>
      </c>
      <c r="F38" s="525">
        <f>SUMIF(114:114,E38,115:115)-SUMIF(114:114,C38,115:115)+100</f>
        <v>100</v>
      </c>
      <c r="G38" s="548" t="s">
        <v>3525</v>
      </c>
      <c r="H38" s="490">
        <f>SUMIF(114:114,G38,115:115)-SUMIF(114:114,C38,115:115)+100</f>
        <v>100</v>
      </c>
      <c r="I38" s="548" t="s">
        <v>3525</v>
      </c>
      <c r="J38" s="490">
        <f>SUMIF(114:114,I38,115:115)-SUMIF(114:114,C38,115:115)+100</f>
        <v>100</v>
      </c>
      <c r="K38" s="794">
        <v>2</v>
      </c>
      <c r="L38" s="1749"/>
      <c r="M38" s="1742"/>
      <c r="N38" s="1742"/>
      <c r="O38" s="1748"/>
      <c r="P38" s="3622" t="s">
        <v>499</v>
      </c>
      <c r="Q38" s="1306" t="str">
        <f t="shared" si="8"/>
        <v>物业管理</v>
      </c>
      <c r="R38" s="1307" t="s">
        <v>8</v>
      </c>
      <c r="S38" s="1308">
        <f t="shared" si="9"/>
        <v>100</v>
      </c>
      <c r="T38" s="1307" t="s">
        <v>8</v>
      </c>
      <c r="U38" s="1308">
        <f t="shared" si="10"/>
        <v>100</v>
      </c>
      <c r="V38" s="1307" t="s">
        <v>8</v>
      </c>
      <c r="W38" s="1308">
        <f t="shared" si="11"/>
        <v>100</v>
      </c>
      <c r="X38" s="1302"/>
      <c r="Y38" s="3622" t="s">
        <v>499</v>
      </c>
      <c r="Z38" s="1309" t="str">
        <f t="shared" si="12"/>
        <v>物业管理</v>
      </c>
      <c r="AA38" s="1309">
        <f t="shared" si="3"/>
        <v>1</v>
      </c>
      <c r="AB38" s="1309">
        <f t="shared" si="4"/>
        <v>1</v>
      </c>
      <c r="AC38" s="1309">
        <f t="shared" si="5"/>
        <v>1</v>
      </c>
    </row>
    <row r="39" spans="1:29" ht="15">
      <c r="A39" s="543"/>
      <c r="B39" s="1554" t="s">
        <v>1847</v>
      </c>
      <c r="C39" s="548" t="s">
        <v>3502</v>
      </c>
      <c r="D39" s="490">
        <v>100</v>
      </c>
      <c r="E39" s="548" t="s">
        <v>3502</v>
      </c>
      <c r="F39" s="525">
        <f>SUMIF(116:116,E39,117:117)-SUMIF(116:116,C39,117:117)+100</f>
        <v>100</v>
      </c>
      <c r="G39" s="548" t="s">
        <v>3502</v>
      </c>
      <c r="H39" s="490">
        <f>SUMIF(116:116,G39,117:117)-SUMIF(116:116,C39,117:117)+100</f>
        <v>100</v>
      </c>
      <c r="I39" s="548" t="s">
        <v>3502</v>
      </c>
      <c r="J39" s="490">
        <f>SUMIF(116:116,I39,117:117)-SUMIF(116:116,C39,117:117)+100</f>
        <v>100</v>
      </c>
      <c r="K39" s="794">
        <v>1</v>
      </c>
      <c r="L39" s="1749"/>
      <c r="M39" s="1742"/>
      <c r="N39" s="1742"/>
      <c r="O39" s="1748"/>
      <c r="P39" s="3622"/>
      <c r="Q39" s="1306" t="str">
        <f t="shared" si="8"/>
        <v>市政基础设施</v>
      </c>
      <c r="R39" s="1307" t="s">
        <v>8</v>
      </c>
      <c r="S39" s="1308">
        <f t="shared" si="9"/>
        <v>100</v>
      </c>
      <c r="T39" s="1307" t="s">
        <v>8</v>
      </c>
      <c r="U39" s="1308">
        <f t="shared" si="10"/>
        <v>100</v>
      </c>
      <c r="V39" s="1307" t="s">
        <v>8</v>
      </c>
      <c r="W39" s="1308">
        <f t="shared" si="11"/>
        <v>100</v>
      </c>
      <c r="X39" s="1302"/>
      <c r="Y39" s="3622"/>
      <c r="Z39" s="1309" t="str">
        <f t="shared" si="12"/>
        <v>市政基础设施</v>
      </c>
      <c r="AA39" s="1309">
        <f t="shared" si="3"/>
        <v>1</v>
      </c>
      <c r="AB39" s="1309">
        <f t="shared" si="4"/>
        <v>1</v>
      </c>
      <c r="AC39" s="1309">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9"/>
      <c r="M40" s="1742"/>
      <c r="N40" s="1742"/>
      <c r="O40" s="1748"/>
      <c r="P40" s="3622"/>
      <c r="Q40" s="1306" t="str">
        <f t="shared" si="8"/>
        <v>房型</v>
      </c>
      <c r="R40" s="1307" t="s">
        <v>8</v>
      </c>
      <c r="S40" s="1308">
        <f t="shared" si="9"/>
        <v>100</v>
      </c>
      <c r="T40" s="1307" t="s">
        <v>8</v>
      </c>
      <c r="U40" s="1308">
        <f t="shared" si="10"/>
        <v>100</v>
      </c>
      <c r="V40" s="1307" t="s">
        <v>8</v>
      </c>
      <c r="W40" s="1308">
        <f t="shared" si="11"/>
        <v>100</v>
      </c>
      <c r="X40" s="1302"/>
      <c r="Y40" s="3622"/>
      <c r="Z40" s="1309" t="str">
        <f t="shared" si="12"/>
        <v>房型</v>
      </c>
      <c r="AA40" s="1309">
        <f t="shared" si="3"/>
        <v>1</v>
      </c>
      <c r="AB40" s="1309">
        <f t="shared" si="4"/>
        <v>1</v>
      </c>
      <c r="AC40" s="1309">
        <f t="shared" si="5"/>
        <v>1</v>
      </c>
    </row>
    <row r="41" spans="1:29" s="1134" customFormat="1" ht="28.5">
      <c r="A41" s="552"/>
      <c r="B41" s="477" t="s">
        <v>680</v>
      </c>
      <c r="C41" s="806"/>
      <c r="D41" s="235">
        <v>100</v>
      </c>
      <c r="E41" s="806"/>
      <c r="F41" s="477">
        <f>SUMIF(120:120,E41,121:121)-SUMIF(120:120,C41,121:121)+100</f>
        <v>100</v>
      </c>
      <c r="G41" s="806"/>
      <c r="H41" s="235">
        <f>SUMIF(120:120,G41,121:121)-SUMIF(120:120,C41,121:121)+100</f>
        <v>100</v>
      </c>
      <c r="I41" s="806"/>
      <c r="J41" s="490">
        <f>SUMIF(120:120,I41,121:121)-SUMIF(120:120,C41,121:121)+100</f>
        <v>100</v>
      </c>
      <c r="K41" s="795"/>
      <c r="L41" s="1747"/>
      <c r="M41" s="1771"/>
      <c r="N41" s="1771"/>
      <c r="O41" s="1750"/>
      <c r="P41" s="3622"/>
      <c r="Q41" s="819" t="str">
        <f t="shared" si="8"/>
        <v>单套/主力户型建筑面积</v>
      </c>
      <c r="R41" s="1310" t="s">
        <v>8</v>
      </c>
      <c r="S41" s="1311">
        <f t="shared" si="9"/>
        <v>100</v>
      </c>
      <c r="T41" s="1310" t="s">
        <v>8</v>
      </c>
      <c r="U41" s="1311">
        <f t="shared" si="10"/>
        <v>100</v>
      </c>
      <c r="V41" s="1310" t="s">
        <v>8</v>
      </c>
      <c r="W41" s="1311">
        <f t="shared" si="11"/>
        <v>100</v>
      </c>
      <c r="X41" s="1312"/>
      <c r="Y41" s="3622"/>
      <c r="Z41" s="1313" t="str">
        <f t="shared" si="12"/>
        <v>单套/主力户型建筑面积</v>
      </c>
      <c r="AA41" s="1309">
        <f t="shared" si="3"/>
        <v>1</v>
      </c>
      <c r="AB41" s="1309">
        <f t="shared" si="4"/>
        <v>1</v>
      </c>
      <c r="AC41" s="1309">
        <f t="shared" si="5"/>
        <v>1</v>
      </c>
    </row>
    <row r="42" spans="1:29" ht="15">
      <c r="A42" s="543"/>
      <c r="B42" s="477" t="s">
        <v>681</v>
      </c>
      <c r="C42" s="548" t="s">
        <v>3521</v>
      </c>
      <c r="D42" s="490">
        <v>100</v>
      </c>
      <c r="E42" s="548" t="s">
        <v>3521</v>
      </c>
      <c r="F42" s="525">
        <f>SUMIF(122:122,E42,123:123)-SUMIF(122:122,C42,123:123)+100</f>
        <v>100</v>
      </c>
      <c r="G42" s="548" t="s">
        <v>3521</v>
      </c>
      <c r="H42" s="490">
        <f>SUMIF(122:122,G42,123:123)-SUMIF(122:122,C42,123:123)+100</f>
        <v>100</v>
      </c>
      <c r="I42" s="548" t="s">
        <v>3521</v>
      </c>
      <c r="J42" s="490">
        <f>SUMIF(122:122,I42,123:123)-SUMIF(122:122,C42,123:123)+100</f>
        <v>100</v>
      </c>
      <c r="K42" s="794">
        <v>2</v>
      </c>
      <c r="L42" s="1749"/>
      <c r="M42" s="1742"/>
      <c r="N42" s="1742"/>
      <c r="O42" s="1748"/>
      <c r="P42" s="3622"/>
      <c r="Q42" s="1306" t="str">
        <f t="shared" si="8"/>
        <v>内部装修</v>
      </c>
      <c r="R42" s="1307" t="s">
        <v>8</v>
      </c>
      <c r="S42" s="1308">
        <f t="shared" si="9"/>
        <v>100</v>
      </c>
      <c r="T42" s="1307" t="s">
        <v>8</v>
      </c>
      <c r="U42" s="1308">
        <f t="shared" si="10"/>
        <v>100</v>
      </c>
      <c r="V42" s="1307" t="s">
        <v>8</v>
      </c>
      <c r="W42" s="1308">
        <f t="shared" si="11"/>
        <v>100</v>
      </c>
      <c r="X42" s="1302"/>
      <c r="Y42" s="3622"/>
      <c r="Z42" s="1309" t="str">
        <f t="shared" si="12"/>
        <v>内部装修</v>
      </c>
      <c r="AA42" s="1309">
        <f t="shared" si="3"/>
        <v>1</v>
      </c>
      <c r="AB42" s="1309">
        <f t="shared" si="4"/>
        <v>1</v>
      </c>
      <c r="AC42" s="1309">
        <f t="shared" si="5"/>
        <v>1</v>
      </c>
    </row>
    <row r="43" spans="1:29" ht="27">
      <c r="A43" s="543"/>
      <c r="B43" s="477" t="s">
        <v>682</v>
      </c>
      <c r="C43" s="548" t="s">
        <v>3500</v>
      </c>
      <c r="D43" s="490">
        <v>100</v>
      </c>
      <c r="E43" s="548" t="s">
        <v>3500</v>
      </c>
      <c r="F43" s="525">
        <f>SUMIF(124:124,E43,125:125)-SUMIF(124:124,C43,125:125)+100</f>
        <v>100</v>
      </c>
      <c r="G43" s="548" t="s">
        <v>3500</v>
      </c>
      <c r="H43" s="490">
        <f>SUMIF(124:124,G43,125:125)-SUMIF(124:124,C43,125:125)+100</f>
        <v>100</v>
      </c>
      <c r="I43" s="548" t="s">
        <v>3500</v>
      </c>
      <c r="J43" s="490">
        <f>SUMIF(124:124,I43,125:125)-SUMIF(124:124,C43,125:125)+100</f>
        <v>100</v>
      </c>
      <c r="K43" s="794">
        <v>2</v>
      </c>
      <c r="L43" s="1749"/>
      <c r="M43" s="1742"/>
      <c r="N43" s="1742"/>
      <c r="O43" s="1748"/>
      <c r="P43" s="3622"/>
      <c r="Q43" s="1306" t="str">
        <f t="shared" si="8"/>
        <v>内部装修维护情况</v>
      </c>
      <c r="R43" s="1307" t="s">
        <v>8</v>
      </c>
      <c r="S43" s="1308">
        <f t="shared" si="9"/>
        <v>100</v>
      </c>
      <c r="T43" s="1307" t="s">
        <v>8</v>
      </c>
      <c r="U43" s="1308">
        <f t="shared" si="10"/>
        <v>100</v>
      </c>
      <c r="V43" s="1307" t="s">
        <v>8</v>
      </c>
      <c r="W43" s="1308">
        <f t="shared" si="11"/>
        <v>100</v>
      </c>
      <c r="X43" s="1302"/>
      <c r="Y43" s="3622"/>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22"/>
      <c r="Q44" s="818">
        <f t="shared" si="8"/>
        <v>111</v>
      </c>
      <c r="R44" s="1303" t="s">
        <v>8</v>
      </c>
      <c r="S44" s="1304">
        <f t="shared" si="9"/>
        <v>100</v>
      </c>
      <c r="T44" s="1303" t="s">
        <v>8</v>
      </c>
      <c r="U44" s="1304">
        <f t="shared" si="10"/>
        <v>100</v>
      </c>
      <c r="V44" s="1303" t="s">
        <v>8</v>
      </c>
      <c r="W44" s="1304">
        <f t="shared" si="11"/>
        <v>100</v>
      </c>
      <c r="X44" s="1305"/>
      <c r="Y44" s="3622"/>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22"/>
      <c r="Q45" s="1306">
        <f t="shared" si="8"/>
        <v>111</v>
      </c>
      <c r="R45" s="1307" t="s">
        <v>8</v>
      </c>
      <c r="S45" s="1308">
        <f t="shared" si="9"/>
        <v>100</v>
      </c>
      <c r="T45" s="1307" t="s">
        <v>8</v>
      </c>
      <c r="U45" s="1308">
        <f t="shared" si="10"/>
        <v>100</v>
      </c>
      <c r="V45" s="1307" t="s">
        <v>8</v>
      </c>
      <c r="W45" s="1308">
        <f t="shared" si="11"/>
        <v>100</v>
      </c>
      <c r="X45" s="1302"/>
      <c r="Y45" s="3622"/>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95"/>
      <c r="Q46" s="1306">
        <f t="shared" si="8"/>
        <v>111</v>
      </c>
      <c r="R46" s="1307" t="s">
        <v>7</v>
      </c>
      <c r="S46" s="1308">
        <f t="shared" si="9"/>
        <v>100</v>
      </c>
      <c r="T46" s="1307" t="s">
        <v>7</v>
      </c>
      <c r="U46" s="1308">
        <f t="shared" si="10"/>
        <v>100</v>
      </c>
      <c r="V46" s="1307" t="s">
        <v>7</v>
      </c>
      <c r="W46" s="1308">
        <f t="shared" si="11"/>
        <v>100</v>
      </c>
      <c r="X46" s="1302"/>
      <c r="Y46" s="3695"/>
      <c r="Z46" s="1309">
        <f t="shared" si="12"/>
        <v>111</v>
      </c>
      <c r="AA46" s="1309">
        <f t="shared" si="3"/>
        <v>1</v>
      </c>
      <c r="AB46" s="1309">
        <f t="shared" si="4"/>
        <v>1</v>
      </c>
      <c r="AC46" s="1309">
        <f t="shared" si="5"/>
        <v>1</v>
      </c>
    </row>
    <row r="47" spans="1:29" ht="15">
      <c r="A47" s="556" t="s">
        <v>683</v>
      </c>
      <c r="B47" s="812"/>
      <c r="C47" s="2081" t="s">
        <v>6</v>
      </c>
      <c r="D47" s="559"/>
      <c r="E47" s="560">
        <v>38385</v>
      </c>
      <c r="F47" s="561"/>
      <c r="G47" s="562">
        <v>34074</v>
      </c>
      <c r="H47" s="563"/>
      <c r="I47" s="560">
        <v>35428</v>
      </c>
      <c r="J47" s="563"/>
      <c r="K47" s="1331"/>
      <c r="L47" s="1751"/>
      <c r="M47" s="1742"/>
      <c r="N47" s="1742"/>
      <c r="O47" s="1742"/>
      <c r="P47" s="3586" t="str">
        <f>A47</f>
        <v>成交单价（元/平方米）</v>
      </c>
      <c r="Q47" s="3586"/>
      <c r="R47" s="3587">
        <f>E47</f>
        <v>38385</v>
      </c>
      <c r="S47" s="3587"/>
      <c r="T47" s="3587">
        <f>G47</f>
        <v>34074</v>
      </c>
      <c r="U47" s="3587"/>
      <c r="V47" s="3587">
        <f>I47</f>
        <v>35428</v>
      </c>
      <c r="W47" s="3587"/>
      <c r="X47" s="799"/>
      <c r="Y47" s="1314"/>
      <c r="Z47" s="799"/>
      <c r="AA47" s="799"/>
      <c r="AB47" s="799"/>
      <c r="AC47" s="799"/>
    </row>
    <row r="48" spans="1:29" ht="15.75" thickBot="1">
      <c r="A48" s="564" t="s">
        <v>2042</v>
      </c>
      <c r="B48" s="813"/>
      <c r="C48" s="2082">
        <f>R49</f>
        <v>34447</v>
      </c>
      <c r="D48" s="2549" t="s">
        <v>2255</v>
      </c>
      <c r="E48" s="2083">
        <f>R48</f>
        <v>36182</v>
      </c>
      <c r="F48" s="2550"/>
      <c r="G48" s="2082">
        <f>T48</f>
        <v>33082</v>
      </c>
      <c r="H48" s="2550"/>
      <c r="I48" s="2083">
        <f>V48</f>
        <v>34076</v>
      </c>
      <c r="J48" s="2550"/>
      <c r="K48" s="2557">
        <f>F48+H48+J48</f>
        <v>0</v>
      </c>
      <c r="L48" s="1751"/>
      <c r="M48" s="1742"/>
      <c r="N48" s="1742"/>
      <c r="O48" s="1742"/>
      <c r="P48" s="3586" t="str">
        <f>A48</f>
        <v>比较价格（元/平方米）</v>
      </c>
      <c r="Q48" s="3586"/>
      <c r="R48" s="3587">
        <f>IF(F1="售价",ROUND(PRODUCT(R47,AA7:AA46),0),ROUND(PRODUCT(R47,AA7:AA46),1))</f>
        <v>36182</v>
      </c>
      <c r="S48" s="3587"/>
      <c r="T48" s="3587">
        <f>IF(F1="售价",ROUND(PRODUCT(T47,AB7:AB46),0),ROUND(PRODUCT(T47,AB7:AB46),1))</f>
        <v>33082</v>
      </c>
      <c r="U48" s="3587"/>
      <c r="V48" s="3587">
        <f>IF(F1="售价",ROUND(PRODUCT(V47,AC7:AC46),0),ROUND(PRODUCT(V47,AC7:AC46),1))</f>
        <v>34076</v>
      </c>
      <c r="W48" s="3587"/>
      <c r="X48" s="799"/>
      <c r="Y48" s="799"/>
      <c r="Z48" s="799"/>
      <c r="AA48" s="799"/>
      <c r="AB48" s="799"/>
      <c r="AC48" s="799"/>
    </row>
    <row r="49" spans="1:29" ht="15.75" thickBot="1">
      <c r="A49" s="568" t="s">
        <v>2192</v>
      </c>
      <c r="B49" s="569"/>
      <c r="C49" s="469">
        <f>R49</f>
        <v>34447</v>
      </c>
      <c r="D49" s="469"/>
      <c r="E49" s="469"/>
      <c r="F49" s="469"/>
      <c r="G49" s="469"/>
      <c r="H49" s="469"/>
      <c r="I49" s="469"/>
      <c r="J49" s="469"/>
      <c r="K49" s="1332"/>
      <c r="L49" s="1751"/>
      <c r="M49" s="1742"/>
      <c r="N49" s="1742"/>
      <c r="O49" s="1742"/>
      <c r="P49" s="3623" t="str">
        <f>A49</f>
        <v>估价对象XX用房的比较价格（楼面单价，元/平方米）</v>
      </c>
      <c r="Q49" s="3624"/>
      <c r="R49" s="3694">
        <f>IF(F1="售价",ROUND(IF(D48="简单平均",AVERAGE(R48:V48),R48*F48+T48*H48+V48*J48),0),ROUND(IF(D48="简单平均",AVERAGE(R48:V48),R48*F48+T48*H48+V48*J48),1))</f>
        <v>34447</v>
      </c>
      <c r="S49" s="3694"/>
      <c r="T49" s="3694"/>
      <c r="U49" s="3694"/>
      <c r="V49" s="3694"/>
      <c r="W49" s="3694"/>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6.0886628710408397E-2</v>
      </c>
      <c r="F52" s="574" t="str">
        <f>IF(OR(E52&gt;=0.3,E52&lt;=-0.3),"超过30%","")</f>
        <v/>
      </c>
      <c r="G52" s="573">
        <f>IF(G47&lt;G48,G48/G47-1,G47/G48-1)</f>
        <v>2.9986095157487513E-2</v>
      </c>
      <c r="H52" s="574" t="str">
        <f>IF(OR(G52&gt;=0.3,G52&lt;=-0.3),"超过30%","")</f>
        <v/>
      </c>
      <c r="I52" s="573">
        <f>IF(I47&lt;I48,I48/I47-1,I47/I48-1)</f>
        <v>3.9676018312008399E-2</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9.3706547367148341E-2</v>
      </c>
      <c r="F53" s="574" t="str">
        <f>IF(OR(E53&gt;=0.2,E53&lt;=-0.2),"超过20%","")</f>
        <v/>
      </c>
      <c r="G53" s="573">
        <f>IF(G48&lt;I48,I48/G48-1,G48/I48-1)</f>
        <v>3.0046550994498489E-2</v>
      </c>
      <c r="H53" s="574" t="str">
        <f>IF(OR(G53&gt;=0.2,G53&lt;=-0.2),"超过20%","")</f>
        <v/>
      </c>
      <c r="I53" s="573">
        <f>IF(I48&lt;E48,E48/I48-1,I48/E48-1)</f>
        <v>6.1803028524474612E-2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f>IF(E47&lt;G47,G47/E47-1,E47/G47-1)</f>
        <v>0.12651875330163764</v>
      </c>
      <c r="F54" s="574" t="str">
        <f>IF(OR(E54&gt;=0.3,E54&lt;=-0.3),"超过30%","")</f>
        <v/>
      </c>
      <c r="G54" s="573">
        <f>IF(G47&lt;I47,I47/G47-1,G47/I47-1)</f>
        <v>3.9737042906615061E-2</v>
      </c>
      <c r="H54" s="574" t="str">
        <f>IF(OR(G54&gt;=0.3,G54&lt;=-0.3),"超过30%","")</f>
        <v/>
      </c>
      <c r="I54" s="573">
        <f>IF(I47&lt;E47,E47/I47-1,I47/E47-1)</f>
        <v>8.346505588799813E-2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97</v>
      </c>
      <c r="E85" s="621">
        <f>D85-$K23</f>
        <v>94</v>
      </c>
      <c r="F85" s="621">
        <f>E85-$K23</f>
        <v>91</v>
      </c>
      <c r="G85" s="621">
        <f>F85-$K23</f>
        <v>88</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0" t="s">
        <v>1618</v>
      </c>
      <c r="D100" s="3410" t="s">
        <v>3510</v>
      </c>
      <c r="E100" s="3410" t="s">
        <v>3511</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5"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6" t="s">
        <v>3512</v>
      </c>
      <c r="D107" s="3406" t="s">
        <v>3513</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5" t="s">
        <v>3514</v>
      </c>
      <c r="D109" s="3405" t="s">
        <v>3515</v>
      </c>
      <c r="E109" s="3405" t="s">
        <v>3516</v>
      </c>
      <c r="F109" s="3406" t="s">
        <v>3517</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5" t="s">
        <v>3518</v>
      </c>
      <c r="D114" s="3405" t="s">
        <v>3519</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t="str">
        <f>C109</f>
        <v>精装修</v>
      </c>
      <c r="D122" s="630" t="str">
        <f>D109</f>
        <v>普通装修</v>
      </c>
      <c r="E122" s="630" t="str">
        <f>E109</f>
        <v>简单装修</v>
      </c>
      <c r="F122" s="630" t="str">
        <f>F109</f>
        <v>毛坯</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2" t="s">
        <v>877</v>
      </c>
      <c r="E1" s="1947" t="s">
        <v>1728</v>
      </c>
      <c r="F1" s="1948">
        <f ca="1">J53</f>
        <v>69.84</v>
      </c>
      <c r="G1" s="2757">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88" t="s">
        <v>1807</v>
      </c>
      <c r="C6" s="718">
        <f ca="1">ROUND(F6*F8*F7*(1-F9)/10000,0)</f>
        <v>0</v>
      </c>
      <c r="D6" s="2002" t="s">
        <v>1806</v>
      </c>
      <c r="E6" s="719" t="s">
        <v>1267</v>
      </c>
      <c r="F6" s="720">
        <f ca="1">INDIRECT("'数据-取费表'!u"&amp;$G$1)</f>
        <v>0</v>
      </c>
      <c r="G6" s="1668"/>
      <c r="H6" s="2009" t="s">
        <v>1812</v>
      </c>
      <c r="I6" s="3688" t="s">
        <v>1807</v>
      </c>
      <c r="J6" s="718">
        <f ca="1">ROUND(M6*M8*M7*(1-M9)/10000,0)</f>
        <v>0</v>
      </c>
      <c r="K6" s="315" t="s">
        <v>1266</v>
      </c>
      <c r="L6" s="719" t="s">
        <v>1267</v>
      </c>
      <c r="M6" s="720">
        <f ca="1">INDIRECT("'数据-取费表'!z"&amp;$G$1)</f>
        <v>0</v>
      </c>
    </row>
    <row r="7" spans="1:33" ht="18" customHeight="1">
      <c r="A7" s="2005"/>
      <c r="B7" s="3689"/>
      <c r="C7" s="723"/>
      <c r="D7" s="724"/>
      <c r="E7" s="719" t="s">
        <v>1268</v>
      </c>
      <c r="F7" s="720">
        <f ca="1">IF(INDIRECT("'数据-取费表'!ah"&amp;$G$1)="",INDIRECT("'数据-取费表'!k"&amp;$G$1),INDIRECT("'数据-取费表'!ah"&amp;$G$1))</f>
        <v>32315.351999999999</v>
      </c>
      <c r="G7" s="1668"/>
      <c r="H7" s="1994"/>
      <c r="I7" s="3689"/>
      <c r="J7" s="723"/>
      <c r="K7" s="724"/>
      <c r="L7" s="719" t="s">
        <v>1268</v>
      </c>
      <c r="M7" s="720">
        <f ca="1">F7</f>
        <v>32315.351999999999</v>
      </c>
    </row>
    <row r="8" spans="1:33" ht="18" customHeight="1">
      <c r="A8" s="1998"/>
      <c r="B8" s="3690"/>
      <c r="C8" s="723"/>
      <c r="D8" s="724"/>
      <c r="E8" s="719" t="s">
        <v>1269</v>
      </c>
      <c r="F8" s="720">
        <f ca="1">INDIRECT("'数据-取费表'!ai"&amp;$G$1)</f>
        <v>0</v>
      </c>
      <c r="G8" s="1668"/>
      <c r="H8" s="1994"/>
      <c r="I8" s="3690"/>
      <c r="J8" s="723"/>
      <c r="K8" s="724"/>
      <c r="L8" s="719" t="s">
        <v>1269</v>
      </c>
      <c r="M8" s="720">
        <f ca="1">INDIRECT("'数据-取费表'!ai"&amp;$G$1)</f>
        <v>0</v>
      </c>
    </row>
    <row r="9" spans="1:33" ht="18" customHeight="1">
      <c r="A9" s="721"/>
      <c r="B9" s="3691"/>
      <c r="C9" s="723"/>
      <c r="D9" s="724"/>
      <c r="E9" s="719" t="s">
        <v>1270</v>
      </c>
      <c r="F9" s="729">
        <f ca="1">INDIRECT("'数据-取费表'!w"&amp;$G$1)</f>
        <v>0</v>
      </c>
      <c r="G9" s="1668"/>
      <c r="H9" s="2010"/>
      <c r="I9" s="3690"/>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2226</v>
      </c>
      <c r="E10" s="2003" t="s">
        <v>1808</v>
      </c>
      <c r="F10" s="2076"/>
      <c r="G10" s="1668"/>
      <c r="H10" s="2037" t="s">
        <v>1813</v>
      </c>
      <c r="I10" s="2041" t="s">
        <v>1803</v>
      </c>
      <c r="J10" s="718">
        <f ca="1">ROUND(IF(M10="押一",J6/12*M11,IF(M10="押二",J6/12*2*M11,IF(M10="押三",J6/12*3*M11,J11*M11))),0)</f>
        <v>0</v>
      </c>
      <c r="K10" s="2006" t="s">
        <v>2226</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22424</v>
      </c>
      <c r="D14" s="906" t="s">
        <v>1274</v>
      </c>
      <c r="E14" s="905"/>
      <c r="F14" s="740"/>
      <c r="G14" s="1668"/>
      <c r="H14" s="1369" t="s">
        <v>1359</v>
      </c>
      <c r="I14" s="1825" t="s">
        <v>2103</v>
      </c>
      <c r="J14" s="49">
        <f ca="1">C29</f>
        <v>34497</v>
      </c>
      <c r="K14" s="22"/>
      <c r="L14" s="736"/>
      <c r="M14" s="737"/>
    </row>
    <row r="15" spans="1:33" s="1676" customFormat="1" ht="18" customHeight="1" thickBot="1">
      <c r="A15" s="1368" t="s">
        <v>1410</v>
      </c>
      <c r="B15" s="719" t="s">
        <v>595</v>
      </c>
      <c r="C15" s="49">
        <f ca="1">ROUND(C14*F15,0)</f>
        <v>673</v>
      </c>
      <c r="D15" s="741" t="s">
        <v>1275</v>
      </c>
      <c r="E15" s="741" t="s">
        <v>1276</v>
      </c>
      <c r="F15" s="742">
        <f>'数据-取费表'!B33</f>
        <v>0.03</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1050</v>
      </c>
      <c r="D16" s="719" t="s">
        <v>1275</v>
      </c>
      <c r="E16" s="719" t="s">
        <v>1276</v>
      </c>
      <c r="F16" s="744">
        <f ca="1">IF(INDIRECT("'数据-取费表'!c"&amp;$G$1)="住宅",'数据-取费表'!B34,0)</f>
        <v>0.05</v>
      </c>
      <c r="G16" s="1668"/>
      <c r="H16" s="1520" t="s">
        <v>1277</v>
      </c>
      <c r="I16" s="1518" t="s">
        <v>1278</v>
      </c>
      <c r="J16" s="727">
        <f ca="1">ROUND(J17+J22+J23+J24,0)</f>
        <v>2</v>
      </c>
      <c r="K16" s="1514" t="s">
        <v>1279</v>
      </c>
      <c r="L16" s="909"/>
      <c r="M16" s="1996"/>
    </row>
    <row r="17" spans="1:33" s="1676" customFormat="1" ht="18" customHeight="1">
      <c r="A17" s="1368" t="s">
        <v>1412</v>
      </c>
      <c r="B17" s="719" t="s">
        <v>601</v>
      </c>
      <c r="C17" s="49">
        <f ca="1">ROUND(F17*(F43+INDIRECT("'数据-取费表'!S"&amp;$G$1))/10000,0)</f>
        <v>709</v>
      </c>
      <c r="D17" s="719" t="s">
        <v>1280</v>
      </c>
      <c r="E17" s="719" t="s">
        <v>1281</v>
      </c>
      <c r="F17" s="52">
        <f>'数据-取费表'!B35</f>
        <v>200</v>
      </c>
      <c r="G17" s="2759"/>
      <c r="H17" s="1369" t="s">
        <v>1359</v>
      </c>
      <c r="I17" s="719" t="s">
        <v>604</v>
      </c>
      <c r="J17" s="2554">
        <f ca="1">ROUND(IF(AND(项目基本情况!B11="自然人",项目基本情况!B10="北京市"),J6*M17/(1+'数据-取费表'!C42),J18+J19+J20),2)</f>
        <v>2.41</v>
      </c>
      <c r="K17" s="906" t="s">
        <v>1282</v>
      </c>
      <c r="L17" s="907"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448</v>
      </c>
      <c r="D18" s="719" t="s">
        <v>1275</v>
      </c>
      <c r="E18" s="719" t="s">
        <v>1276</v>
      </c>
      <c r="F18" s="744">
        <f>'数据-取费表'!B36</f>
        <v>0.02</v>
      </c>
      <c r="G18" s="2759"/>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25304</v>
      </c>
      <c r="D19" s="241" t="s">
        <v>1286</v>
      </c>
      <c r="E19" s="915"/>
      <c r="F19" s="52"/>
      <c r="G19" s="1668"/>
      <c r="H19" s="1368" t="s">
        <v>1410</v>
      </c>
      <c r="I19" s="719" t="s">
        <v>1287</v>
      </c>
      <c r="J19" s="49">
        <f ca="1">IF(K19="按租金收入计税",ROUND(J6*M19/(1+'数据-取费表'!C42),1),ROUND(C29*F33*0.7,2))</f>
        <v>0</v>
      </c>
      <c r="K19" s="745" t="s">
        <v>3241</v>
      </c>
      <c r="L19" s="719" t="s">
        <v>1276</v>
      </c>
      <c r="M19" s="744">
        <f>IF(K19="按租金收入计税",'数据-取费表'!B51,'数据-取费表'!B50)</f>
        <v>0.12</v>
      </c>
    </row>
    <row r="20" spans="1:33" s="1676" customFormat="1" ht="18" customHeight="1">
      <c r="A20" s="1369" t="s">
        <v>1414</v>
      </c>
      <c r="B20" s="719" t="s">
        <v>613</v>
      </c>
      <c r="C20" s="49">
        <f ca="1">ROUND(C19*F20,0)</f>
        <v>506</v>
      </c>
      <c r="D20" s="746" t="s">
        <v>1288</v>
      </c>
      <c r="E20" s="719" t="s">
        <v>1276</v>
      </c>
      <c r="F20" s="744">
        <f>'数据-取费表'!B37</f>
        <v>0.02</v>
      </c>
      <c r="G20" s="2759"/>
      <c r="H20" s="1371" t="s">
        <v>1405</v>
      </c>
      <c r="I20" s="315" t="s">
        <v>1289</v>
      </c>
      <c r="J20" s="50">
        <f ca="1">ROUND(M20*M21/10000,2)</f>
        <v>2.41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59"/>
      <c r="H21" s="2011"/>
      <c r="I21" s="728"/>
      <c r="J21" s="65"/>
      <c r="K21" s="750"/>
      <c r="L21" s="719" t="s">
        <v>1295</v>
      </c>
      <c r="M21" s="720">
        <f ca="1">INDIRECT("'数据-取费表'!r"&amp;$G$1)</f>
        <v>16048.96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v>
      </c>
      <c r="K22" s="907"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865</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7"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6.9999999999999999E-4</v>
      </c>
      <c r="D24" s="2044" t="str">
        <f>IF(F23&lt;=1,"销售费用×利率×(建设周期÷2)","销售费用×((1+利率)^(建设周期÷2)-1)")</f>
        <v>销售费用×((1+利率)^(建设周期÷2)-1)</v>
      </c>
      <c r="E24" s="719" t="s">
        <v>1302</v>
      </c>
      <c r="F24" s="753">
        <f ca="1">'数据-取费表'!B40</f>
        <v>3.3500000000000002E-2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6" t="s">
        <v>2099</v>
      </c>
      <c r="J25" s="727">
        <f ca="1">J5-J16</f>
        <v>-2</v>
      </c>
      <c r="K25" s="2024" t="s">
        <v>1306</v>
      </c>
      <c r="L25" s="2025"/>
      <c r="M25" s="2026"/>
    </row>
    <row r="26" spans="1:33" ht="18" customHeight="1">
      <c r="A26" s="1368" t="s">
        <v>1360</v>
      </c>
      <c r="B26" s="719" t="s">
        <v>1785</v>
      </c>
      <c r="C26" s="49">
        <f ca="1">ROUND((C19+C20)*F26,0)</f>
        <v>5162</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4.4999999999999998E-2</v>
      </c>
    </row>
    <row r="27" spans="1:33" ht="18" customHeight="1">
      <c r="A27" s="1368" t="s">
        <v>1361</v>
      </c>
      <c r="B27" s="719" t="s">
        <v>633</v>
      </c>
      <c r="C27" s="49">
        <f ca="1">ROUND(F21*F26,4)</f>
        <v>4.0000000000000001E-3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34497</v>
      </c>
      <c r="D29" s="2021"/>
      <c r="E29" s="2022"/>
      <c r="F29" s="2023"/>
      <c r="G29" s="2759"/>
      <c r="H29" s="757" t="s">
        <v>1316</v>
      </c>
      <c r="I29" s="758" t="s">
        <v>1317</v>
      </c>
      <c r="J29" s="759">
        <f ca="1">ROUND(J26/(1+F40)^F41,0)</f>
        <v>0</v>
      </c>
      <c r="K29" s="760" t="s">
        <v>1318</v>
      </c>
      <c r="L29" s="761"/>
      <c r="M29" s="762">
        <f ca="1">INDIRECT("'数据-取费表'!k"&amp;$G$1)</f>
        <v>32315.351999999999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2</v>
      </c>
      <c r="D30" s="1514" t="s">
        <v>1320</v>
      </c>
      <c r="E30" s="909"/>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2.41</v>
      </c>
      <c r="D31" s="906" t="s">
        <v>1321</v>
      </c>
      <c r="E31" s="907" t="s">
        <v>1322</v>
      </c>
      <c r="F31" s="2553" t="str">
        <f>IF(项目基本情况!B11="企业","——",IF(M47="住宅",IF(F6*F7*F8/12/(1+'数据-取费表'!F30)&gt;100000,4%,2.5%),IF(F6*F7*F8/12/(1+'数据-取费表'!F30)&gt;100000,12%,7%)))</f>
        <v>——</v>
      </c>
      <c r="G31" s="1668"/>
      <c r="H31" s="2756" t="s">
        <v>2276</v>
      </c>
      <c r="I31" s="1678"/>
      <c r="J31" s="1679"/>
      <c r="K31" s="1636"/>
      <c r="L31" s="1680"/>
      <c r="M31" s="1681"/>
    </row>
    <row r="32" spans="1:33" ht="18" customHeight="1">
      <c r="A32" s="1368" t="s">
        <v>1360</v>
      </c>
      <c r="B32" s="719" t="s">
        <v>1323</v>
      </c>
      <c r="C32" s="49">
        <f ca="1">ROUND(C6*F32/(1+'数据-取费表'!C42),2)</f>
        <v>0</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3241</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2.41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16048.96</v>
      </c>
      <c r="G35" s="1668"/>
      <c r="H35" s="1677"/>
      <c r="I35" s="771" t="s">
        <v>1343</v>
      </c>
      <c r="J35" s="772">
        <f ca="1">ROUND(C13*J36,0)</f>
        <v>0</v>
      </c>
      <c r="K35" s="1689"/>
      <c r="L35" s="1688"/>
      <c r="M35" s="1688"/>
    </row>
    <row r="36" spans="1:18" ht="18" customHeight="1">
      <c r="A36" s="1369" t="s">
        <v>1414</v>
      </c>
      <c r="B36" s="719" t="s">
        <v>1331</v>
      </c>
      <c r="C36" s="49">
        <f ca="1">ROUND(C29*F36,2)</f>
        <v>0</v>
      </c>
      <c r="D36" s="907"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7"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2099</v>
      </c>
      <c r="C39" s="727">
        <f ca="1">C5-C30</f>
        <v>-2</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4.4999999999999998E-2</v>
      </c>
      <c r="G40" s="1668"/>
      <c r="H40" s="1668"/>
      <c r="I40" s="771" t="s">
        <v>1348</v>
      </c>
      <c r="J40" s="779">
        <f ca="1">1-J39</f>
        <v>1</v>
      </c>
      <c r="K40" s="1693"/>
      <c r="L40" s="1668"/>
      <c r="M40" s="1668"/>
    </row>
    <row r="41" spans="1:18" ht="18" customHeight="1">
      <c r="A41" s="721"/>
      <c r="B41" s="722"/>
      <c r="C41" s="723"/>
      <c r="D41" s="755" t="s">
        <v>1337</v>
      </c>
      <c r="E41" s="719" t="s">
        <v>2218</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32315.351999999999</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0</v>
      </c>
      <c r="D46" s="2760"/>
      <c r="E46" s="2760"/>
      <c r="F46" s="2760"/>
      <c r="I46" s="1939" t="s">
        <v>1697</v>
      </c>
      <c r="J46" s="1940"/>
      <c r="K46" s="1941"/>
      <c r="L46" s="2374">
        <f>IF(OR(M47="住宅",D1="土地（套用方法）"),0,IF(L48&gt;J51,L60,J60))</f>
        <v>0</v>
      </c>
      <c r="M46" s="2761"/>
      <c r="O46" s="1953" t="s">
        <v>1764</v>
      </c>
      <c r="P46" s="1145"/>
      <c r="Q46" s="1330"/>
      <c r="R46" s="1145"/>
    </row>
    <row r="47" spans="1:18" s="1672" customFormat="1" ht="18" customHeight="1" thickBot="1">
      <c r="A47" s="3379">
        <v>1</v>
      </c>
      <c r="B47" s="3380" t="s">
        <v>583</v>
      </c>
      <c r="C47" s="3381">
        <f ca="1">C48+C52+C54</f>
        <v>0</v>
      </c>
      <c r="D47" s="3382"/>
      <c r="E47" s="3382"/>
      <c r="F47" s="3383"/>
      <c r="I47" s="2366" t="s">
        <v>1698</v>
      </c>
      <c r="J47" s="1942"/>
      <c r="K47" s="2371" t="s">
        <v>1703</v>
      </c>
      <c r="L47" s="2375">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c r="K48" s="2372" t="s">
        <v>1705</v>
      </c>
      <c r="L48" s="1567">
        <f ca="1">INDIRECT("'数据-取费表'!f"&amp;$G$1)</f>
        <v>69.84</v>
      </c>
      <c r="M48" s="2761"/>
      <c r="O48" s="1957" t="s">
        <v>1733</v>
      </c>
      <c r="P48" s="1958" t="s">
        <v>1759</v>
      </c>
      <c r="Q48" s="1959">
        <f ca="1">C40+J29</f>
        <v>0</v>
      </c>
      <c r="R48" s="1958" t="s">
        <v>1734</v>
      </c>
    </row>
    <row r="49" spans="1:18" s="1672" customFormat="1" ht="18" customHeight="1" thickBot="1">
      <c r="A49" s="721"/>
      <c r="B49" s="722"/>
      <c r="C49" s="723"/>
      <c r="D49" s="724"/>
      <c r="E49" s="719" t="s">
        <v>1268</v>
      </c>
      <c r="F49" s="720">
        <f ca="1">F7</f>
        <v>32315.351999999999</v>
      </c>
      <c r="G49" s="1699"/>
      <c r="H49" s="1702"/>
      <c r="I49" s="2363" t="s">
        <v>1700</v>
      </c>
      <c r="J49" s="1944"/>
      <c r="K49" s="2373" t="s">
        <v>1706</v>
      </c>
      <c r="L49" s="1566"/>
      <c r="M49" s="2761"/>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3" t="s">
        <v>1701</v>
      </c>
      <c r="J50" s="2370">
        <f>SUMPRODUCT((I63:I65=J47)*(J62:L62=J48)*(J63:L65))</f>
        <v>0</v>
      </c>
      <c r="K50" s="2373" t="s">
        <v>1707</v>
      </c>
      <c r="L50" s="1566"/>
      <c r="M50" s="2761"/>
      <c r="O50" s="1960" t="s">
        <v>1737</v>
      </c>
      <c r="P50" s="1958" t="s">
        <v>1761</v>
      </c>
      <c r="Q50" s="1959">
        <f ca="1">C29</f>
        <v>34497</v>
      </c>
      <c r="R50" s="1958" t="s">
        <v>1734</v>
      </c>
    </row>
    <row r="51" spans="1:18" s="1672" customFormat="1" ht="18" customHeight="1" thickBot="1">
      <c r="A51" s="721"/>
      <c r="B51" s="722"/>
      <c r="C51" s="723"/>
      <c r="D51" s="724"/>
      <c r="E51" s="719" t="s">
        <v>588</v>
      </c>
      <c r="F51" s="1934"/>
      <c r="H51" s="1702"/>
      <c r="I51" s="2367" t="s">
        <v>1702</v>
      </c>
      <c r="J51" s="1567">
        <f>IF(J49="",J50,J49+J50-YEAR('数据-取费表'!B2))</f>
        <v>0</v>
      </c>
      <c r="K51" s="2363" t="s">
        <v>1708</v>
      </c>
      <c r="L51" s="2376">
        <f ca="1">ROUND(-PV(INDIRECT("'数据-取费表'!h"&amp;$G$1),J51,(C39-C13*J36),0),0)</f>
        <v>0</v>
      </c>
      <c r="M51" s="2761"/>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2227</v>
      </c>
      <c r="E52" s="2003" t="s">
        <v>1808</v>
      </c>
      <c r="F52" s="2076"/>
      <c r="I52" s="2368" t="s">
        <v>1775</v>
      </c>
      <c r="J52" s="1945"/>
      <c r="K52" s="2368" t="s">
        <v>1774</v>
      </c>
      <c r="L52" s="1945"/>
      <c r="M52" s="2761"/>
      <c r="O52" s="1960" t="s">
        <v>1740</v>
      </c>
      <c r="P52" s="1958" t="s">
        <v>1741</v>
      </c>
      <c r="Q52" s="1961">
        <f>J52</f>
        <v>0</v>
      </c>
      <c r="R52" s="1962"/>
    </row>
    <row r="53" spans="1:18" s="1672" customFormat="1" ht="39.75" customHeight="1" thickBot="1">
      <c r="A53" s="721"/>
      <c r="B53" s="2000" t="s">
        <v>1856</v>
      </c>
      <c r="C53" s="2004"/>
      <c r="D53" s="2006"/>
      <c r="E53" s="2003"/>
      <c r="F53" s="735"/>
      <c r="I53" s="2369" t="s">
        <v>2230</v>
      </c>
      <c r="J53" s="2415">
        <f ca="1">IF(M47="住宅",IF(D1="——",MAX(J51,L48),MAX(J51,L48-'数据-取费表'!B20)),IF(D1="——",MIN(J51,L48),MIN(J51,L48-'数据-取费表'!B20)))</f>
        <v>69.84</v>
      </c>
      <c r="K53" s="3698" t="s">
        <v>2220</v>
      </c>
      <c r="L53" s="3699"/>
      <c r="M53" s="2761"/>
      <c r="O53" s="1960" t="s">
        <v>1742</v>
      </c>
      <c r="P53" s="1958" t="s">
        <v>1743</v>
      </c>
      <c r="Q53" s="1959">
        <f ca="1">J53</f>
        <v>69.84</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1"/>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79" t="s">
        <v>1709</v>
      </c>
      <c r="J55" s="2352" t="e">
        <f ca="1">ROUND(IF(J47="钢混",J57/J50,1-(1-2%)*(J50-J57)/J50),3)</f>
        <v>#VALUE!</v>
      </c>
      <c r="K55" s="2380" t="s">
        <v>1710</v>
      </c>
      <c r="L55" s="1946"/>
      <c r="M55" s="2761"/>
      <c r="O55" s="1963" t="s">
        <v>1765</v>
      </c>
      <c r="P55" s="1145"/>
      <c r="Q55" s="1330"/>
      <c r="R55" s="1145"/>
    </row>
    <row r="56" spans="1:18" s="1672" customFormat="1" ht="42.75" customHeight="1" thickBot="1">
      <c r="A56" s="1370"/>
      <c r="B56" s="1825" t="s">
        <v>1659</v>
      </c>
      <c r="C56" s="49">
        <f ca="1">C29</f>
        <v>34497</v>
      </c>
      <c r="D56" s="907"/>
      <c r="E56" s="719"/>
      <c r="F56" s="744"/>
      <c r="I56" s="2381" t="s">
        <v>1711</v>
      </c>
      <c r="J56" s="2391"/>
      <c r="K56" s="2363" t="s">
        <v>1716</v>
      </c>
      <c r="L56" s="1567">
        <f ca="1">IF(L48&lt;J51,"——",L48-J51)</f>
        <v>69.84</v>
      </c>
      <c r="M56" s="2761"/>
      <c r="O56" s="1954" t="s">
        <v>1729</v>
      </c>
      <c r="P56" s="1955" t="s">
        <v>1730</v>
      </c>
      <c r="Q56" s="1956" t="s">
        <v>1731</v>
      </c>
      <c r="R56" s="1955" t="s">
        <v>1732</v>
      </c>
    </row>
    <row r="57" spans="1:18" s="1672" customFormat="1" ht="28.5" customHeight="1" thickBot="1">
      <c r="A57" s="732" t="s">
        <v>1277</v>
      </c>
      <c r="B57" s="733" t="s">
        <v>599</v>
      </c>
      <c r="C57" s="734">
        <f ca="1">ROUND(C58+C63+C64+C65,0)</f>
        <v>2</v>
      </c>
      <c r="D57" s="22" t="s">
        <v>1279</v>
      </c>
      <c r="E57" s="915"/>
      <c r="F57" s="52"/>
      <c r="I57" s="2382" t="s">
        <v>1712</v>
      </c>
      <c r="J57" s="2383" t="str">
        <f ca="1">IF(OR(M47="住宅",J51&lt;L48,J56="是"),"——",J51-L48)</f>
        <v>——</v>
      </c>
      <c r="K57" s="2363" t="s">
        <v>1717</v>
      </c>
      <c r="L57" s="1567">
        <f ca="1">IF(L48&lt;J51,"——",IF(L55="比较法",L49,IF(L55="基准地价",L50,L51)))</f>
        <v>0</v>
      </c>
      <c r="M57" s="2761"/>
      <c r="O57" s="1957" t="s">
        <v>1733</v>
      </c>
      <c r="P57" s="1958" t="s">
        <v>1763</v>
      </c>
      <c r="Q57" s="1959">
        <f ca="1">C40+J29</f>
        <v>0</v>
      </c>
      <c r="R57" s="1958" t="s">
        <v>1734</v>
      </c>
    </row>
    <row r="58" spans="1:18" s="1672" customFormat="1" ht="28.5" customHeight="1" thickBot="1">
      <c r="A58" s="1369" t="s">
        <v>1353</v>
      </c>
      <c r="B58" s="719" t="s">
        <v>604</v>
      </c>
      <c r="C58" s="2554">
        <f ca="1">ROUND(IF(AND(项目基本情况!B11="自然人",项目基本情况!B10="北京市"),C48*F58/(1+'数据-取费表'!C42),C59+C60+C61),2)</f>
        <v>2.41</v>
      </c>
      <c r="D58" s="906" t="s">
        <v>605</v>
      </c>
      <c r="E58" s="907"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7" t="e">
        <f ca="1">ROUND(POWER(1+L52,L47-L48)*(POWER(1+L52,L48)-1)/(POWER(1+L52,L47)-1),4)</f>
        <v>#DIV/0!</v>
      </c>
      <c r="M58" s="2761"/>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1"/>
      <c r="O60" s="1960" t="s">
        <v>1738</v>
      </c>
      <c r="P60" s="1958" t="s">
        <v>1747</v>
      </c>
      <c r="Q60" s="1961">
        <f>L52</f>
        <v>0</v>
      </c>
      <c r="R60" s="1962"/>
    </row>
    <row r="61" spans="1:18" s="1672" customFormat="1" ht="18" customHeight="1" thickBot="1">
      <c r="A61" s="1371" t="s">
        <v>1362</v>
      </c>
      <c r="B61" s="315" t="s">
        <v>615</v>
      </c>
      <c r="C61" s="50">
        <f ca="1">ROUND(F61*F62/10000,2)</f>
        <v>2.41</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16048.96</v>
      </c>
      <c r="I62" s="2387" t="s">
        <v>1721</v>
      </c>
      <c r="J62" s="2388" t="s">
        <v>1722</v>
      </c>
      <c r="K62" s="2388" t="s">
        <v>1723</v>
      </c>
      <c r="L62" s="2388" t="s">
        <v>1704</v>
      </c>
      <c r="M62" s="2389" t="s">
        <v>2199</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7" t="s">
        <v>1332</v>
      </c>
      <c r="E63" s="719" t="s">
        <v>1276</v>
      </c>
      <c r="F63" s="751">
        <f t="shared" ca="1" si="0"/>
        <v>0</v>
      </c>
      <c r="I63" s="2387" t="s">
        <v>1724</v>
      </c>
      <c r="J63" s="2388">
        <v>70</v>
      </c>
      <c r="K63" s="2388">
        <v>50</v>
      </c>
      <c r="L63" s="2388">
        <v>80</v>
      </c>
      <c r="M63" s="2390">
        <v>0.02</v>
      </c>
      <c r="O63" s="1957" t="s">
        <v>1745</v>
      </c>
      <c r="P63" s="1958" t="s">
        <v>1762</v>
      </c>
      <c r="Q63" s="1959">
        <f ca="1">Q57+Q58</f>
        <v>0</v>
      </c>
      <c r="R63" s="1962" t="s">
        <v>1746</v>
      </c>
    </row>
    <row r="64" spans="1:18" s="1672" customFormat="1" ht="16.5" thickBot="1">
      <c r="A64" s="1369" t="s">
        <v>1415</v>
      </c>
      <c r="B64" s="719" t="s">
        <v>626</v>
      </c>
      <c r="C64" s="49">
        <f ca="1">ROUND(C55*F64,2)</f>
        <v>0</v>
      </c>
      <c r="D64" s="907" t="s">
        <v>627</v>
      </c>
      <c r="E64" s="719" t="s">
        <v>1276</v>
      </c>
      <c r="F64" s="752">
        <f t="shared" ca="1" si="0"/>
        <v>0</v>
      </c>
      <c r="I64" s="2387" t="s">
        <v>1725</v>
      </c>
      <c r="J64" s="2388">
        <v>50</v>
      </c>
      <c r="K64" s="2388">
        <v>35</v>
      </c>
      <c r="L64" s="2388">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-2</v>
      </c>
      <c r="D66" s="906" t="s">
        <v>647</v>
      </c>
      <c r="E66" s="904"/>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4.4999999999999998E-2</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-2</v>
      </c>
      <c r="R69" s="1962"/>
    </row>
    <row r="70" spans="1:18" ht="15.75" thickBot="1">
      <c r="A70" s="757" t="s">
        <v>1316</v>
      </c>
      <c r="B70" s="758" t="s">
        <v>1339</v>
      </c>
      <c r="C70" s="759">
        <f ca="1">ROUND(C67*10000/F70,0)</f>
        <v>0</v>
      </c>
      <c r="D70" s="760" t="s">
        <v>1340</v>
      </c>
      <c r="E70" s="761" t="s">
        <v>1341</v>
      </c>
      <c r="F70" s="762">
        <f ca="1">F43</f>
        <v>32315.351999999999</v>
      </c>
      <c r="O70" s="1960" t="s">
        <v>1753</v>
      </c>
      <c r="P70" s="1966" t="s">
        <v>1754</v>
      </c>
      <c r="Q70" s="1959">
        <f ca="1">C39</f>
        <v>-2</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2436</v>
      </c>
      <c r="B1" s="2814"/>
      <c r="C1" s="2827"/>
      <c r="D1" s="2827"/>
      <c r="E1" s="2815"/>
      <c r="F1" s="2816"/>
      <c r="G1" s="2817"/>
      <c r="J1" s="2820" t="s">
        <v>2293</v>
      </c>
      <c r="K1" s="2821"/>
      <c r="L1" s="2821"/>
      <c r="M1" s="2821"/>
      <c r="N1" s="2821"/>
      <c r="O1" s="2821"/>
      <c r="P1" s="2821"/>
      <c r="Q1" s="2821"/>
      <c r="R1" s="2822"/>
      <c r="S1" s="2823"/>
      <c r="T1" s="2823"/>
      <c r="U1" s="2823"/>
    </row>
    <row r="2" spans="1:22" s="2836" customFormat="1" ht="13.15" customHeight="1">
      <c r="A2" s="2825" t="s">
        <v>2294</v>
      </c>
      <c r="B2" s="2826" t="e">
        <f>C40</f>
        <v>#DIV/0!</v>
      </c>
      <c r="C2" s="2827" t="s">
        <v>2295</v>
      </c>
      <c r="D2" s="2827"/>
      <c r="E2" s="2828"/>
      <c r="F2" s="2829"/>
      <c r="G2" s="2830"/>
      <c r="H2" s="2831"/>
      <c r="I2" s="2832"/>
      <c r="J2" s="3700" t="s">
        <v>2296</v>
      </c>
      <c r="K2" s="3701"/>
      <c r="L2" s="2833" t="s">
        <v>2297</v>
      </c>
      <c r="M2" s="2833" t="s">
        <v>2298</v>
      </c>
      <c r="N2" s="2833" t="s">
        <v>2299</v>
      </c>
      <c r="O2" s="2833" t="s">
        <v>2300</v>
      </c>
      <c r="P2" s="2833" t="s">
        <v>2301</v>
      </c>
      <c r="Q2" s="2834" t="s">
        <v>2302</v>
      </c>
      <c r="R2" s="2835" t="s">
        <v>2303</v>
      </c>
      <c r="S2" s="2823"/>
      <c r="T2" s="2823"/>
      <c r="U2" s="2823"/>
      <c r="V2" s="2832"/>
    </row>
    <row r="3" spans="1:22" s="2836" customFormat="1" ht="13.15" customHeight="1">
      <c r="A3" s="2837" t="s">
        <v>2304</v>
      </c>
      <c r="B3" s="2838" t="e">
        <f>ROUND(B2*10000/B4,0)</f>
        <v>#DIV/0!</v>
      </c>
      <c r="C3" s="2827" t="s">
        <v>2305</v>
      </c>
      <c r="D3" s="2827"/>
      <c r="E3" s="2828"/>
      <c r="F3" s="2829"/>
      <c r="G3" s="2830"/>
      <c r="H3" s="2831"/>
      <c r="I3" s="2832"/>
      <c r="J3" s="3702" t="s">
        <v>2306</v>
      </c>
      <c r="K3" s="3703"/>
      <c r="L3" s="2839"/>
      <c r="M3" s="2839"/>
      <c r="N3" s="2839"/>
      <c r="O3" s="2839"/>
      <c r="P3" s="2839"/>
      <c r="Q3" s="2840"/>
      <c r="R3" s="2841">
        <f>SUM(L3:Q3)</f>
        <v>0</v>
      </c>
      <c r="S3" s="2823"/>
      <c r="T3" s="2823"/>
      <c r="U3" s="2823"/>
      <c r="V3" s="2832"/>
    </row>
    <row r="4" spans="1:22" s="2836" customFormat="1" ht="13.15" customHeight="1">
      <c r="A4" s="2842" t="s">
        <v>2307</v>
      </c>
      <c r="B4" s="2843"/>
      <c r="C4" s="2827"/>
      <c r="D4" s="2827"/>
      <c r="E4" s="2828"/>
      <c r="F4" s="2829"/>
      <c r="G4" s="2830"/>
      <c r="H4" s="2831"/>
      <c r="I4" s="2832"/>
      <c r="J4" s="3702" t="s">
        <v>2308</v>
      </c>
      <c r="K4" s="3703"/>
      <c r="L4" s="2844"/>
      <c r="M4" s="2844"/>
      <c r="N4" s="2844"/>
      <c r="O4" s="2844"/>
      <c r="P4" s="2844"/>
      <c r="Q4" s="2845"/>
      <c r="R4" s="2846">
        <f>SUM(L4:Q4)</f>
        <v>0</v>
      </c>
      <c r="S4" s="2823"/>
      <c r="T4" s="2823"/>
      <c r="U4" s="2823"/>
      <c r="V4" s="2832"/>
    </row>
    <row r="5" spans="1:22" s="2836" customFormat="1" ht="13.15" customHeight="1" thickBot="1">
      <c r="A5" s="2847" t="s">
        <v>2309</v>
      </c>
      <c r="B5" s="2848"/>
      <c r="C5" s="2827"/>
      <c r="D5" s="2849"/>
      <c r="E5" s="2829"/>
      <c r="F5" s="2829"/>
      <c r="G5" s="2830"/>
      <c r="H5" s="2831"/>
      <c r="I5" s="2832"/>
      <c r="J5" s="2850" t="s">
        <v>2310</v>
      </c>
      <c r="K5" s="2851"/>
      <c r="L5" s="2851"/>
      <c r="M5" s="2852"/>
      <c r="N5" s="2852"/>
      <c r="O5" s="2852"/>
      <c r="P5" s="2852"/>
      <c r="Q5" s="2852"/>
      <c r="R5" s="2835">
        <f>SUM(R14,R19,R24,R25,R27,R28)</f>
        <v>0</v>
      </c>
      <c r="S5" s="2823"/>
      <c r="T5" s="2823" t="s">
        <v>2311</v>
      </c>
      <c r="U5" s="2823" t="e">
        <f>ROUND(R5*10000/365/R3,1)</f>
        <v>#DIV/0!</v>
      </c>
      <c r="V5" s="2832"/>
    </row>
    <row r="6" spans="1:22" s="2836" customFormat="1" ht="13.15" customHeight="1" thickBot="1">
      <c r="A6" s="3704" t="s">
        <v>2312</v>
      </c>
      <c r="B6" s="3705"/>
      <c r="C6" s="3706"/>
      <c r="D6" s="2853"/>
      <c r="E6" s="2854"/>
      <c r="F6" s="2855"/>
      <c r="G6" s="2856"/>
      <c r="H6" s="2831"/>
      <c r="I6" s="2832"/>
      <c r="J6" s="3707">
        <v>1</v>
      </c>
      <c r="K6" s="3708" t="s">
        <v>2313</v>
      </c>
      <c r="L6" s="2857" t="s">
        <v>2314</v>
      </c>
      <c r="M6" s="2858" t="s">
        <v>2315</v>
      </c>
      <c r="N6" s="2858" t="s">
        <v>2316</v>
      </c>
      <c r="O6" s="2858" t="s">
        <v>2317</v>
      </c>
      <c r="P6" s="2858" t="s">
        <v>2318</v>
      </c>
      <c r="Q6" s="2858" t="s">
        <v>2319</v>
      </c>
      <c r="R6" s="2841" t="s">
        <v>2320</v>
      </c>
      <c r="S6" s="2823"/>
      <c r="T6" s="2823" t="s">
        <v>2321</v>
      </c>
      <c r="U6" s="2823"/>
      <c r="V6" s="2832"/>
    </row>
    <row r="7" spans="1:22" s="2836" customFormat="1" ht="13.15" customHeight="1">
      <c r="A7" s="2859" t="s">
        <v>2322</v>
      </c>
      <c r="B7" s="2860"/>
      <c r="C7" s="2861"/>
      <c r="D7" s="2862">
        <f>SUM(D9,D10,D11,D17,0)</f>
        <v>0</v>
      </c>
      <c r="E7" s="2863" t="e">
        <f>E9+E10+E11+E17</f>
        <v>#DIV/0!</v>
      </c>
      <c r="F7" s="2864"/>
      <c r="G7" s="2865"/>
      <c r="H7" s="2831"/>
      <c r="I7" s="2832"/>
      <c r="J7" s="3707"/>
      <c r="K7" s="3709"/>
      <c r="L7" s="2866" t="s">
        <v>2323</v>
      </c>
      <c r="M7" s="2867"/>
      <c r="N7" s="2843"/>
      <c r="O7" s="2868"/>
      <c r="P7" s="2868"/>
      <c r="Q7" s="2869">
        <v>365</v>
      </c>
      <c r="R7" s="2870">
        <f>ROUND(M7*N7*O7*P7*Q7/10000,0)</f>
        <v>0</v>
      </c>
      <c r="S7" s="2823"/>
      <c r="T7" s="2823" t="s">
        <v>2324</v>
      </c>
      <c r="U7" s="2823"/>
      <c r="V7" s="2832"/>
    </row>
    <row r="8" spans="1:22" s="2836" customFormat="1" ht="13.15" customHeight="1">
      <c r="A8" s="2871" t="s">
        <v>2325</v>
      </c>
      <c r="B8" s="3711" t="s">
        <v>2326</v>
      </c>
      <c r="C8" s="3712"/>
      <c r="D8" s="2872" t="s">
        <v>2327</v>
      </c>
      <c r="E8" s="2873" t="s">
        <v>2328</v>
      </c>
      <c r="F8" s="2874" t="s">
        <v>2329</v>
      </c>
      <c r="G8" s="2875"/>
      <c r="H8" s="2831"/>
      <c r="I8" s="2832"/>
      <c r="J8" s="3707"/>
      <c r="K8" s="3709"/>
      <c r="L8" s="2866" t="s">
        <v>2330</v>
      </c>
      <c r="M8" s="2867"/>
      <c r="N8" s="2843"/>
      <c r="O8" s="2868"/>
      <c r="P8" s="2868"/>
      <c r="Q8" s="2869">
        <v>365</v>
      </c>
      <c r="R8" s="2870">
        <f t="shared" ref="R8:R13" si="0">ROUND(M8*N8*O8*P8*Q8/10000,0)</f>
        <v>0</v>
      </c>
      <c r="S8" s="2823"/>
      <c r="T8" s="2823" t="s">
        <v>2331</v>
      </c>
      <c r="U8" s="2823"/>
      <c r="V8" s="2832"/>
    </row>
    <row r="9" spans="1:22" s="2836" customFormat="1" ht="13.15" customHeight="1">
      <c r="A9" s="2871">
        <v>1</v>
      </c>
      <c r="B9" s="3711" t="s">
        <v>2332</v>
      </c>
      <c r="C9" s="3712"/>
      <c r="D9" s="2872">
        <f>ROUND(D6*E9,0)</f>
        <v>0</v>
      </c>
      <c r="E9" s="2876"/>
      <c r="F9" s="2877" t="s">
        <v>2333</v>
      </c>
      <c r="G9" s="2856"/>
      <c r="H9" s="2831"/>
      <c r="I9" s="2832"/>
      <c r="J9" s="3707"/>
      <c r="K9" s="3709"/>
      <c r="L9" s="2866" t="s">
        <v>2334</v>
      </c>
      <c r="M9" s="2867"/>
      <c r="N9" s="2843"/>
      <c r="O9" s="2868"/>
      <c r="P9" s="2868"/>
      <c r="Q9" s="2869">
        <v>365</v>
      </c>
      <c r="R9" s="2870">
        <f t="shared" si="0"/>
        <v>0</v>
      </c>
      <c r="S9" s="2823"/>
      <c r="T9" s="2823"/>
      <c r="U9" s="2823"/>
      <c r="V9" s="2832"/>
    </row>
    <row r="10" spans="1:22" s="2836" customFormat="1" ht="13.15" customHeight="1">
      <c r="A10" s="2871">
        <v>2</v>
      </c>
      <c r="B10" s="3711" t="s">
        <v>2335</v>
      </c>
      <c r="C10" s="3712"/>
      <c r="D10" s="2872">
        <f>ROUND(D6*E10,0)</f>
        <v>0</v>
      </c>
      <c r="E10" s="2876"/>
      <c r="F10" s="2877" t="s">
        <v>2336</v>
      </c>
      <c r="G10" s="2856"/>
      <c r="H10" s="2831"/>
      <c r="I10" s="2832"/>
      <c r="J10" s="3707"/>
      <c r="K10" s="3709"/>
      <c r="L10" s="2866" t="s">
        <v>2337</v>
      </c>
      <c r="M10" s="2867"/>
      <c r="N10" s="2843"/>
      <c r="O10" s="2868"/>
      <c r="P10" s="2868"/>
      <c r="Q10" s="2869">
        <v>365</v>
      </c>
      <c r="R10" s="2870">
        <f t="shared" si="0"/>
        <v>0</v>
      </c>
      <c r="S10" s="2823"/>
      <c r="T10" s="2823"/>
      <c r="U10" s="2823"/>
      <c r="V10" s="2832"/>
    </row>
    <row r="11" spans="1:22" s="2836" customFormat="1" ht="13.15" customHeight="1">
      <c r="A11" s="2871">
        <v>3</v>
      </c>
      <c r="B11" s="3711" t="s">
        <v>2338</v>
      </c>
      <c r="C11" s="3712"/>
      <c r="D11" s="2872">
        <f>D12+D14+D15+D16</f>
        <v>0</v>
      </c>
      <c r="E11" s="2878" t="e">
        <f>D11/D6</f>
        <v>#DIV/0!</v>
      </c>
      <c r="F11" s="2874"/>
      <c r="G11" s="2875"/>
      <c r="H11" s="2831"/>
      <c r="I11" s="2832"/>
      <c r="J11" s="3707"/>
      <c r="K11" s="3709"/>
      <c r="L11" s="2866" t="s">
        <v>2339</v>
      </c>
      <c r="M11" s="2867"/>
      <c r="N11" s="2843"/>
      <c r="O11" s="2868"/>
      <c r="P11" s="2868"/>
      <c r="Q11" s="2869">
        <v>365</v>
      </c>
      <c r="R11" s="2870">
        <f t="shared" si="0"/>
        <v>0</v>
      </c>
      <c r="S11" s="2823"/>
      <c r="T11" s="2823"/>
      <c r="U11" s="2823"/>
      <c r="V11" s="2832"/>
    </row>
    <row r="12" spans="1:22" s="2836" customFormat="1" ht="13.15" customHeight="1">
      <c r="A12" s="2879" t="s">
        <v>2340</v>
      </c>
      <c r="B12" s="3713" t="s">
        <v>2341</v>
      </c>
      <c r="C12" s="3714"/>
      <c r="D12" s="2880">
        <f>ROUND(D13*1.2%*(1-30%),0)</f>
        <v>0</v>
      </c>
      <c r="E12" s="2881">
        <v>1.2E-2</v>
      </c>
      <c r="F12" s="2874" t="s">
        <v>2342</v>
      </c>
      <c r="G12" s="2875"/>
      <c r="H12" s="2831"/>
      <c r="I12" s="2832"/>
      <c r="J12" s="3707"/>
      <c r="K12" s="3709"/>
      <c r="L12" s="2866" t="s">
        <v>2343</v>
      </c>
      <c r="M12" s="2867"/>
      <c r="N12" s="2843"/>
      <c r="O12" s="2868"/>
      <c r="P12" s="2868"/>
      <c r="Q12" s="2869">
        <v>365</v>
      </c>
      <c r="R12" s="2870">
        <f t="shared" si="0"/>
        <v>0</v>
      </c>
      <c r="S12" s="2823"/>
      <c r="T12" s="2823"/>
      <c r="U12" s="2823"/>
      <c r="V12" s="2832"/>
    </row>
    <row r="13" spans="1:22" s="2836" customFormat="1" ht="13.15" customHeight="1">
      <c r="A13" s="2879"/>
      <c r="B13" s="2882"/>
      <c r="C13" s="2883" t="s">
        <v>2344</v>
      </c>
      <c r="D13" s="2884"/>
      <c r="E13" s="2885"/>
      <c r="F13" s="2874"/>
      <c r="G13" s="2875"/>
      <c r="H13" s="2831"/>
      <c r="I13" s="2832"/>
      <c r="J13" s="3707"/>
      <c r="K13" s="3709"/>
      <c r="L13" s="2866" t="s">
        <v>2345</v>
      </c>
      <c r="M13" s="2867"/>
      <c r="N13" s="2843"/>
      <c r="O13" s="2868"/>
      <c r="P13" s="2868"/>
      <c r="Q13" s="2869">
        <v>365</v>
      </c>
      <c r="R13" s="2870">
        <f t="shared" si="0"/>
        <v>0</v>
      </c>
      <c r="S13" s="2823"/>
      <c r="T13" s="2823"/>
      <c r="U13" s="2823"/>
      <c r="V13" s="2832"/>
    </row>
    <row r="14" spans="1:22" s="2836" customFormat="1" ht="13.15" customHeight="1">
      <c r="A14" s="2879" t="s">
        <v>2346</v>
      </c>
      <c r="B14" s="3713" t="s">
        <v>2347</v>
      </c>
      <c r="C14" s="3714"/>
      <c r="D14" s="2880">
        <f>ROUND(E14*B5/10000,0)</f>
        <v>0</v>
      </c>
      <c r="E14" s="2869"/>
      <c r="F14" s="2874" t="s">
        <v>2348</v>
      </c>
      <c r="G14" s="2875"/>
      <c r="H14" s="2831"/>
      <c r="I14" s="2832"/>
      <c r="J14" s="3707"/>
      <c r="K14" s="3710"/>
      <c r="L14" s="2886" t="s">
        <v>2349</v>
      </c>
      <c r="M14" s="2887">
        <f>SUM(M7:M13)</f>
        <v>0</v>
      </c>
      <c r="N14" s="2887" t="e">
        <f>ROUND((N7*M7+N8*M8+N9*M9+N10*M10+N11*M11+N12*M12+N13*M13)/M14,0)</f>
        <v>#DIV/0!</v>
      </c>
      <c r="O14" s="2888"/>
      <c r="P14" s="2888"/>
      <c r="Q14" s="2889"/>
      <c r="R14" s="2835">
        <f>SUM(R7:R13)</f>
        <v>0</v>
      </c>
      <c r="S14" s="2823"/>
      <c r="T14" s="2823"/>
      <c r="U14" s="2823"/>
      <c r="V14" s="2832"/>
    </row>
    <row r="15" spans="1:22" s="2836" customFormat="1" ht="13.15" customHeight="1">
      <c r="A15" s="2879" t="s">
        <v>2350</v>
      </c>
      <c r="B15" s="3713" t="s">
        <v>2351</v>
      </c>
      <c r="C15" s="3714"/>
      <c r="D15" s="2880">
        <f>ROUND(D6*E15,0)</f>
        <v>0</v>
      </c>
      <c r="E15" s="2881">
        <v>5.5E-2</v>
      </c>
      <c r="F15" s="2874" t="s">
        <v>2352</v>
      </c>
      <c r="G15" s="2856"/>
      <c r="H15" s="2831"/>
      <c r="I15" s="2832"/>
      <c r="J15" s="3707">
        <v>2</v>
      </c>
      <c r="K15" s="3708" t="s">
        <v>2353</v>
      </c>
      <c r="L15" s="2866" t="s">
        <v>2354</v>
      </c>
      <c r="M15" s="2867" t="s">
        <v>2355</v>
      </c>
      <c r="N15" s="2867" t="s">
        <v>2356</v>
      </c>
      <c r="O15" s="2868" t="s">
        <v>2357</v>
      </c>
      <c r="P15" s="2868" t="s">
        <v>2358</v>
      </c>
      <c r="Q15" s="2843" t="s">
        <v>2359</v>
      </c>
      <c r="R15" s="2890" t="s">
        <v>2360</v>
      </c>
      <c r="S15" s="2823"/>
      <c r="T15" s="2823"/>
      <c r="U15" s="2823"/>
      <c r="V15" s="2832"/>
    </row>
    <row r="16" spans="1:22" s="2836" customFormat="1" ht="13.15" customHeight="1">
      <c r="A16" s="2879" t="s">
        <v>2361</v>
      </c>
      <c r="B16" s="3713" t="s">
        <v>2362</v>
      </c>
      <c r="C16" s="3714"/>
      <c r="D16" s="2891">
        <f>D6*E16</f>
        <v>0</v>
      </c>
      <c r="E16" s="2892"/>
      <c r="F16" s="2877" t="s">
        <v>2363</v>
      </c>
      <c r="G16" s="2856"/>
      <c r="H16" s="2831"/>
      <c r="I16" s="2832"/>
      <c r="J16" s="3707"/>
      <c r="K16" s="3709"/>
      <c r="L16" s="2866" t="s">
        <v>2364</v>
      </c>
      <c r="M16" s="2867"/>
      <c r="N16" s="2867"/>
      <c r="O16" s="2868"/>
      <c r="P16" s="2869">
        <v>365</v>
      </c>
      <c r="Q16" s="2843"/>
      <c r="R16" s="2890">
        <f>ROUND(M16*N16*O16*P16/10000,0)</f>
        <v>0</v>
      </c>
      <c r="S16" s="2823"/>
      <c r="T16" s="2823"/>
      <c r="U16" s="2823"/>
      <c r="V16" s="2832"/>
    </row>
    <row r="17" spans="1:22" s="2836" customFormat="1" ht="13.15" customHeight="1" thickBot="1">
      <c r="A17" s="2893">
        <v>4</v>
      </c>
      <c r="B17" s="3715" t="s">
        <v>2365</v>
      </c>
      <c r="C17" s="3716"/>
      <c r="D17" s="2894">
        <f>ROUND(D6*E17,0)</f>
        <v>0</v>
      </c>
      <c r="E17" s="2895"/>
      <c r="F17" s="2896" t="s">
        <v>2366</v>
      </c>
      <c r="G17" s="2856"/>
      <c r="H17" s="2831"/>
      <c r="I17" s="2832"/>
      <c r="J17" s="3707"/>
      <c r="K17" s="3709"/>
      <c r="L17" s="2866" t="s">
        <v>2367</v>
      </c>
      <c r="M17" s="2867"/>
      <c r="N17" s="2867"/>
      <c r="O17" s="2868"/>
      <c r="P17" s="2869">
        <v>365</v>
      </c>
      <c r="Q17" s="2843"/>
      <c r="R17" s="2890">
        <f>ROUND(M17*N17*O17*P17/10000,0)</f>
        <v>0</v>
      </c>
      <c r="S17" s="2823"/>
      <c r="T17" s="2823"/>
      <c r="U17" s="2823"/>
      <c r="V17" s="2832"/>
    </row>
    <row r="18" spans="1:22" s="2836" customFormat="1" ht="13.15" customHeight="1" thickBot="1">
      <c r="A18" s="2859" t="s">
        <v>2368</v>
      </c>
      <c r="B18" s="2860"/>
      <c r="C18" s="2860"/>
      <c r="D18" s="2897">
        <f>ROUND(D6*E18,0)</f>
        <v>0</v>
      </c>
      <c r="E18" s="2898"/>
      <c r="F18" s="2899" t="s">
        <v>2369</v>
      </c>
      <c r="G18" s="2856"/>
      <c r="H18" s="2831"/>
      <c r="I18" s="2832"/>
      <c r="J18" s="3707"/>
      <c r="K18" s="3709"/>
      <c r="L18" s="2866" t="s">
        <v>2370</v>
      </c>
      <c r="M18" s="2867"/>
      <c r="N18" s="2867"/>
      <c r="O18" s="2868"/>
      <c r="P18" s="2869">
        <v>365</v>
      </c>
      <c r="Q18" s="2843"/>
      <c r="R18" s="2890">
        <f>ROUND(M18*N18*O18*P18/10000,0)</f>
        <v>0</v>
      </c>
      <c r="S18" s="2823"/>
      <c r="T18" s="2823"/>
      <c r="U18" s="2823"/>
      <c r="V18" s="2832"/>
    </row>
    <row r="19" spans="1:22" s="2836" customFormat="1" ht="13.15" customHeight="1" thickBot="1">
      <c r="A19" s="2900" t="s">
        <v>2371</v>
      </c>
      <c r="B19" s="2854"/>
      <c r="C19" s="2854"/>
      <c r="D19" s="2854"/>
      <c r="E19" s="2854"/>
      <c r="F19" s="2855"/>
      <c r="G19" s="2875"/>
      <c r="H19" s="2831"/>
      <c r="I19" s="2832"/>
      <c r="J19" s="3707"/>
      <c r="K19" s="3710"/>
      <c r="L19" s="2886" t="s">
        <v>2349</v>
      </c>
      <c r="M19" s="2887"/>
      <c r="N19" s="2887">
        <f>SUM(N16:N18)</f>
        <v>0</v>
      </c>
      <c r="O19" s="2888"/>
      <c r="P19" s="2901" t="s">
        <v>2437</v>
      </c>
      <c r="Q19" s="2868"/>
      <c r="R19" s="2902">
        <f>ROUND(IF(P19="按比例",R14*Q19,SUM(R16:R18)),0)</f>
        <v>0</v>
      </c>
      <c r="S19" s="2823"/>
      <c r="T19" s="2823"/>
      <c r="U19" s="2823"/>
      <c r="V19" s="2832"/>
    </row>
    <row r="20" spans="1:22" s="2836" customFormat="1" ht="13.15" customHeight="1">
      <c r="A20" s="2859"/>
      <c r="B20" s="2860"/>
      <c r="C20" s="2860"/>
      <c r="D20" s="2860"/>
      <c r="E20" s="2860"/>
      <c r="F20" s="2903"/>
      <c r="G20" s="2875"/>
      <c r="H20" s="2831"/>
      <c r="I20" s="2832"/>
      <c r="J20" s="3707">
        <v>3</v>
      </c>
      <c r="K20" s="3708" t="s">
        <v>2372</v>
      </c>
      <c r="L20" s="2866" t="s">
        <v>2373</v>
      </c>
      <c r="M20" s="2867" t="s">
        <v>2374</v>
      </c>
      <c r="N20" s="2904" t="s">
        <v>2375</v>
      </c>
      <c r="O20" s="2868" t="s">
        <v>2376</v>
      </c>
      <c r="P20" s="2869" t="s">
        <v>2377</v>
      </c>
      <c r="Q20" s="2843" t="s">
        <v>2378</v>
      </c>
      <c r="R20" s="2890" t="s">
        <v>2320</v>
      </c>
      <c r="S20" s="2823"/>
      <c r="T20" s="2823"/>
      <c r="U20" s="2823"/>
      <c r="V20" s="2832"/>
    </row>
    <row r="21" spans="1:22" s="2836" customFormat="1" ht="13.15" customHeight="1">
      <c r="A21" s="2859"/>
      <c r="B21" s="2860"/>
      <c r="C21" s="2905" t="s">
        <v>2379</v>
      </c>
      <c r="D21" s="2906" t="s">
        <v>2380</v>
      </c>
      <c r="E21" s="2907" t="s">
        <v>2381</v>
      </c>
      <c r="F21" s="2903"/>
      <c r="G21" s="2875"/>
      <c r="H21" s="2831"/>
      <c r="I21" s="2832"/>
      <c r="J21" s="3707"/>
      <c r="K21" s="3709"/>
      <c r="L21" s="2866" t="s">
        <v>2382</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2383</v>
      </c>
      <c r="D22" s="2910" t="s">
        <v>2384</v>
      </c>
      <c r="E22" s="2911" t="s">
        <v>2385</v>
      </c>
      <c r="F22" s="2903"/>
      <c r="G22" s="2823"/>
      <c r="H22" s="2831"/>
      <c r="I22" s="2832"/>
      <c r="J22" s="3707"/>
      <c r="K22" s="3709"/>
      <c r="L22" s="2866" t="s">
        <v>2386</v>
      </c>
      <c r="M22" s="2867"/>
      <c r="N22" s="2867"/>
      <c r="O22" s="2868"/>
      <c r="P22" s="2869">
        <v>365</v>
      </c>
      <c r="Q22" s="2843"/>
      <c r="R22" s="2908">
        <f>ROUND(M22*N22*O22*P22/10000,0)</f>
        <v>0</v>
      </c>
      <c r="S22" s="2823"/>
      <c r="T22" s="2823"/>
      <c r="U22" s="2823"/>
      <c r="V22" s="2832"/>
    </row>
    <row r="23" spans="1:22" s="2836" customFormat="1" ht="13.15" customHeight="1">
      <c r="A23" s="2912">
        <v>1</v>
      </c>
      <c r="B23" s="2913" t="s">
        <v>2387</v>
      </c>
      <c r="C23" s="2914">
        <f>D6</f>
        <v>0</v>
      </c>
      <c r="D23" s="2915">
        <f>C23*(1+D24)</f>
        <v>0</v>
      </c>
      <c r="E23" s="2916">
        <f>D23*(1+E24)</f>
        <v>0</v>
      </c>
      <c r="F23" s="2917"/>
      <c r="G23" s="2918"/>
      <c r="H23" s="2831"/>
      <c r="I23" s="2832"/>
      <c r="J23" s="3707"/>
      <c r="K23" s="3709"/>
      <c r="L23" s="2866" t="s">
        <v>2388</v>
      </c>
      <c r="M23" s="2867"/>
      <c r="N23" s="2867"/>
      <c r="O23" s="2868"/>
      <c r="P23" s="2869">
        <v>365</v>
      </c>
      <c r="Q23" s="2843"/>
      <c r="R23" s="2908">
        <f>ROUND(M23*N23*O23*P23/10000,0)</f>
        <v>0</v>
      </c>
      <c r="S23" s="2823"/>
      <c r="T23" s="2823"/>
      <c r="U23" s="2823"/>
      <c r="V23" s="2832"/>
    </row>
    <row r="24" spans="1:22" s="2836" customFormat="1" ht="13.15" customHeight="1">
      <c r="A24" s="2919"/>
      <c r="B24" s="2920" t="s">
        <v>2389</v>
      </c>
      <c r="C24" s="2921"/>
      <c r="D24" s="2922"/>
      <c r="E24" s="2923"/>
      <c r="F24" s="2924"/>
      <c r="G24" s="2918"/>
      <c r="H24" s="2831"/>
      <c r="I24" s="2832"/>
      <c r="J24" s="3707"/>
      <c r="K24" s="3710"/>
      <c r="L24" s="2886" t="s">
        <v>2349</v>
      </c>
      <c r="M24" s="2887">
        <f>SUM(M21:M23)</f>
        <v>0</v>
      </c>
      <c r="N24" s="2887"/>
      <c r="O24" s="2888"/>
      <c r="P24" s="2901" t="s">
        <v>2437</v>
      </c>
      <c r="Q24" s="2868"/>
      <c r="R24" s="2902">
        <f>ROUND(IF(P24="按比例",R14*Q24,SUM(R21:R23)),0)</f>
        <v>0</v>
      </c>
      <c r="S24" s="2823"/>
      <c r="T24" s="2823"/>
      <c r="U24" s="2823"/>
      <c r="V24" s="2832"/>
    </row>
    <row r="25" spans="1:22" s="2931" customFormat="1" ht="13.15" customHeight="1">
      <c r="A25" s="2919"/>
      <c r="B25" s="2920"/>
      <c r="C25" s="2921"/>
      <c r="D25" s="2922"/>
      <c r="E25" s="2923"/>
      <c r="F25" s="2924"/>
      <c r="G25" s="2823"/>
      <c r="H25" s="2831"/>
      <c r="I25" s="2832"/>
      <c r="J25" s="2925">
        <v>4</v>
      </c>
      <c r="K25" s="2926" t="s">
        <v>2390</v>
      </c>
      <c r="L25" s="2927"/>
      <c r="M25" s="2927"/>
      <c r="N25" s="2927"/>
      <c r="O25" s="2927"/>
      <c r="P25" s="2928"/>
      <c r="Q25" s="2929"/>
      <c r="R25" s="2902">
        <f>ROUND(R14*Q25,0)</f>
        <v>0</v>
      </c>
      <c r="S25" s="2823"/>
      <c r="T25" s="2823"/>
      <c r="U25" s="2823"/>
      <c r="V25" s="2930"/>
    </row>
    <row r="26" spans="1:22" s="2931" customFormat="1" ht="13.15" customHeight="1">
      <c r="A26" s="2912">
        <v>2</v>
      </c>
      <c r="B26" s="2913" t="s">
        <v>2391</v>
      </c>
      <c r="C26" s="2914">
        <f>D7</f>
        <v>0</v>
      </c>
      <c r="D26" s="2915">
        <f>D23*D27</f>
        <v>0</v>
      </c>
      <c r="E26" s="2916">
        <f>E23*E27</f>
        <v>0</v>
      </c>
      <c r="F26" s="2917"/>
      <c r="G26" s="2918"/>
      <c r="H26" s="2831"/>
      <c r="I26" s="2832"/>
      <c r="J26" s="3717">
        <v>5</v>
      </c>
      <c r="K26" s="2932" t="s">
        <v>2392</v>
      </c>
      <c r="L26" s="2933"/>
      <c r="M26" s="2934"/>
      <c r="N26" s="2935" t="s">
        <v>2393</v>
      </c>
      <c r="O26" s="2935" t="s">
        <v>2394</v>
      </c>
      <c r="P26" s="2936" t="s">
        <v>2395</v>
      </c>
      <c r="Q26" s="2936" t="s">
        <v>2396</v>
      </c>
      <c r="R26" s="2841" t="s">
        <v>2397</v>
      </c>
      <c r="S26" s="2875"/>
      <c r="T26" s="2875"/>
      <c r="U26" s="2875"/>
      <c r="V26" s="2930"/>
    </row>
    <row r="27" spans="1:22" s="2836" customFormat="1" ht="13.15" customHeight="1">
      <c r="A27" s="2919"/>
      <c r="B27" s="2920" t="s">
        <v>2398</v>
      </c>
      <c r="C27" s="2937" t="e">
        <f>E7</f>
        <v>#DIV/0!</v>
      </c>
      <c r="D27" s="2922"/>
      <c r="E27" s="2923"/>
      <c r="F27" s="2924"/>
      <c r="G27" s="2918"/>
      <c r="H27" s="2938"/>
      <c r="I27" s="2930"/>
      <c r="J27" s="3718"/>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2399</v>
      </c>
      <c r="F28" s="2924"/>
      <c r="G28" s="2823"/>
      <c r="H28" s="2938"/>
      <c r="I28" s="2930"/>
      <c r="J28" s="2944">
        <v>6</v>
      </c>
      <c r="K28" s="2945" t="s">
        <v>2400</v>
      </c>
      <c r="L28" s="2946" t="s">
        <v>2401</v>
      </c>
      <c r="M28" s="2947"/>
      <c r="N28" s="2946" t="s">
        <v>2402</v>
      </c>
      <c r="O28" s="2948"/>
      <c r="P28" s="2946" t="s">
        <v>2403</v>
      </c>
      <c r="Q28" s="2949">
        <v>1.4999999999999999E-2</v>
      </c>
      <c r="R28" s="2950"/>
      <c r="S28" s="2823"/>
      <c r="T28" s="2823"/>
      <c r="U28" s="2823"/>
      <c r="V28" s="2930"/>
    </row>
    <row r="29" spans="1:22" s="2931" customFormat="1" ht="13.15" customHeight="1">
      <c r="A29" s="2912">
        <v>3</v>
      </c>
      <c r="B29" s="2913" t="s">
        <v>2404</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2405</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2406</v>
      </c>
      <c r="K31" s="2821"/>
      <c r="L31" s="2821"/>
      <c r="M31" s="2821"/>
      <c r="N31" s="2821"/>
      <c r="O31" s="2821"/>
      <c r="P31" s="2821"/>
      <c r="Q31" s="2821"/>
      <c r="R31" s="2822"/>
      <c r="S31" s="2823"/>
      <c r="T31" s="2823"/>
      <c r="U31" s="2823"/>
      <c r="V31" s="2930"/>
    </row>
    <row r="32" spans="1:22" s="2931" customFormat="1" ht="13.15" customHeight="1">
      <c r="A32" s="2912">
        <v>4</v>
      </c>
      <c r="B32" s="2913" t="s">
        <v>2407</v>
      </c>
      <c r="C32" s="2914">
        <f>C23-C26-C29</f>
        <v>0</v>
      </c>
      <c r="D32" s="2915">
        <f>D23-D26-D29</f>
        <v>0</v>
      </c>
      <c r="E32" s="2916">
        <f>E23-E26-E29</f>
        <v>0</v>
      </c>
      <c r="F32" s="2917"/>
      <c r="G32" s="2823"/>
      <c r="H32" s="2831"/>
      <c r="I32" s="2832"/>
      <c r="J32" s="3700" t="s">
        <v>2408</v>
      </c>
      <c r="K32" s="3701"/>
      <c r="L32" s="2833" t="s">
        <v>2409</v>
      </c>
      <c r="M32" s="2833" t="s">
        <v>2298</v>
      </c>
      <c r="N32" s="2833" t="s">
        <v>2299</v>
      </c>
      <c r="O32" s="2833" t="s">
        <v>2300</v>
      </c>
      <c r="P32" s="2833" t="s">
        <v>2301</v>
      </c>
      <c r="Q32" s="2834" t="s">
        <v>2410</v>
      </c>
      <c r="R32" s="2953" t="s">
        <v>2411</v>
      </c>
      <c r="S32" s="2823"/>
      <c r="T32" s="2823"/>
      <c r="U32" s="2823"/>
      <c r="V32" s="2930"/>
    </row>
    <row r="33" spans="1:23" s="2836" customFormat="1" ht="13.15" customHeight="1">
      <c r="A33" s="2912"/>
      <c r="B33" s="2913"/>
      <c r="C33" s="2914"/>
      <c r="D33" s="2954"/>
      <c r="E33" s="2955"/>
      <c r="F33" s="2917"/>
      <c r="G33" s="2823"/>
      <c r="H33" s="2938"/>
      <c r="I33" s="2930"/>
      <c r="J33" s="3702" t="s">
        <v>2412</v>
      </c>
      <c r="K33" s="3703"/>
      <c r="L33" s="2839"/>
      <c r="M33" s="2839"/>
      <c r="N33" s="2839"/>
      <c r="O33" s="2839"/>
      <c r="P33" s="2839"/>
      <c r="Q33" s="2840"/>
      <c r="R33" s="2956">
        <f>SUM(L33:Q33)</f>
        <v>0</v>
      </c>
      <c r="S33" s="2823"/>
      <c r="T33" s="2823"/>
      <c r="U33" s="2823"/>
      <c r="V33" s="2832"/>
    </row>
    <row r="34" spans="1:23" s="2836" customFormat="1" ht="13.15" customHeight="1">
      <c r="A34" s="2912">
        <v>5</v>
      </c>
      <c r="B34" s="2913" t="s">
        <v>2413</v>
      </c>
      <c r="C34" s="2957"/>
      <c r="D34" s="2958"/>
      <c r="E34" s="2959"/>
      <c r="F34" s="2917"/>
      <c r="G34" s="2823"/>
      <c r="H34" s="2938"/>
      <c r="I34" s="2930"/>
      <c r="J34" s="3702" t="s">
        <v>2414</v>
      </c>
      <c r="K34" s="3703"/>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2415</v>
      </c>
      <c r="C35" s="2961"/>
      <c r="D35" s="2962"/>
      <c r="E35" s="2963"/>
      <c r="F35" s="2917"/>
      <c r="G35" s="2964"/>
      <c r="H35" s="2831"/>
      <c r="I35" s="2930"/>
      <c r="J35" s="2850" t="s">
        <v>2416</v>
      </c>
      <c r="K35" s="2851"/>
      <c r="L35" s="2851"/>
      <c r="M35" s="2852"/>
      <c r="N35" s="2852"/>
      <c r="O35" s="2852"/>
      <c r="P35" s="2852"/>
      <c r="Q35" s="2852"/>
      <c r="R35" s="2965">
        <f>R40+R41+R43</f>
        <v>0</v>
      </c>
      <c r="S35" s="2823"/>
      <c r="T35" s="2823" t="s">
        <v>2417</v>
      </c>
      <c r="U35" s="2823"/>
      <c r="V35" s="2832"/>
    </row>
    <row r="36" spans="1:23" s="2836" customFormat="1" ht="13.15" customHeight="1" thickBot="1">
      <c r="A36" s="2912">
        <v>7</v>
      </c>
      <c r="B36" s="2966" t="s">
        <v>2418</v>
      </c>
      <c r="C36" s="2967"/>
      <c r="D36" s="2968"/>
      <c r="E36" s="2969"/>
      <c r="F36" s="2970">
        <f>C36+D36+E36</f>
        <v>0</v>
      </c>
      <c r="G36" s="2823"/>
      <c r="H36" s="2831"/>
      <c r="I36" s="2832"/>
      <c r="J36" s="3707">
        <v>1</v>
      </c>
      <c r="K36" s="3708" t="s">
        <v>2419</v>
      </c>
      <c r="L36" s="2857"/>
      <c r="M36" s="2858"/>
      <c r="N36" s="2858"/>
      <c r="O36" s="2858"/>
      <c r="P36" s="2858"/>
      <c r="Q36" s="2858"/>
      <c r="R36" s="2841" t="s">
        <v>2320</v>
      </c>
      <c r="S36" s="2823"/>
      <c r="T36" s="2823" t="s">
        <v>2321</v>
      </c>
      <c r="U36" s="2823"/>
      <c r="V36" s="2832"/>
    </row>
    <row r="37" spans="1:23" s="2836" customFormat="1" ht="13.15" customHeight="1">
      <c r="A37" s="2912"/>
      <c r="B37" s="2913"/>
      <c r="C37" s="2913"/>
      <c r="D37" s="2913"/>
      <c r="E37" s="2913"/>
      <c r="F37" s="2917"/>
      <c r="G37" s="2823"/>
      <c r="H37" s="2831"/>
      <c r="I37" s="2832"/>
      <c r="J37" s="3707"/>
      <c r="K37" s="3709"/>
      <c r="L37" s="2866"/>
      <c r="M37" s="2867"/>
      <c r="N37" s="2843"/>
      <c r="O37" s="2868"/>
      <c r="P37" s="2868"/>
      <c r="Q37" s="2869"/>
      <c r="R37" s="2870"/>
      <c r="S37" s="2823"/>
      <c r="T37" s="2823" t="s">
        <v>2324</v>
      </c>
      <c r="U37" s="2823"/>
      <c r="V37" s="2832"/>
    </row>
    <row r="38" spans="1:23" s="2836" customFormat="1" ht="13.15" customHeight="1">
      <c r="A38" s="2912">
        <v>8</v>
      </c>
      <c r="B38" s="2913"/>
      <c r="C38" s="2872" t="e">
        <f>ROUND(C32*(1-((1+C35)/(1+C34))^C36)/(C34-C35),0)</f>
        <v>#DIV/0!</v>
      </c>
      <c r="D38" s="2872">
        <f>IF(D23=0,0,ROUND(D32*(1-((1+D35)/(1+D34))^D36)/(D34-D35),0))</f>
        <v>0</v>
      </c>
      <c r="E38" s="2872">
        <f>IF(E23=0,0,ROUND(E32*(1-((1+E35)/(1+E34))^E36)/(E34-E35),0))</f>
        <v>0</v>
      </c>
      <c r="F38" s="2917"/>
      <c r="G38" s="2823"/>
      <c r="H38" s="2831"/>
      <c r="I38" s="2832"/>
      <c r="J38" s="3707"/>
      <c r="K38" s="3709"/>
      <c r="L38" s="2866"/>
      <c r="M38" s="2867"/>
      <c r="N38" s="2843"/>
      <c r="O38" s="2868"/>
      <c r="P38" s="2868"/>
      <c r="Q38" s="2869"/>
      <c r="R38" s="2870"/>
      <c r="S38" s="2823"/>
      <c r="T38" s="2823" t="s">
        <v>2331</v>
      </c>
      <c r="U38" s="2823"/>
      <c r="V38" s="2832"/>
    </row>
    <row r="39" spans="1:23" s="2836" customFormat="1" ht="13.15" customHeight="1">
      <c r="A39" s="2912">
        <v>9</v>
      </c>
      <c r="B39" s="2913" t="s">
        <v>2420</v>
      </c>
      <c r="C39" s="2880" t="e">
        <f>C38</f>
        <v>#DIV/0!</v>
      </c>
      <c r="D39" s="2913">
        <f>D38/(1+D34)^C36</f>
        <v>0</v>
      </c>
      <c r="E39" s="2913">
        <f>E38/(1+E34)^(C36+D36)</f>
        <v>0</v>
      </c>
      <c r="F39" s="2917"/>
      <c r="G39" s="2832"/>
      <c r="H39" s="2831"/>
      <c r="I39" s="2832"/>
      <c r="J39" s="3707"/>
      <c r="K39" s="3709"/>
      <c r="L39" s="2866"/>
      <c r="M39" s="2867"/>
      <c r="N39" s="2843"/>
      <c r="O39" s="2868"/>
      <c r="P39" s="2868"/>
      <c r="Q39" s="2869"/>
      <c r="R39" s="2870"/>
      <c r="S39" s="2823"/>
      <c r="T39" s="2823"/>
      <c r="U39" s="2823"/>
      <c r="V39" s="2832"/>
    </row>
    <row r="40" spans="1:23" s="2836" customFormat="1" ht="13.15" customHeight="1">
      <c r="A40" s="2971">
        <v>10</v>
      </c>
      <c r="B40" s="2913" t="s">
        <v>2421</v>
      </c>
      <c r="C40" s="2972" t="e">
        <f>C39+D39+E39</f>
        <v>#DIV/0!</v>
      </c>
      <c r="D40" s="2973"/>
      <c r="E40" s="2973"/>
      <c r="F40" s="2974"/>
      <c r="G40" s="2823"/>
      <c r="H40" s="2831"/>
      <c r="I40" s="2832"/>
      <c r="J40" s="3707"/>
      <c r="K40" s="3710"/>
      <c r="L40" s="2886" t="s">
        <v>2422</v>
      </c>
      <c r="M40" s="2887"/>
      <c r="N40" s="2887"/>
      <c r="O40" s="2888"/>
      <c r="P40" s="2888"/>
      <c r="Q40" s="2889"/>
      <c r="R40" s="2835">
        <f>SUM(R37:R39)</f>
        <v>0</v>
      </c>
      <c r="S40" s="2823"/>
      <c r="T40" s="2823"/>
      <c r="U40" s="2823"/>
      <c r="V40" s="2832"/>
    </row>
    <row r="41" spans="1:23" s="2836" customFormat="1" ht="13.15" customHeight="1" thickBot="1">
      <c r="A41" s="2975">
        <v>11</v>
      </c>
      <c r="B41" s="2976" t="s">
        <v>2423</v>
      </c>
      <c r="C41" s="2976" t="e">
        <f>ROUND(C40*10000/B4,0)</f>
        <v>#DIV/0!</v>
      </c>
      <c r="D41" s="2977"/>
      <c r="E41" s="2977"/>
      <c r="F41" s="2978"/>
      <c r="G41" s="2831"/>
      <c r="H41" s="2831"/>
      <c r="I41" s="2832"/>
      <c r="J41" s="2925">
        <v>2</v>
      </c>
      <c r="K41" s="2926" t="s">
        <v>2424</v>
      </c>
      <c r="L41" s="2927"/>
      <c r="M41" s="2927"/>
      <c r="N41" s="2927"/>
      <c r="O41" s="2927"/>
      <c r="P41" s="2928"/>
      <c r="Q41" s="2929"/>
      <c r="R41" s="2902">
        <f>ROUND(R40*Q41,0)</f>
        <v>0</v>
      </c>
      <c r="S41" s="2823"/>
      <c r="T41" s="2823"/>
      <c r="U41" s="2875"/>
      <c r="V41" s="2832"/>
    </row>
    <row r="42" spans="1:23" s="2836" customFormat="1" ht="13.15" customHeight="1">
      <c r="G42" s="2831"/>
      <c r="H42" s="2831"/>
      <c r="I42" s="2832"/>
      <c r="J42" s="3717">
        <v>3</v>
      </c>
      <c r="K42" s="2932" t="s">
        <v>2425</v>
      </c>
      <c r="L42" s="2933"/>
      <c r="M42" s="2934"/>
      <c r="N42" s="2935" t="s">
        <v>2426</v>
      </c>
      <c r="O42" s="2935" t="s">
        <v>2427</v>
      </c>
      <c r="P42" s="2936" t="s">
        <v>2428</v>
      </c>
      <c r="Q42" s="2936" t="s">
        <v>2429</v>
      </c>
      <c r="R42" s="2841" t="s">
        <v>2430</v>
      </c>
      <c r="S42" s="2875"/>
      <c r="T42" s="2875"/>
      <c r="U42" s="2823"/>
      <c r="V42" s="2832"/>
    </row>
    <row r="43" spans="1:23" ht="13.15" customHeight="1">
      <c r="A43" s="2836"/>
      <c r="B43" s="2836"/>
      <c r="C43" s="2836"/>
      <c r="D43" s="2836"/>
      <c r="E43" s="2836"/>
      <c r="F43" s="2836"/>
      <c r="I43" s="2818"/>
      <c r="J43" s="3718"/>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2431</v>
      </c>
      <c r="L44" s="2981" t="s">
        <v>2432</v>
      </c>
      <c r="M44" s="2947"/>
      <c r="N44" s="2981" t="s">
        <v>2433</v>
      </c>
      <c r="O44" s="2947"/>
      <c r="P44" s="2981" t="s">
        <v>2434</v>
      </c>
      <c r="Q44" s="2949">
        <v>1.4999999999999999E-2</v>
      </c>
      <c r="R44" s="29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2277</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8">
        <f>ROUND(D8*E8/10000,0)</f>
        <v>0</v>
      </c>
      <c r="D8" s="2768">
        <v>0</v>
      </c>
      <c r="E8" s="2769">
        <v>0</v>
      </c>
      <c r="F8" s="686"/>
      <c r="G8" s="687"/>
    </row>
    <row r="9" spans="1:25" s="1783" customFormat="1" ht="13.5" customHeight="1">
      <c r="A9" s="1981" t="s">
        <v>1787</v>
      </c>
      <c r="B9" s="1984" t="s">
        <v>1789</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517</v>
      </c>
      <c r="D12" s="2768">
        <f>'数据-汇总表'!E5</f>
        <v>32315.351999999999</v>
      </c>
      <c r="E12" s="2768">
        <f>'数据-取费表'!B27</f>
        <v>160</v>
      </c>
      <c r="F12" s="691"/>
      <c r="G12" s="694"/>
    </row>
    <row r="13" spans="1:25" s="1783" customFormat="1" ht="13.5" customHeight="1">
      <c r="A13" s="1987" t="s">
        <v>1793</v>
      </c>
      <c r="B13" s="692" t="s">
        <v>560</v>
      </c>
      <c r="C13" s="693">
        <f>ROUND(D13*E13/10000,0)</f>
        <v>288</v>
      </c>
      <c r="D13" s="2768">
        <f>'数据-汇总表'!E6</f>
        <v>14375.230000000003</v>
      </c>
      <c r="E13" s="2768">
        <f>'数据-取费表'!B28</f>
        <v>200</v>
      </c>
      <c r="F13" s="691"/>
      <c r="G13" s="694"/>
    </row>
    <row r="14" spans="1:25" s="1783" customFormat="1" ht="13.5" customHeight="1">
      <c r="A14" s="1981" t="s">
        <v>1787</v>
      </c>
      <c r="B14" s="1986" t="s">
        <v>1790</v>
      </c>
      <c r="C14" s="2770">
        <f>ROUND(D14*E14/10000,0)</f>
        <v>0</v>
      </c>
      <c r="D14" s="2768">
        <v>0</v>
      </c>
      <c r="E14" s="2769">
        <v>0</v>
      </c>
      <c r="F14" s="1985"/>
      <c r="G14" s="1988" t="s">
        <v>1795</v>
      </c>
    </row>
    <row r="15" spans="1:25" s="1783" customFormat="1" ht="13.5" customHeight="1">
      <c r="A15" s="1981" t="s">
        <v>1792</v>
      </c>
      <c r="B15" s="1986" t="s">
        <v>1791</v>
      </c>
      <c r="C15" s="2770">
        <f>ROUND(D15*E15/10000,0)</f>
        <v>0</v>
      </c>
      <c r="D15" s="2768">
        <v>0</v>
      </c>
      <c r="E15" s="2769">
        <v>0</v>
      </c>
      <c r="F15" s="1985"/>
      <c r="G15" s="1988" t="s">
        <v>1796</v>
      </c>
    </row>
    <row r="16" spans="1:25" s="1784" customFormat="1" ht="48">
      <c r="A16" s="1981">
        <v>3</v>
      </c>
      <c r="B16" s="684" t="s">
        <v>563</v>
      </c>
      <c r="C16" s="2770">
        <f>ROUND(D16*E16/10000,0)</f>
        <v>0</v>
      </c>
      <c r="D16" s="2768">
        <v>0</v>
      </c>
      <c r="E16" s="2769">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0.92500000000000004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592" t="s">
        <v>471</v>
      </c>
      <c r="D4" s="3593"/>
      <c r="E4" s="3631" t="s">
        <v>472</v>
      </c>
      <c r="F4" s="3632"/>
      <c r="G4" s="3592" t="s">
        <v>473</v>
      </c>
      <c r="H4" s="3593"/>
      <c r="I4" s="3592" t="s">
        <v>474</v>
      </c>
      <c r="J4" s="3593"/>
      <c r="K4" s="465" t="s">
        <v>475</v>
      </c>
      <c r="L4" s="1741"/>
      <c r="M4" s="1742"/>
      <c r="N4" s="1742"/>
      <c r="O4" s="1742"/>
      <c r="P4" s="3594" t="s">
        <v>476</v>
      </c>
      <c r="Q4" s="3595"/>
      <c r="R4" s="3600" t="s">
        <v>472</v>
      </c>
      <c r="S4" s="3601"/>
      <c r="T4" s="3600" t="s">
        <v>473</v>
      </c>
      <c r="U4" s="3601"/>
      <c r="V4" s="3587" t="s">
        <v>474</v>
      </c>
      <c r="W4" s="3587"/>
      <c r="X4" s="1302"/>
      <c r="Y4" s="3600" t="s">
        <v>476</v>
      </c>
      <c r="Z4" s="3601"/>
      <c r="AA4" s="3589" t="s">
        <v>472</v>
      </c>
      <c r="AB4" s="3587" t="s">
        <v>473</v>
      </c>
      <c r="AC4" s="3589" t="s">
        <v>474</v>
      </c>
    </row>
    <row r="5" spans="1:29" ht="15">
      <c r="A5" s="466"/>
      <c r="B5" s="467"/>
      <c r="C5" s="3608" t="s">
        <v>2186</v>
      </c>
      <c r="D5" s="3609"/>
      <c r="E5" s="3633" t="s">
        <v>2187</v>
      </c>
      <c r="F5" s="3634"/>
      <c r="G5" s="3608" t="s">
        <v>2188</v>
      </c>
      <c r="H5" s="3609"/>
      <c r="I5" s="3608" t="s">
        <v>2189</v>
      </c>
      <c r="J5" s="3609"/>
      <c r="K5" s="465"/>
      <c r="L5" s="1741"/>
      <c r="M5" s="1742"/>
      <c r="N5" s="1742"/>
      <c r="O5" s="1742"/>
      <c r="P5" s="3596"/>
      <c r="Q5" s="3597"/>
      <c r="R5" s="3602"/>
      <c r="S5" s="3603"/>
      <c r="T5" s="3602"/>
      <c r="U5" s="3603"/>
      <c r="V5" s="3587"/>
      <c r="W5" s="3587"/>
      <c r="X5" s="1302"/>
      <c r="Y5" s="3602"/>
      <c r="Z5" s="3603"/>
      <c r="AA5" s="3590"/>
      <c r="AB5" s="3587"/>
      <c r="AC5" s="3590"/>
    </row>
    <row r="6" spans="1:29" ht="15.75" thickBot="1">
      <c r="A6" s="468"/>
      <c r="B6" s="469"/>
      <c r="C6" s="3606" t="s">
        <v>2190</v>
      </c>
      <c r="D6" s="3607"/>
      <c r="E6" s="3629" t="s">
        <v>2190</v>
      </c>
      <c r="F6" s="3630"/>
      <c r="G6" s="3606" t="s">
        <v>2190</v>
      </c>
      <c r="H6" s="3607"/>
      <c r="I6" s="3606" t="s">
        <v>2190</v>
      </c>
      <c r="J6" s="3607"/>
      <c r="K6" s="465" t="s">
        <v>477</v>
      </c>
      <c r="L6" s="1741"/>
      <c r="M6" s="1742"/>
      <c r="N6" s="1742"/>
      <c r="O6" s="1742"/>
      <c r="P6" s="3598"/>
      <c r="Q6" s="3599"/>
      <c r="R6" s="3602"/>
      <c r="S6" s="3603"/>
      <c r="T6" s="3604"/>
      <c r="U6" s="3605"/>
      <c r="V6" s="3587"/>
      <c r="W6" s="3587"/>
      <c r="X6" s="1302"/>
      <c r="Y6" s="3604"/>
      <c r="Z6" s="3605"/>
      <c r="AA6" s="3591"/>
      <c r="AB6" s="3587"/>
      <c r="AC6" s="3591"/>
    </row>
    <row r="7" spans="1:29" s="1060" customFormat="1" ht="15.75" thickBot="1">
      <c r="A7" s="2208"/>
      <c r="B7" s="2215" t="s">
        <v>478</v>
      </c>
      <c r="C7" s="470">
        <f>'数据-取费表'!B2</f>
        <v>45541</v>
      </c>
      <c r="D7" s="471">
        <v>100</v>
      </c>
      <c r="E7" s="472"/>
      <c r="F7" s="473">
        <f>SUMIF(58:58,YEAR(E7)&amp;"-"&amp;MONTH(E7),59:59)</f>
        <v>0</v>
      </c>
      <c r="G7" s="472"/>
      <c r="H7" s="471">
        <f>SUMIF(58:58,YEAR(G7)&amp;"-"&amp;MONTH(G7),59:59)</f>
        <v>0</v>
      </c>
      <c r="I7" s="472"/>
      <c r="J7" s="471">
        <f>SUMIF(58:58,YEAR(I7)&amp;"-"&amp;MONTH(I7),59:59)</f>
        <v>0</v>
      </c>
      <c r="K7" s="88"/>
      <c r="L7" s="1743"/>
      <c r="M7" s="1640"/>
      <c r="N7" s="1640"/>
      <c r="O7" s="1640"/>
      <c r="P7" s="3616" t="s">
        <v>479</v>
      </c>
      <c r="Q7" s="3618"/>
      <c r="R7" s="1303" t="s">
        <v>5</v>
      </c>
      <c r="S7" s="1304">
        <f t="shared" ref="S7:S15" si="0">F7</f>
        <v>0</v>
      </c>
      <c r="T7" s="1303" t="s">
        <v>5</v>
      </c>
      <c r="U7" s="1304">
        <f t="shared" ref="U7:U15" si="1">H7</f>
        <v>0</v>
      </c>
      <c r="V7" s="1303" t="s">
        <v>5</v>
      </c>
      <c r="W7" s="1304">
        <f t="shared" ref="W7:W15" si="2">J7</f>
        <v>0</v>
      </c>
      <c r="X7" s="1305"/>
      <c r="Y7" s="3616" t="s">
        <v>479</v>
      </c>
      <c r="Z7" s="3617"/>
      <c r="AA7" s="997" t="e">
        <f>D7/F7</f>
        <v>#DIV/0!</v>
      </c>
      <c r="AB7" s="997" t="e">
        <f>D7/H7</f>
        <v>#DIV/0!</v>
      </c>
      <c r="AC7" s="997" t="e">
        <f>D7/J7</f>
        <v>#DIV/0!</v>
      </c>
    </row>
    <row r="8" spans="1:29" s="1060"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16" t="s">
        <v>482</v>
      </c>
      <c r="Q8" s="3617"/>
      <c r="R8" s="1303" t="s">
        <v>5</v>
      </c>
      <c r="S8" s="1304">
        <f t="shared" si="0"/>
        <v>0</v>
      </c>
      <c r="T8" s="1303" t="s">
        <v>5</v>
      </c>
      <c r="U8" s="1304">
        <f t="shared" si="1"/>
        <v>0</v>
      </c>
      <c r="V8" s="1303" t="s">
        <v>5</v>
      </c>
      <c r="W8" s="1304">
        <f t="shared" si="2"/>
        <v>0</v>
      </c>
      <c r="X8" s="1305"/>
      <c r="Y8" s="3616" t="s">
        <v>482</v>
      </c>
      <c r="Z8" s="3617"/>
      <c r="AA8" s="997" t="e">
        <f t="shared" ref="AA8:AA46" si="3">D8/F8</f>
        <v>#DIV/0!</v>
      </c>
      <c r="AB8" s="997" t="e">
        <f t="shared" ref="AB8:AB46" si="4">D8/H8</f>
        <v>#DIV/0!</v>
      </c>
      <c r="AC8" s="997" t="e">
        <f t="shared" ref="AC8:AC46" si="5">D8/J8</f>
        <v>#DIV/0!</v>
      </c>
    </row>
    <row r="9" spans="1:29" s="1060" customFormat="1" ht="15">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86" t="s">
        <v>484</v>
      </c>
      <c r="Q9" s="818" t="str">
        <f t="shared" ref="Q9:Q15" si="6">B9</f>
        <v>用途</v>
      </c>
      <c r="R9" s="1303" t="s">
        <v>5</v>
      </c>
      <c r="S9" s="1304">
        <f t="shared" si="0"/>
        <v>100</v>
      </c>
      <c r="T9" s="1303" t="s">
        <v>5</v>
      </c>
      <c r="U9" s="1304">
        <f t="shared" si="1"/>
        <v>100</v>
      </c>
      <c r="V9" s="1303" t="s">
        <v>5</v>
      </c>
      <c r="W9" s="1304">
        <f t="shared" si="2"/>
        <v>100</v>
      </c>
      <c r="X9" s="1305"/>
      <c r="Y9" s="3534"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586"/>
      <c r="Q10" s="818" t="str">
        <f t="shared" si="6"/>
        <v>土地使用年限（年）</v>
      </c>
      <c r="R10" s="1303" t="s">
        <v>5</v>
      </c>
      <c r="S10" s="1304">
        <f t="shared" si="0"/>
        <v>100</v>
      </c>
      <c r="T10" s="1303" t="s">
        <v>5</v>
      </c>
      <c r="U10" s="1304">
        <f t="shared" si="1"/>
        <v>100</v>
      </c>
      <c r="V10" s="1303" t="s">
        <v>5</v>
      </c>
      <c r="W10" s="1304">
        <f t="shared" si="2"/>
        <v>100</v>
      </c>
      <c r="X10" s="1305"/>
      <c r="Y10" s="3534"/>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86"/>
      <c r="Q11" s="818" t="str">
        <f t="shared" si="6"/>
        <v>容积率</v>
      </c>
      <c r="R11" s="1303" t="s">
        <v>5</v>
      </c>
      <c r="S11" s="1304" t="e">
        <f t="shared" si="0"/>
        <v>#N/A</v>
      </c>
      <c r="T11" s="1303" t="s">
        <v>5</v>
      </c>
      <c r="U11" s="1304" t="e">
        <f t="shared" si="1"/>
        <v>#N/A</v>
      </c>
      <c r="V11" s="1303" t="s">
        <v>5</v>
      </c>
      <c r="W11" s="1304" t="e">
        <f t="shared" si="2"/>
        <v>#N/A</v>
      </c>
      <c r="X11" s="1305"/>
      <c r="Y11" s="3534"/>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586"/>
      <c r="Q12" s="818">
        <f t="shared" si="6"/>
        <v>111</v>
      </c>
      <c r="R12" s="1303" t="s">
        <v>5</v>
      </c>
      <c r="S12" s="1304">
        <f t="shared" si="0"/>
        <v>100</v>
      </c>
      <c r="T12" s="1303" t="s">
        <v>5</v>
      </c>
      <c r="U12" s="1304">
        <f t="shared" si="1"/>
        <v>100</v>
      </c>
      <c r="V12" s="1303" t="s">
        <v>5</v>
      </c>
      <c r="W12" s="1304">
        <f t="shared" si="2"/>
        <v>100</v>
      </c>
      <c r="X12" s="1305"/>
      <c r="Y12" s="3534"/>
      <c r="Z12" s="997">
        <f t="shared" si="7"/>
        <v>111</v>
      </c>
      <c r="AA12" s="997">
        <f>D12/F12</f>
        <v>1</v>
      </c>
      <c r="AB12" s="997">
        <f>D12/H12</f>
        <v>1</v>
      </c>
      <c r="AC12" s="997">
        <f>D12/J12</f>
        <v>1</v>
      </c>
    </row>
    <row r="13" spans="1:29" ht="15">
      <c r="A13" s="2213"/>
      <c r="B13" s="2219">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586"/>
      <c r="Q13" s="818">
        <f t="shared" si="6"/>
        <v>111</v>
      </c>
      <c r="R13" s="1303" t="s">
        <v>5</v>
      </c>
      <c r="S13" s="1304">
        <f t="shared" si="0"/>
        <v>100</v>
      </c>
      <c r="T13" s="1303" t="s">
        <v>5</v>
      </c>
      <c r="U13" s="1304">
        <f t="shared" si="1"/>
        <v>100</v>
      </c>
      <c r="V13" s="1303" t="s">
        <v>5</v>
      </c>
      <c r="W13" s="1304">
        <f t="shared" si="2"/>
        <v>100</v>
      </c>
      <c r="X13" s="1305"/>
      <c r="Y13" s="3534"/>
      <c r="Z13" s="997">
        <f t="shared" si="7"/>
        <v>111</v>
      </c>
      <c r="AA13" s="997">
        <f t="shared" si="3"/>
        <v>1</v>
      </c>
      <c r="AB13" s="997">
        <f t="shared" si="4"/>
        <v>1</v>
      </c>
      <c r="AC13" s="997">
        <f t="shared" si="5"/>
        <v>1</v>
      </c>
    </row>
    <row r="14" spans="1:29" ht="15.75" thickBot="1">
      <c r="A14" s="2214"/>
      <c r="B14" s="2220">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586"/>
      <c r="Q14" s="818">
        <f t="shared" si="6"/>
        <v>111</v>
      </c>
      <c r="R14" s="1303" t="s">
        <v>5</v>
      </c>
      <c r="S14" s="1304">
        <f t="shared" si="0"/>
        <v>100</v>
      </c>
      <c r="T14" s="1303" t="s">
        <v>5</v>
      </c>
      <c r="U14" s="1304">
        <f t="shared" si="1"/>
        <v>100</v>
      </c>
      <c r="V14" s="1303" t="s">
        <v>5</v>
      </c>
      <c r="W14" s="1304">
        <f t="shared" si="2"/>
        <v>100</v>
      </c>
      <c r="X14" s="1305"/>
      <c r="Y14" s="3534"/>
      <c r="Z14" s="997">
        <f t="shared" si="7"/>
        <v>111</v>
      </c>
      <c r="AA14" s="997">
        <f t="shared" si="3"/>
        <v>1</v>
      </c>
      <c r="AB14" s="997">
        <f t="shared" si="4"/>
        <v>1</v>
      </c>
      <c r="AC14" s="997">
        <f t="shared" si="5"/>
        <v>1</v>
      </c>
    </row>
    <row r="15" spans="1:29" ht="15">
      <c r="A15" s="2206"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19" t="s">
        <v>489</v>
      </c>
      <c r="Q15" s="1306" t="str">
        <f t="shared" si="6"/>
        <v>商业繁华度</v>
      </c>
      <c r="R15" s="1307" t="s">
        <v>5</v>
      </c>
      <c r="S15" s="1308">
        <f t="shared" si="0"/>
        <v>100</v>
      </c>
      <c r="T15" s="1307" t="s">
        <v>5</v>
      </c>
      <c r="U15" s="1308">
        <f t="shared" si="1"/>
        <v>100</v>
      </c>
      <c r="V15" s="1307" t="s">
        <v>5</v>
      </c>
      <c r="W15" s="1308">
        <f t="shared" si="2"/>
        <v>100</v>
      </c>
      <c r="X15" s="1302"/>
      <c r="Y15" s="3619"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20"/>
      <c r="Q16" s="1306"/>
      <c r="R16" s="1307"/>
      <c r="S16" s="1308"/>
      <c r="T16" s="1307"/>
      <c r="U16" s="1308"/>
      <c r="V16" s="1307"/>
      <c r="W16" s="1308"/>
      <c r="X16" s="1302"/>
      <c r="Y16" s="3620"/>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20"/>
      <c r="Q17" s="1306" t="str">
        <f>B17</f>
        <v>交通便捷度</v>
      </c>
      <c r="R17" s="1307" t="s">
        <v>5</v>
      </c>
      <c r="S17" s="1308">
        <f>F17</f>
        <v>100</v>
      </c>
      <c r="T17" s="1307" t="s">
        <v>5</v>
      </c>
      <c r="U17" s="1308">
        <f>H17</f>
        <v>100</v>
      </c>
      <c r="V17" s="1307" t="s">
        <v>5</v>
      </c>
      <c r="W17" s="1308">
        <f>J17</f>
        <v>100</v>
      </c>
      <c r="X17" s="1302"/>
      <c r="Y17" s="3620"/>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20"/>
      <c r="Q18" s="1306"/>
      <c r="R18" s="1307"/>
      <c r="S18" s="1308"/>
      <c r="T18" s="1307"/>
      <c r="U18" s="1308"/>
      <c r="V18" s="1307"/>
      <c r="W18" s="1308"/>
      <c r="X18" s="1302"/>
      <c r="Y18" s="3620"/>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20"/>
      <c r="Q19" s="1306" t="str">
        <f>B19</f>
        <v>公共配套设施</v>
      </c>
      <c r="R19" s="1307" t="s">
        <v>5</v>
      </c>
      <c r="S19" s="1308">
        <f>F19</f>
        <v>100</v>
      </c>
      <c r="T19" s="1307" t="s">
        <v>5</v>
      </c>
      <c r="U19" s="1308">
        <f>H19</f>
        <v>100</v>
      </c>
      <c r="V19" s="1307" t="s">
        <v>5</v>
      </c>
      <c r="W19" s="1308">
        <f>J19</f>
        <v>100</v>
      </c>
      <c r="X19" s="1302"/>
      <c r="Y19" s="3620"/>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20"/>
      <c r="Q20" s="1306"/>
      <c r="R20" s="1307"/>
      <c r="S20" s="1308"/>
      <c r="T20" s="1307"/>
      <c r="U20" s="1308"/>
      <c r="V20" s="1307"/>
      <c r="W20" s="1308"/>
      <c r="X20" s="1302"/>
      <c r="Y20" s="3620"/>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20"/>
      <c r="Q21" s="1306" t="str">
        <f>B21</f>
        <v>基础设施水平</v>
      </c>
      <c r="R21" s="1307" t="s">
        <v>5</v>
      </c>
      <c r="S21" s="1308">
        <f>F21</f>
        <v>100</v>
      </c>
      <c r="T21" s="1307" t="s">
        <v>5</v>
      </c>
      <c r="U21" s="1308">
        <f>H21</f>
        <v>100</v>
      </c>
      <c r="V21" s="1307" t="s">
        <v>5</v>
      </c>
      <c r="W21" s="1308">
        <f>J21</f>
        <v>100</v>
      </c>
      <c r="X21" s="1302"/>
      <c r="Y21" s="3620"/>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20"/>
      <c r="Q22" s="1306"/>
      <c r="R22" s="1307"/>
      <c r="S22" s="1308"/>
      <c r="T22" s="1307"/>
      <c r="U22" s="1308"/>
      <c r="V22" s="1307"/>
      <c r="W22" s="1308"/>
      <c r="X22" s="1302"/>
      <c r="Y22" s="3620"/>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20"/>
      <c r="Q23" s="1306" t="str">
        <f>B23</f>
        <v>自然及人文环境</v>
      </c>
      <c r="R23" s="1307" t="s">
        <v>5</v>
      </c>
      <c r="S23" s="1308">
        <f>F23</f>
        <v>100</v>
      </c>
      <c r="T23" s="1307" t="s">
        <v>5</v>
      </c>
      <c r="U23" s="1308">
        <f>H23</f>
        <v>100</v>
      </c>
      <c r="V23" s="1307" t="s">
        <v>5</v>
      </c>
      <c r="W23" s="1308">
        <f>J23</f>
        <v>100</v>
      </c>
      <c r="X23" s="1302"/>
      <c r="Y23" s="3620"/>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20"/>
      <c r="Q24" s="1306"/>
      <c r="R24" s="1307"/>
      <c r="S24" s="1308"/>
      <c r="T24" s="1307"/>
      <c r="U24" s="1308"/>
      <c r="V24" s="1307"/>
      <c r="W24" s="1308"/>
      <c r="X24" s="1302"/>
      <c r="Y24" s="3620"/>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20"/>
      <c r="Q25" s="1306" t="str">
        <f t="shared" ref="Q25:Q46" si="8">B25</f>
        <v>临街状况</v>
      </c>
      <c r="R25" s="1307" t="s">
        <v>5</v>
      </c>
      <c r="S25" s="1308">
        <f>F25</f>
        <v>100</v>
      </c>
      <c r="T25" s="1307" t="s">
        <v>5</v>
      </c>
      <c r="U25" s="1308">
        <f>H25</f>
        <v>100</v>
      </c>
      <c r="V25" s="1307" t="s">
        <v>5</v>
      </c>
      <c r="W25" s="1308">
        <f>J25</f>
        <v>100</v>
      </c>
      <c r="X25" s="1302"/>
      <c r="Y25" s="3620"/>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20"/>
      <c r="Q26" s="1306" t="str">
        <f t="shared" si="8"/>
        <v>平面位置/可视性</v>
      </c>
      <c r="R26" s="1307" t="s">
        <v>5</v>
      </c>
      <c r="S26" s="1308">
        <f>F26</f>
        <v>100</v>
      </c>
      <c r="T26" s="1307" t="s">
        <v>5</v>
      </c>
      <c r="U26" s="1308">
        <f>H26</f>
        <v>100</v>
      </c>
      <c r="V26" s="1307" t="s">
        <v>5</v>
      </c>
      <c r="W26" s="1308">
        <f>J26</f>
        <v>100</v>
      </c>
      <c r="X26" s="1302"/>
      <c r="Y26" s="3620"/>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20"/>
      <c r="Q27" s="818" t="str">
        <f t="shared" si="8"/>
        <v>人流量</v>
      </c>
      <c r="R27" s="1303" t="s">
        <v>5</v>
      </c>
      <c r="S27" s="1304">
        <f>F27</f>
        <v>100</v>
      </c>
      <c r="T27" s="1303" t="s">
        <v>5</v>
      </c>
      <c r="U27" s="1304">
        <f>H27</f>
        <v>100</v>
      </c>
      <c r="V27" s="1303" t="s">
        <v>5</v>
      </c>
      <c r="W27" s="1304">
        <f>J27</f>
        <v>100</v>
      </c>
      <c r="X27" s="1305"/>
      <c r="Y27" s="3620"/>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20"/>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20"/>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20"/>
      <c r="Q29" s="1306">
        <f t="shared" si="8"/>
        <v>111</v>
      </c>
      <c r="R29" s="1307" t="s">
        <v>5</v>
      </c>
      <c r="S29" s="1308">
        <f t="shared" si="9"/>
        <v>100</v>
      </c>
      <c r="T29" s="1307" t="s">
        <v>5</v>
      </c>
      <c r="U29" s="1308">
        <f t="shared" si="10"/>
        <v>100</v>
      </c>
      <c r="V29" s="1307" t="s">
        <v>5</v>
      </c>
      <c r="W29" s="1308">
        <f t="shared" si="11"/>
        <v>100</v>
      </c>
      <c r="X29" s="1302"/>
      <c r="Y29" s="3620"/>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20"/>
      <c r="Q30" s="1306">
        <f t="shared" si="8"/>
        <v>111</v>
      </c>
      <c r="R30" s="1307" t="s">
        <v>5</v>
      </c>
      <c r="S30" s="1308">
        <f t="shared" si="9"/>
        <v>100</v>
      </c>
      <c r="T30" s="1307" t="s">
        <v>5</v>
      </c>
      <c r="U30" s="1308">
        <f t="shared" si="10"/>
        <v>100</v>
      </c>
      <c r="V30" s="1307" t="s">
        <v>5</v>
      </c>
      <c r="W30" s="1308">
        <f t="shared" si="11"/>
        <v>100</v>
      </c>
      <c r="X30" s="1302"/>
      <c r="Y30" s="3620"/>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20"/>
      <c r="Q31" s="1306">
        <f t="shared" si="8"/>
        <v>111</v>
      </c>
      <c r="R31" s="1307" t="s">
        <v>5</v>
      </c>
      <c r="S31" s="1308">
        <f t="shared" si="9"/>
        <v>100</v>
      </c>
      <c r="T31" s="1307" t="s">
        <v>5</v>
      </c>
      <c r="U31" s="1308">
        <f t="shared" si="10"/>
        <v>100</v>
      </c>
      <c r="V31" s="1307" t="s">
        <v>5</v>
      </c>
      <c r="W31" s="1308">
        <f t="shared" si="11"/>
        <v>100</v>
      </c>
      <c r="X31" s="1302"/>
      <c r="Y31" s="3620"/>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21" t="s">
        <v>499</v>
      </c>
      <c r="Q32" s="1306" t="str">
        <f t="shared" si="8"/>
        <v>商业类型</v>
      </c>
      <c r="R32" s="1307" t="s">
        <v>5</v>
      </c>
      <c r="S32" s="1308">
        <f t="shared" si="9"/>
        <v>100</v>
      </c>
      <c r="T32" s="1307" t="s">
        <v>5</v>
      </c>
      <c r="U32" s="1308">
        <f t="shared" si="10"/>
        <v>100</v>
      </c>
      <c r="V32" s="1307" t="s">
        <v>5</v>
      </c>
      <c r="W32" s="1308">
        <f t="shared" si="11"/>
        <v>100</v>
      </c>
      <c r="X32" s="1302"/>
      <c r="Y32" s="3622"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22"/>
      <c r="Q33" s="819" t="str">
        <f t="shared" si="8"/>
        <v>项目建筑规模</v>
      </c>
      <c r="R33" s="1310" t="s">
        <v>5</v>
      </c>
      <c r="S33" s="1311" t="e">
        <f t="shared" si="9"/>
        <v>#N/A</v>
      </c>
      <c r="T33" s="1310" t="s">
        <v>5</v>
      </c>
      <c r="U33" s="1311" t="e">
        <f t="shared" si="10"/>
        <v>#N/A</v>
      </c>
      <c r="V33" s="1310" t="s">
        <v>5</v>
      </c>
      <c r="W33" s="1311" t="e">
        <f t="shared" si="11"/>
        <v>#N/A</v>
      </c>
      <c r="X33" s="1312"/>
      <c r="Y33" s="3622"/>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22"/>
      <c r="Q34" s="1306" t="str">
        <f t="shared" si="8"/>
        <v>建筑结构</v>
      </c>
      <c r="R34" s="1307" t="s">
        <v>5</v>
      </c>
      <c r="S34" s="1308">
        <f t="shared" si="9"/>
        <v>100</v>
      </c>
      <c r="T34" s="1307" t="s">
        <v>5</v>
      </c>
      <c r="U34" s="1308">
        <f t="shared" si="10"/>
        <v>100</v>
      </c>
      <c r="V34" s="1307" t="s">
        <v>5</v>
      </c>
      <c r="W34" s="1308">
        <f t="shared" si="11"/>
        <v>100</v>
      </c>
      <c r="X34" s="1302"/>
      <c r="Y34" s="3622"/>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22"/>
      <c r="Q35" s="1306" t="str">
        <f t="shared" si="8"/>
        <v>公共部分装修</v>
      </c>
      <c r="R35" s="1307" t="s">
        <v>5</v>
      </c>
      <c r="S35" s="1308">
        <f t="shared" si="9"/>
        <v>100</v>
      </c>
      <c r="T35" s="1307" t="s">
        <v>5</v>
      </c>
      <c r="U35" s="1308">
        <f t="shared" si="10"/>
        <v>100</v>
      </c>
      <c r="V35" s="1307" t="s">
        <v>5</v>
      </c>
      <c r="W35" s="1308">
        <f t="shared" si="11"/>
        <v>100</v>
      </c>
      <c r="X35" s="1302"/>
      <c r="Y35" s="3622"/>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22"/>
      <c r="Q36" s="1306" t="str">
        <f t="shared" si="8"/>
        <v>成新度</v>
      </c>
      <c r="R36" s="1307" t="s">
        <v>5</v>
      </c>
      <c r="S36" s="1308" t="e">
        <f t="shared" si="9"/>
        <v>#N/A</v>
      </c>
      <c r="T36" s="1307" t="s">
        <v>5</v>
      </c>
      <c r="U36" s="1308" t="e">
        <f t="shared" si="10"/>
        <v>#N/A</v>
      </c>
      <c r="V36" s="1307" t="s">
        <v>5</v>
      </c>
      <c r="W36" s="1308" t="e">
        <f t="shared" si="11"/>
        <v>#N/A</v>
      </c>
      <c r="X36" s="1302"/>
      <c r="Y36" s="3622"/>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22"/>
      <c r="Q37" s="818" t="str">
        <f t="shared" si="8"/>
        <v>市政基础设施</v>
      </c>
      <c r="R37" s="1303" t="s">
        <v>5</v>
      </c>
      <c r="S37" s="1304">
        <f t="shared" si="9"/>
        <v>100</v>
      </c>
      <c r="T37" s="1303" t="s">
        <v>5</v>
      </c>
      <c r="U37" s="1304">
        <f t="shared" si="10"/>
        <v>100</v>
      </c>
      <c r="V37" s="1303" t="s">
        <v>5</v>
      </c>
      <c r="W37" s="1304">
        <f t="shared" si="11"/>
        <v>100</v>
      </c>
      <c r="X37" s="1305"/>
      <c r="Y37" s="3622"/>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22" t="s">
        <v>706</v>
      </c>
      <c r="Q38" s="1306" t="str">
        <f t="shared" si="8"/>
        <v>业态</v>
      </c>
      <c r="R38" s="1307" t="s">
        <v>5</v>
      </c>
      <c r="S38" s="1308">
        <f t="shared" si="9"/>
        <v>100</v>
      </c>
      <c r="T38" s="1307" t="s">
        <v>5</v>
      </c>
      <c r="U38" s="1308">
        <f t="shared" si="10"/>
        <v>100</v>
      </c>
      <c r="V38" s="1307" t="s">
        <v>5</v>
      </c>
      <c r="W38" s="1308">
        <f t="shared" si="11"/>
        <v>100</v>
      </c>
      <c r="X38" s="1302"/>
      <c r="Y38" s="3622"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22"/>
      <c r="Q39" s="1306" t="str">
        <f t="shared" si="8"/>
        <v>层高</v>
      </c>
      <c r="R39" s="1307" t="s">
        <v>5</v>
      </c>
      <c r="S39" s="1308">
        <f t="shared" si="9"/>
        <v>100</v>
      </c>
      <c r="T39" s="1307" t="s">
        <v>5</v>
      </c>
      <c r="U39" s="1308">
        <f t="shared" si="10"/>
        <v>100</v>
      </c>
      <c r="V39" s="1307" t="s">
        <v>5</v>
      </c>
      <c r="W39" s="1308">
        <f t="shared" si="11"/>
        <v>100</v>
      </c>
      <c r="X39" s="1302"/>
      <c r="Y39" s="3622"/>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22"/>
      <c r="Q40" s="1306" t="str">
        <f t="shared" si="8"/>
        <v>单套建筑面积</v>
      </c>
      <c r="R40" s="1307" t="s">
        <v>5</v>
      </c>
      <c r="S40" s="1308">
        <f t="shared" si="9"/>
        <v>100</v>
      </c>
      <c r="T40" s="1307" t="s">
        <v>5</v>
      </c>
      <c r="U40" s="1308">
        <f t="shared" si="10"/>
        <v>100</v>
      </c>
      <c r="V40" s="1307" t="s">
        <v>5</v>
      </c>
      <c r="W40" s="1308">
        <f t="shared" si="11"/>
        <v>100</v>
      </c>
      <c r="X40" s="1302"/>
      <c r="Y40" s="3622"/>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22"/>
      <c r="Q41" s="819" t="str">
        <f t="shared" si="8"/>
        <v>进深比</v>
      </c>
      <c r="R41" s="1310" t="s">
        <v>5</v>
      </c>
      <c r="S41" s="1311">
        <f t="shared" si="9"/>
        <v>100</v>
      </c>
      <c r="T41" s="1310" t="s">
        <v>5</v>
      </c>
      <c r="U41" s="1311">
        <f t="shared" si="10"/>
        <v>100</v>
      </c>
      <c r="V41" s="1310" t="s">
        <v>5</v>
      </c>
      <c r="W41" s="1311">
        <f t="shared" si="11"/>
        <v>100</v>
      </c>
      <c r="X41" s="1312"/>
      <c r="Y41" s="3622"/>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22"/>
      <c r="Q42" s="1306" t="str">
        <f t="shared" si="8"/>
        <v>内部装修</v>
      </c>
      <c r="R42" s="1307" t="s">
        <v>5</v>
      </c>
      <c r="S42" s="1308">
        <f t="shared" si="9"/>
        <v>100</v>
      </c>
      <c r="T42" s="1307" t="s">
        <v>5</v>
      </c>
      <c r="U42" s="1308">
        <f t="shared" si="10"/>
        <v>100</v>
      </c>
      <c r="V42" s="1307" t="s">
        <v>5</v>
      </c>
      <c r="W42" s="1308">
        <f t="shared" si="11"/>
        <v>100</v>
      </c>
      <c r="X42" s="1302"/>
      <c r="Y42" s="3622"/>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22"/>
      <c r="Q43" s="1306" t="str">
        <f t="shared" si="8"/>
        <v>内部装修维护情况</v>
      </c>
      <c r="R43" s="1307" t="s">
        <v>5</v>
      </c>
      <c r="S43" s="1308">
        <f t="shared" si="9"/>
        <v>100</v>
      </c>
      <c r="T43" s="1307" t="s">
        <v>5</v>
      </c>
      <c r="U43" s="1308">
        <f t="shared" si="10"/>
        <v>100</v>
      </c>
      <c r="V43" s="1307" t="s">
        <v>5</v>
      </c>
      <c r="W43" s="1308">
        <f t="shared" si="11"/>
        <v>100</v>
      </c>
      <c r="X43" s="1302"/>
      <c r="Y43" s="3622"/>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22"/>
      <c r="Q44" s="818">
        <f t="shared" si="8"/>
        <v>111</v>
      </c>
      <c r="R44" s="1303" t="s">
        <v>5</v>
      </c>
      <c r="S44" s="1304">
        <f t="shared" si="9"/>
        <v>100</v>
      </c>
      <c r="T44" s="1303" t="s">
        <v>5</v>
      </c>
      <c r="U44" s="1304">
        <f t="shared" si="10"/>
        <v>100</v>
      </c>
      <c r="V44" s="1303" t="s">
        <v>5</v>
      </c>
      <c r="W44" s="1304">
        <f t="shared" si="11"/>
        <v>100</v>
      </c>
      <c r="X44" s="1305"/>
      <c r="Y44" s="3622"/>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22"/>
      <c r="Q45" s="1306">
        <f t="shared" si="8"/>
        <v>111</v>
      </c>
      <c r="R45" s="1307" t="s">
        <v>5</v>
      </c>
      <c r="S45" s="1308">
        <f t="shared" si="9"/>
        <v>100</v>
      </c>
      <c r="T45" s="1307" t="s">
        <v>5</v>
      </c>
      <c r="U45" s="1308">
        <f t="shared" si="10"/>
        <v>100</v>
      </c>
      <c r="V45" s="1307" t="s">
        <v>5</v>
      </c>
      <c r="W45" s="1308">
        <f t="shared" si="11"/>
        <v>100</v>
      </c>
      <c r="X45" s="1302"/>
      <c r="Y45" s="3622"/>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95"/>
      <c r="Q46" s="1306">
        <f t="shared" si="8"/>
        <v>111</v>
      </c>
      <c r="R46" s="1307" t="s">
        <v>5</v>
      </c>
      <c r="S46" s="1308">
        <f t="shared" si="9"/>
        <v>100</v>
      </c>
      <c r="T46" s="1307" t="s">
        <v>5</v>
      </c>
      <c r="U46" s="1308">
        <f t="shared" si="10"/>
        <v>100</v>
      </c>
      <c r="V46" s="1307" t="s">
        <v>5</v>
      </c>
      <c r="W46" s="1308">
        <f t="shared" si="11"/>
        <v>100</v>
      </c>
      <c r="X46" s="1302"/>
      <c r="Y46" s="3695"/>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586" t="str">
        <f>A47</f>
        <v>成交单价（元/平方米）</v>
      </c>
      <c r="Q47" s="3586"/>
      <c r="R47" s="3587">
        <f>E47</f>
        <v>0</v>
      </c>
      <c r="S47" s="3587"/>
      <c r="T47" s="3587">
        <f>G47</f>
        <v>0</v>
      </c>
      <c r="U47" s="3587"/>
      <c r="V47" s="3587">
        <f>I47</f>
        <v>0</v>
      </c>
      <c r="W47" s="3587"/>
      <c r="X47" s="799"/>
      <c r="Y47" s="1314"/>
      <c r="Z47" s="799"/>
      <c r="AA47" s="799"/>
      <c r="AB47" s="799"/>
      <c r="AC47" s="799"/>
    </row>
    <row r="48" spans="1:29" ht="15.75" thickBot="1">
      <c r="A48" s="564" t="s">
        <v>2042</v>
      </c>
      <c r="B48" s="813"/>
      <c r="C48" s="2082" t="e">
        <f>R49</f>
        <v>#DIV/0!</v>
      </c>
      <c r="D48" s="2549" t="s">
        <v>2255</v>
      </c>
      <c r="E48" s="2083" t="e">
        <f>R48</f>
        <v>#DIV/0!</v>
      </c>
      <c r="F48" s="2550"/>
      <c r="G48" s="2082" t="e">
        <f>T48</f>
        <v>#DIV/0!</v>
      </c>
      <c r="H48" s="2550"/>
      <c r="I48" s="2083" t="e">
        <f>V48</f>
        <v>#DIV/0!</v>
      </c>
      <c r="J48" s="2550"/>
      <c r="K48" s="2557">
        <f>F48+H48+J48</f>
        <v>0</v>
      </c>
      <c r="L48" s="1751"/>
      <c r="M48" s="1742"/>
      <c r="N48" s="1742"/>
      <c r="O48" s="1742"/>
      <c r="P48" s="3586" t="str">
        <f>A48</f>
        <v>比较价格（元/平方米）</v>
      </c>
      <c r="Q48" s="3586"/>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799"/>
      <c r="Y48" s="799"/>
      <c r="Z48" s="799"/>
      <c r="AA48" s="799"/>
      <c r="AB48" s="799"/>
      <c r="AC48" s="799"/>
    </row>
    <row r="49" spans="1:29" ht="15.75" thickBot="1">
      <c r="A49" s="568" t="s">
        <v>2192</v>
      </c>
      <c r="B49" s="569"/>
      <c r="C49" s="469" t="e">
        <f>R49</f>
        <v>#DIV/0!</v>
      </c>
      <c r="D49" s="469"/>
      <c r="E49" s="469"/>
      <c r="F49" s="469"/>
      <c r="G49" s="469"/>
      <c r="H49" s="469"/>
      <c r="I49" s="469"/>
      <c r="J49" s="469"/>
      <c r="K49" s="1336"/>
      <c r="L49" s="1751"/>
      <c r="M49" s="1742"/>
      <c r="N49" s="1742"/>
      <c r="O49" s="1742"/>
      <c r="P49" s="3623" t="str">
        <f>A49</f>
        <v>估价对象XX用房的比较价格（楼面单价，元/平方米）</v>
      </c>
      <c r="Q49" s="3624"/>
      <c r="R49" s="3694" t="e">
        <f>IF(F1="售价",ROUND(IF(D48="简单平均",AVERAGE(R48:V48),R48*F48+T48*H48+V48*J48),0),ROUND(IF(D48="简单平均",AVERAGE(R48:V48),R48*F48+T48*H48+V48*J48),1))</f>
        <v>#DIV/0!</v>
      </c>
      <c r="S49" s="3694"/>
      <c r="T49" s="3694"/>
      <c r="U49" s="3694"/>
      <c r="V49" s="3694"/>
      <c r="W49" s="3694"/>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93.75">
      <c r="A7" s="2178" t="s">
        <v>2030</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592" t="s">
        <v>471</v>
      </c>
      <c r="D4" s="3593"/>
      <c r="E4" s="3631" t="s">
        <v>472</v>
      </c>
      <c r="F4" s="3632"/>
      <c r="G4" s="3592" t="s">
        <v>473</v>
      </c>
      <c r="H4" s="3593"/>
      <c r="I4" s="3592" t="s">
        <v>474</v>
      </c>
      <c r="J4" s="3593"/>
      <c r="K4" s="465" t="s">
        <v>475</v>
      </c>
      <c r="L4" s="1741"/>
      <c r="M4" s="1742"/>
      <c r="N4" s="1742"/>
      <c r="O4" s="1742"/>
      <c r="P4" s="3720" t="s">
        <v>476</v>
      </c>
      <c r="Q4" s="3595"/>
      <c r="R4" s="3600" t="s">
        <v>472</v>
      </c>
      <c r="S4" s="3601"/>
      <c r="T4" s="3600" t="s">
        <v>473</v>
      </c>
      <c r="U4" s="3601"/>
      <c r="V4" s="3587" t="s">
        <v>474</v>
      </c>
      <c r="W4" s="3587"/>
      <c r="X4" s="1302"/>
      <c r="Y4" s="3600" t="s">
        <v>476</v>
      </c>
      <c r="Z4" s="3601"/>
      <c r="AA4" s="3589" t="s">
        <v>472</v>
      </c>
      <c r="AB4" s="3589" t="s">
        <v>473</v>
      </c>
      <c r="AC4" s="3589" t="s">
        <v>474</v>
      </c>
    </row>
    <row r="5" spans="1:29" ht="15">
      <c r="A5" s="466"/>
      <c r="B5" s="467"/>
      <c r="C5" s="3608" t="s">
        <v>2186</v>
      </c>
      <c r="D5" s="3609"/>
      <c r="E5" s="3633" t="s">
        <v>2187</v>
      </c>
      <c r="F5" s="3634"/>
      <c r="G5" s="3608" t="s">
        <v>2188</v>
      </c>
      <c r="H5" s="3609"/>
      <c r="I5" s="3608" t="s">
        <v>2189</v>
      </c>
      <c r="J5" s="3609"/>
      <c r="K5" s="465"/>
      <c r="L5" s="1741"/>
      <c r="M5" s="1742"/>
      <c r="N5" s="1742"/>
      <c r="O5" s="1742"/>
      <c r="P5" s="3721"/>
      <c r="Q5" s="3597"/>
      <c r="R5" s="3602"/>
      <c r="S5" s="3603"/>
      <c r="T5" s="3602"/>
      <c r="U5" s="3603"/>
      <c r="V5" s="3587"/>
      <c r="W5" s="3587"/>
      <c r="X5" s="1302"/>
      <c r="Y5" s="3602"/>
      <c r="Z5" s="3603"/>
      <c r="AA5" s="3590"/>
      <c r="AB5" s="3590"/>
      <c r="AC5" s="3590"/>
    </row>
    <row r="6" spans="1:29" ht="15.75" thickBot="1">
      <c r="A6" s="468"/>
      <c r="B6" s="469"/>
      <c r="C6" s="3606" t="s">
        <v>2190</v>
      </c>
      <c r="D6" s="3607"/>
      <c r="E6" s="3629" t="s">
        <v>2190</v>
      </c>
      <c r="F6" s="3630"/>
      <c r="G6" s="3606" t="s">
        <v>2190</v>
      </c>
      <c r="H6" s="3607"/>
      <c r="I6" s="3606" t="s">
        <v>2190</v>
      </c>
      <c r="J6" s="3607"/>
      <c r="K6" s="465" t="s">
        <v>477</v>
      </c>
      <c r="L6" s="1741"/>
      <c r="M6" s="1742"/>
      <c r="N6" s="1742"/>
      <c r="O6" s="1742"/>
      <c r="P6" s="3722"/>
      <c r="Q6" s="3599"/>
      <c r="R6" s="3602"/>
      <c r="S6" s="3603"/>
      <c r="T6" s="3604"/>
      <c r="U6" s="3605"/>
      <c r="V6" s="3587"/>
      <c r="W6" s="3587"/>
      <c r="X6" s="1302"/>
      <c r="Y6" s="3604"/>
      <c r="Z6" s="3605"/>
      <c r="AA6" s="3591"/>
      <c r="AB6" s="3591"/>
      <c r="AC6" s="3591"/>
    </row>
    <row r="7" spans="1:29" s="1060" customFormat="1" ht="15.75" thickBot="1">
      <c r="A7" s="2208"/>
      <c r="B7" s="2215" t="s">
        <v>478</v>
      </c>
      <c r="C7" s="470">
        <f>'数据-取费表'!B2</f>
        <v>45541</v>
      </c>
      <c r="D7" s="471">
        <v>100</v>
      </c>
      <c r="E7" s="472"/>
      <c r="F7" s="473">
        <f>SUMIF(59:59,YEAR(E7)&amp;"-"&amp;MONTH(E7),60:60)</f>
        <v>0</v>
      </c>
      <c r="G7" s="472"/>
      <c r="H7" s="471">
        <f>SUMIF(59:59,YEAR(G7)&amp;"-"&amp;MONTH(G7),60:60)</f>
        <v>0</v>
      </c>
      <c r="I7" s="472"/>
      <c r="J7" s="471">
        <f>SUMIF(59:59,YEAR(I7)&amp;"-"&amp;MONTH(I7),60:60)</f>
        <v>0</v>
      </c>
      <c r="K7" s="88"/>
      <c r="L7" s="1743"/>
      <c r="M7" s="1640"/>
      <c r="N7" s="1640"/>
      <c r="O7" s="1640"/>
      <c r="P7" s="3618" t="s">
        <v>479</v>
      </c>
      <c r="Q7" s="3618"/>
      <c r="R7" s="1303" t="s">
        <v>5</v>
      </c>
      <c r="S7" s="1304">
        <f t="shared" ref="S7:S15" si="0">F7</f>
        <v>0</v>
      </c>
      <c r="T7" s="1303" t="s">
        <v>5</v>
      </c>
      <c r="U7" s="1304">
        <f t="shared" ref="U7:U15" si="1">H7</f>
        <v>0</v>
      </c>
      <c r="V7" s="1303" t="s">
        <v>5</v>
      </c>
      <c r="W7" s="1304">
        <f t="shared" ref="W7:W15" si="2">J7</f>
        <v>0</v>
      </c>
      <c r="X7" s="1305"/>
      <c r="Y7" s="3616" t="s">
        <v>479</v>
      </c>
      <c r="Z7" s="3617"/>
      <c r="AA7" s="997" t="e">
        <f>D7/F7</f>
        <v>#DIV/0!</v>
      </c>
      <c r="AB7" s="997" t="e">
        <f>D7/H7</f>
        <v>#DIV/0!</v>
      </c>
      <c r="AC7" s="997" t="e">
        <f>D7/J7</f>
        <v>#DIV/0!</v>
      </c>
    </row>
    <row r="8" spans="1:29" s="1060"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18" t="s">
        <v>482</v>
      </c>
      <c r="Q8" s="3617"/>
      <c r="R8" s="1303" t="s">
        <v>5</v>
      </c>
      <c r="S8" s="1304">
        <f t="shared" si="0"/>
        <v>0</v>
      </c>
      <c r="T8" s="1303" t="s">
        <v>5</v>
      </c>
      <c r="U8" s="1304">
        <f t="shared" si="1"/>
        <v>0</v>
      </c>
      <c r="V8" s="1303" t="s">
        <v>5</v>
      </c>
      <c r="W8" s="1304">
        <f t="shared" si="2"/>
        <v>0</v>
      </c>
      <c r="X8" s="1305"/>
      <c r="Y8" s="3616" t="s">
        <v>482</v>
      </c>
      <c r="Z8" s="3617"/>
      <c r="AA8" s="997" t="e">
        <f t="shared" ref="AA8:AA47" si="3">D8/F8</f>
        <v>#DIV/0!</v>
      </c>
      <c r="AB8" s="997" t="e">
        <f t="shared" ref="AB8:AB47" si="4">D8/H8</f>
        <v>#DIV/0!</v>
      </c>
      <c r="AC8" s="997" t="e">
        <f t="shared" ref="AC8:AC47" si="5">D8/J8</f>
        <v>#DIV/0!</v>
      </c>
    </row>
    <row r="9" spans="1:29" s="1060" customFormat="1" ht="15">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86" t="s">
        <v>484</v>
      </c>
      <c r="Q9" s="818" t="str">
        <f t="shared" ref="Q9:Q15" si="6">B9</f>
        <v>用途</v>
      </c>
      <c r="R9" s="1303" t="s">
        <v>5</v>
      </c>
      <c r="S9" s="1304">
        <f t="shared" si="0"/>
        <v>100</v>
      </c>
      <c r="T9" s="1303" t="s">
        <v>5</v>
      </c>
      <c r="U9" s="1304">
        <f t="shared" si="1"/>
        <v>100</v>
      </c>
      <c r="V9" s="1303" t="s">
        <v>5</v>
      </c>
      <c r="W9" s="1304">
        <f t="shared" si="2"/>
        <v>100</v>
      </c>
      <c r="X9" s="1305"/>
      <c r="Y9" s="3534"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586"/>
      <c r="Q10" s="818" t="str">
        <f t="shared" si="6"/>
        <v>土地使用年限（年）</v>
      </c>
      <c r="R10" s="1303" t="s">
        <v>5</v>
      </c>
      <c r="S10" s="1304">
        <f t="shared" si="0"/>
        <v>100</v>
      </c>
      <c r="T10" s="1303" t="s">
        <v>5</v>
      </c>
      <c r="U10" s="1304">
        <f t="shared" si="1"/>
        <v>100</v>
      </c>
      <c r="V10" s="1303" t="s">
        <v>5</v>
      </c>
      <c r="W10" s="1304">
        <f t="shared" si="2"/>
        <v>100</v>
      </c>
      <c r="X10" s="1305"/>
      <c r="Y10" s="3534"/>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86"/>
      <c r="Q11" s="818" t="str">
        <f t="shared" si="6"/>
        <v>容积率</v>
      </c>
      <c r="R11" s="1303" t="s">
        <v>5</v>
      </c>
      <c r="S11" s="1304" t="e">
        <f t="shared" si="0"/>
        <v>#N/A</v>
      </c>
      <c r="T11" s="1303" t="s">
        <v>5</v>
      </c>
      <c r="U11" s="1304" t="e">
        <f t="shared" si="1"/>
        <v>#N/A</v>
      </c>
      <c r="V11" s="1303" t="s">
        <v>5</v>
      </c>
      <c r="W11" s="1304" t="e">
        <f t="shared" si="2"/>
        <v>#N/A</v>
      </c>
      <c r="X11" s="1305"/>
      <c r="Y11" s="3534"/>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586"/>
      <c r="Q12" s="818">
        <f t="shared" si="6"/>
        <v>111</v>
      </c>
      <c r="R12" s="1303" t="s">
        <v>5</v>
      </c>
      <c r="S12" s="1304">
        <f t="shared" si="0"/>
        <v>100</v>
      </c>
      <c r="T12" s="1303" t="s">
        <v>5</v>
      </c>
      <c r="U12" s="1304">
        <f t="shared" si="1"/>
        <v>100</v>
      </c>
      <c r="V12" s="1303" t="s">
        <v>5</v>
      </c>
      <c r="W12" s="1304">
        <f t="shared" si="2"/>
        <v>100</v>
      </c>
      <c r="X12" s="1305"/>
      <c r="Y12" s="3534"/>
      <c r="Z12" s="997">
        <f t="shared" si="7"/>
        <v>111</v>
      </c>
      <c r="AA12" s="997">
        <f>D12/F12</f>
        <v>1</v>
      </c>
      <c r="AB12" s="997">
        <f>D12/H12</f>
        <v>1</v>
      </c>
      <c r="AC12" s="997">
        <f>D12/J12</f>
        <v>1</v>
      </c>
    </row>
    <row r="13" spans="1:29" ht="15">
      <c r="A13" s="2213"/>
      <c r="B13" s="2219">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586"/>
      <c r="Q13" s="818">
        <f t="shared" si="6"/>
        <v>111</v>
      </c>
      <c r="R13" s="1303" t="s">
        <v>5</v>
      </c>
      <c r="S13" s="1304">
        <f t="shared" si="0"/>
        <v>100</v>
      </c>
      <c r="T13" s="1303" t="s">
        <v>5</v>
      </c>
      <c r="U13" s="1304">
        <f t="shared" si="1"/>
        <v>100</v>
      </c>
      <c r="V13" s="1303" t="s">
        <v>5</v>
      </c>
      <c r="W13" s="1304">
        <f t="shared" si="2"/>
        <v>100</v>
      </c>
      <c r="X13" s="1305"/>
      <c r="Y13" s="3534"/>
      <c r="Z13" s="997">
        <f t="shared" si="7"/>
        <v>111</v>
      </c>
      <c r="AA13" s="997">
        <f t="shared" si="3"/>
        <v>1</v>
      </c>
      <c r="AB13" s="997">
        <f t="shared" si="4"/>
        <v>1</v>
      </c>
      <c r="AC13" s="997">
        <f t="shared" si="5"/>
        <v>1</v>
      </c>
    </row>
    <row r="14" spans="1:29" ht="15.75" thickBot="1">
      <c r="A14" s="2214"/>
      <c r="B14" s="2220">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586"/>
      <c r="Q14" s="818">
        <f t="shared" si="6"/>
        <v>111</v>
      </c>
      <c r="R14" s="1303" t="s">
        <v>5</v>
      </c>
      <c r="S14" s="1304">
        <f t="shared" si="0"/>
        <v>100</v>
      </c>
      <c r="T14" s="1303" t="s">
        <v>5</v>
      </c>
      <c r="U14" s="1304">
        <f t="shared" si="1"/>
        <v>100</v>
      </c>
      <c r="V14" s="1303" t="s">
        <v>5</v>
      </c>
      <c r="W14" s="1304">
        <f t="shared" si="2"/>
        <v>100</v>
      </c>
      <c r="X14" s="1305"/>
      <c r="Y14" s="3534"/>
      <c r="Z14" s="997">
        <f t="shared" si="7"/>
        <v>111</v>
      </c>
      <c r="AA14" s="997">
        <f t="shared" si="3"/>
        <v>1</v>
      </c>
      <c r="AB14" s="997">
        <f t="shared" si="4"/>
        <v>1</v>
      </c>
      <c r="AC14" s="997">
        <f t="shared" si="5"/>
        <v>1</v>
      </c>
    </row>
    <row r="15" spans="1:29" ht="15">
      <c r="A15" s="2206"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19" t="s">
        <v>489</v>
      </c>
      <c r="Q15" s="1306" t="str">
        <f t="shared" si="6"/>
        <v>办公集聚程度</v>
      </c>
      <c r="R15" s="1307" t="s">
        <v>5</v>
      </c>
      <c r="S15" s="1308">
        <f t="shared" si="0"/>
        <v>100</v>
      </c>
      <c r="T15" s="1307" t="s">
        <v>5</v>
      </c>
      <c r="U15" s="1308">
        <f t="shared" si="1"/>
        <v>100</v>
      </c>
      <c r="V15" s="1307" t="s">
        <v>5</v>
      </c>
      <c r="W15" s="1308">
        <f t="shared" si="2"/>
        <v>100</v>
      </c>
      <c r="X15" s="1302"/>
      <c r="Y15" s="3619"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20"/>
      <c r="Q16" s="1306"/>
      <c r="R16" s="1307"/>
      <c r="S16" s="1308"/>
      <c r="T16" s="1307"/>
      <c r="U16" s="1308"/>
      <c r="V16" s="1307"/>
      <c r="W16" s="1308"/>
      <c r="X16" s="1302"/>
      <c r="Y16" s="3620"/>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20"/>
      <c r="Q17" s="1306" t="str">
        <f>B17</f>
        <v>交通便捷度</v>
      </c>
      <c r="R17" s="1307" t="s">
        <v>5</v>
      </c>
      <c r="S17" s="1308">
        <f>F17</f>
        <v>100</v>
      </c>
      <c r="T17" s="1307" t="s">
        <v>5</v>
      </c>
      <c r="U17" s="1308">
        <f>H17</f>
        <v>100</v>
      </c>
      <c r="V17" s="1307" t="s">
        <v>5</v>
      </c>
      <c r="W17" s="1308">
        <f>J17</f>
        <v>100</v>
      </c>
      <c r="X17" s="1302"/>
      <c r="Y17" s="3620"/>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20"/>
      <c r="Q18" s="1306"/>
      <c r="R18" s="1307"/>
      <c r="S18" s="1308"/>
      <c r="T18" s="1307"/>
      <c r="U18" s="1308"/>
      <c r="V18" s="1307"/>
      <c r="W18" s="1308"/>
      <c r="X18" s="1302"/>
      <c r="Y18" s="3620"/>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20"/>
      <c r="Q19" s="1306" t="str">
        <f>B19</f>
        <v>公共配套设施</v>
      </c>
      <c r="R19" s="1307" t="s">
        <v>5</v>
      </c>
      <c r="S19" s="1308">
        <f>F19</f>
        <v>100</v>
      </c>
      <c r="T19" s="1307" t="s">
        <v>5</v>
      </c>
      <c r="U19" s="1308">
        <f>H19</f>
        <v>100</v>
      </c>
      <c r="V19" s="1307" t="s">
        <v>5</v>
      </c>
      <c r="W19" s="1308">
        <f>J19</f>
        <v>100</v>
      </c>
      <c r="X19" s="1302"/>
      <c r="Y19" s="3620"/>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20"/>
      <c r="Q20" s="1306"/>
      <c r="R20" s="1307"/>
      <c r="S20" s="1308"/>
      <c r="T20" s="1307"/>
      <c r="U20" s="1308"/>
      <c r="V20" s="1307"/>
      <c r="W20" s="1308"/>
      <c r="X20" s="1302"/>
      <c r="Y20" s="3620"/>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20"/>
      <c r="Q21" s="1306" t="str">
        <f>B21</f>
        <v>基础设施水平</v>
      </c>
      <c r="R21" s="1307" t="s">
        <v>5</v>
      </c>
      <c r="S21" s="1308">
        <f>F21</f>
        <v>100</v>
      </c>
      <c r="T21" s="1307" t="s">
        <v>5</v>
      </c>
      <c r="U21" s="1308">
        <f>H21</f>
        <v>100</v>
      </c>
      <c r="V21" s="1307" t="s">
        <v>5</v>
      </c>
      <c r="W21" s="1308">
        <f>J21</f>
        <v>100</v>
      </c>
      <c r="X21" s="1302"/>
      <c r="Y21" s="3620"/>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20"/>
      <c r="Q22" s="1306"/>
      <c r="R22" s="1307"/>
      <c r="S22" s="1308"/>
      <c r="T22" s="1307"/>
      <c r="U22" s="1308"/>
      <c r="V22" s="1307"/>
      <c r="W22" s="1308"/>
      <c r="X22" s="1302"/>
      <c r="Y22" s="3620"/>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20"/>
      <c r="Q23" s="1306" t="str">
        <f>B23</f>
        <v>环境质量</v>
      </c>
      <c r="R23" s="1307" t="s">
        <v>5</v>
      </c>
      <c r="S23" s="1308">
        <f>F23</f>
        <v>100</v>
      </c>
      <c r="T23" s="1307" t="s">
        <v>5</v>
      </c>
      <c r="U23" s="1308">
        <f>H23</f>
        <v>100</v>
      </c>
      <c r="V23" s="1307" t="s">
        <v>5</v>
      </c>
      <c r="W23" s="1308">
        <f>J23</f>
        <v>100</v>
      </c>
      <c r="X23" s="1302"/>
      <c r="Y23" s="3620"/>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20"/>
      <c r="Q24" s="1306"/>
      <c r="R24" s="1307"/>
      <c r="S24" s="1308"/>
      <c r="T24" s="1307"/>
      <c r="U24" s="1308"/>
      <c r="V24" s="1307"/>
      <c r="W24" s="1308"/>
      <c r="X24" s="1302"/>
      <c r="Y24" s="3620"/>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20"/>
      <c r="Q25" s="1306" t="str">
        <f>B25</f>
        <v>毗邻道路的类型与等级</v>
      </c>
      <c r="R25" s="1307" t="s">
        <v>5</v>
      </c>
      <c r="S25" s="1308">
        <f>F25</f>
        <v>100</v>
      </c>
      <c r="T25" s="1307" t="s">
        <v>5</v>
      </c>
      <c r="U25" s="1308">
        <f>H25</f>
        <v>100</v>
      </c>
      <c r="V25" s="1307" t="s">
        <v>5</v>
      </c>
      <c r="W25" s="1308">
        <f>J25</f>
        <v>100</v>
      </c>
      <c r="X25" s="1302"/>
      <c r="Y25" s="3620"/>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20"/>
      <c r="Q26" s="1306"/>
      <c r="R26" s="1307"/>
      <c r="S26" s="1308"/>
      <c r="T26" s="1307"/>
      <c r="U26" s="1308"/>
      <c r="V26" s="1307"/>
      <c r="W26" s="1308"/>
      <c r="X26" s="1302"/>
      <c r="Y26" s="3620"/>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20"/>
      <c r="Q27" s="1306" t="str">
        <f t="shared" ref="Q27:Q47" si="8">B27</f>
        <v>楼层</v>
      </c>
      <c r="R27" s="1307" t="s">
        <v>5</v>
      </c>
      <c r="S27" s="1308">
        <f>F27</f>
        <v>100</v>
      </c>
      <c r="T27" s="1307" t="s">
        <v>5</v>
      </c>
      <c r="U27" s="1308">
        <f>H27</f>
        <v>100</v>
      </c>
      <c r="V27" s="1307" t="s">
        <v>5</v>
      </c>
      <c r="W27" s="1308">
        <f>J27</f>
        <v>100</v>
      </c>
      <c r="X27" s="1302"/>
      <c r="Y27" s="3620"/>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20"/>
      <c r="Q28" s="818" t="str">
        <f t="shared" si="8"/>
        <v>朝向</v>
      </c>
      <c r="R28" s="1303" t="s">
        <v>5</v>
      </c>
      <c r="S28" s="1304">
        <f>F28</f>
        <v>100</v>
      </c>
      <c r="T28" s="1303" t="s">
        <v>5</v>
      </c>
      <c r="U28" s="1304">
        <f>H28</f>
        <v>100</v>
      </c>
      <c r="V28" s="1303" t="s">
        <v>5</v>
      </c>
      <c r="W28" s="1304">
        <f>J28</f>
        <v>100</v>
      </c>
      <c r="X28" s="1305"/>
      <c r="Y28" s="3620"/>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20"/>
      <c r="Q29" s="1306">
        <f t="shared" si="8"/>
        <v>111</v>
      </c>
      <c r="R29" s="1307" t="s">
        <v>5</v>
      </c>
      <c r="S29" s="1308">
        <f t="shared" ref="S29:S47" si="9">F29</f>
        <v>100</v>
      </c>
      <c r="T29" s="1307" t="s">
        <v>5</v>
      </c>
      <c r="U29" s="1308">
        <f t="shared" ref="U29:U47" si="10">H29</f>
        <v>100</v>
      </c>
      <c r="V29" s="1307" t="s">
        <v>5</v>
      </c>
      <c r="W29" s="1308">
        <f t="shared" ref="W29:W47" si="11">J29</f>
        <v>100</v>
      </c>
      <c r="X29" s="1302"/>
      <c r="Y29" s="3620"/>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20"/>
      <c r="Q30" s="1306">
        <f t="shared" si="8"/>
        <v>111</v>
      </c>
      <c r="R30" s="1307" t="s">
        <v>5</v>
      </c>
      <c r="S30" s="1308">
        <f t="shared" si="9"/>
        <v>100</v>
      </c>
      <c r="T30" s="1307" t="s">
        <v>5</v>
      </c>
      <c r="U30" s="1308">
        <f t="shared" si="10"/>
        <v>100</v>
      </c>
      <c r="V30" s="1307" t="s">
        <v>5</v>
      </c>
      <c r="W30" s="1308">
        <f t="shared" si="11"/>
        <v>100</v>
      </c>
      <c r="X30" s="1302"/>
      <c r="Y30" s="3620"/>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20"/>
      <c r="Q31" s="1306">
        <f t="shared" si="8"/>
        <v>111</v>
      </c>
      <c r="R31" s="1307" t="s">
        <v>5</v>
      </c>
      <c r="S31" s="1308">
        <f t="shared" si="9"/>
        <v>100</v>
      </c>
      <c r="T31" s="1307" t="s">
        <v>5</v>
      </c>
      <c r="U31" s="1308">
        <f t="shared" si="10"/>
        <v>100</v>
      </c>
      <c r="V31" s="1307" t="s">
        <v>5</v>
      </c>
      <c r="W31" s="1308">
        <f t="shared" si="11"/>
        <v>100</v>
      </c>
      <c r="X31" s="1302"/>
      <c r="Y31" s="3620"/>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20"/>
      <c r="Q32" s="1306">
        <f t="shared" si="8"/>
        <v>111</v>
      </c>
      <c r="R32" s="1307" t="s">
        <v>5</v>
      </c>
      <c r="S32" s="1308">
        <f t="shared" si="9"/>
        <v>100</v>
      </c>
      <c r="T32" s="1307" t="s">
        <v>5</v>
      </c>
      <c r="U32" s="1308">
        <f t="shared" si="10"/>
        <v>100</v>
      </c>
      <c r="V32" s="1307" t="s">
        <v>5</v>
      </c>
      <c r="W32" s="1308">
        <f t="shared" si="11"/>
        <v>100</v>
      </c>
      <c r="X32" s="1302"/>
      <c r="Y32" s="3620"/>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21" t="s">
        <v>499</v>
      </c>
      <c r="Q33" s="1306" t="str">
        <f t="shared" si="8"/>
        <v>建筑类型</v>
      </c>
      <c r="R33" s="1307" t="s">
        <v>5</v>
      </c>
      <c r="S33" s="1308">
        <f t="shared" si="9"/>
        <v>100</v>
      </c>
      <c r="T33" s="1307" t="s">
        <v>5</v>
      </c>
      <c r="U33" s="1308">
        <f t="shared" si="10"/>
        <v>100</v>
      </c>
      <c r="V33" s="1307" t="s">
        <v>5</v>
      </c>
      <c r="W33" s="1308">
        <f t="shared" si="11"/>
        <v>100</v>
      </c>
      <c r="X33" s="1302"/>
      <c r="Y33" s="3622"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22"/>
      <c r="Q34" s="819" t="str">
        <f t="shared" si="8"/>
        <v>项目建筑规模</v>
      </c>
      <c r="R34" s="1310" t="s">
        <v>5</v>
      </c>
      <c r="S34" s="1311" t="e">
        <f t="shared" si="9"/>
        <v>#N/A</v>
      </c>
      <c r="T34" s="1310" t="s">
        <v>5</v>
      </c>
      <c r="U34" s="1311" t="e">
        <f t="shared" si="10"/>
        <v>#N/A</v>
      </c>
      <c r="V34" s="1310" t="s">
        <v>5</v>
      </c>
      <c r="W34" s="1311" t="e">
        <f t="shared" si="11"/>
        <v>#N/A</v>
      </c>
      <c r="X34" s="1312"/>
      <c r="Y34" s="3622"/>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22"/>
      <c r="Q35" s="1306" t="str">
        <f t="shared" si="8"/>
        <v>建筑结构</v>
      </c>
      <c r="R35" s="1307" t="s">
        <v>5</v>
      </c>
      <c r="S35" s="1308">
        <f t="shared" si="9"/>
        <v>100</v>
      </c>
      <c r="T35" s="1307" t="s">
        <v>5</v>
      </c>
      <c r="U35" s="1308">
        <f t="shared" si="10"/>
        <v>100</v>
      </c>
      <c r="V35" s="1307" t="s">
        <v>5</v>
      </c>
      <c r="W35" s="1308">
        <f t="shared" si="11"/>
        <v>100</v>
      </c>
      <c r="X35" s="1302"/>
      <c r="Y35" s="3622"/>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22"/>
      <c r="Q36" s="1306" t="str">
        <f t="shared" si="8"/>
        <v>公共部分装修</v>
      </c>
      <c r="R36" s="1307" t="s">
        <v>5</v>
      </c>
      <c r="S36" s="1308">
        <f t="shared" si="9"/>
        <v>100</v>
      </c>
      <c r="T36" s="1307" t="s">
        <v>5</v>
      </c>
      <c r="U36" s="1308">
        <f t="shared" si="10"/>
        <v>100</v>
      </c>
      <c r="V36" s="1307" t="s">
        <v>5</v>
      </c>
      <c r="W36" s="1308">
        <f t="shared" si="11"/>
        <v>100</v>
      </c>
      <c r="X36" s="1302"/>
      <c r="Y36" s="3622"/>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22"/>
      <c r="Q37" s="1306" t="str">
        <f t="shared" si="8"/>
        <v>成新度</v>
      </c>
      <c r="R37" s="1307" t="s">
        <v>5</v>
      </c>
      <c r="S37" s="1308" t="e">
        <f t="shared" si="9"/>
        <v>#N/A</v>
      </c>
      <c r="T37" s="1307" t="s">
        <v>5</v>
      </c>
      <c r="U37" s="1308" t="e">
        <f t="shared" si="10"/>
        <v>#N/A</v>
      </c>
      <c r="V37" s="1307" t="s">
        <v>5</v>
      </c>
      <c r="W37" s="1308" t="e">
        <f t="shared" si="11"/>
        <v>#N/A</v>
      </c>
      <c r="X37" s="1302"/>
      <c r="Y37" s="3622"/>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22"/>
      <c r="Q38" s="818" t="str">
        <f t="shared" si="8"/>
        <v>写字楼等级</v>
      </c>
      <c r="R38" s="1303" t="s">
        <v>5</v>
      </c>
      <c r="S38" s="1304">
        <f t="shared" si="9"/>
        <v>100</v>
      </c>
      <c r="T38" s="1303" t="s">
        <v>5</v>
      </c>
      <c r="U38" s="1304">
        <f t="shared" si="10"/>
        <v>100</v>
      </c>
      <c r="V38" s="1303" t="s">
        <v>5</v>
      </c>
      <c r="W38" s="1304">
        <f t="shared" si="11"/>
        <v>100</v>
      </c>
      <c r="X38" s="1305"/>
      <c r="Y38" s="3622"/>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22" t="s">
        <v>499</v>
      </c>
      <c r="Q39" s="1306" t="str">
        <f t="shared" si="8"/>
        <v>物业管理</v>
      </c>
      <c r="R39" s="1307" t="s">
        <v>5</v>
      </c>
      <c r="S39" s="1308">
        <f t="shared" si="9"/>
        <v>100</v>
      </c>
      <c r="T39" s="1307" t="s">
        <v>5</v>
      </c>
      <c r="U39" s="1308">
        <f t="shared" si="10"/>
        <v>100</v>
      </c>
      <c r="V39" s="1307" t="s">
        <v>5</v>
      </c>
      <c r="W39" s="1308">
        <f t="shared" si="11"/>
        <v>100</v>
      </c>
      <c r="X39" s="1302"/>
      <c r="Y39" s="3622"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22"/>
      <c r="Q40" s="1306" t="str">
        <f t="shared" si="8"/>
        <v>市政基础设施</v>
      </c>
      <c r="R40" s="1307" t="s">
        <v>5</v>
      </c>
      <c r="S40" s="1308">
        <f t="shared" si="9"/>
        <v>100</v>
      </c>
      <c r="T40" s="1307" t="s">
        <v>5</v>
      </c>
      <c r="U40" s="1308">
        <f t="shared" si="10"/>
        <v>100</v>
      </c>
      <c r="V40" s="1307" t="s">
        <v>5</v>
      </c>
      <c r="W40" s="1308">
        <f t="shared" si="11"/>
        <v>100</v>
      </c>
      <c r="X40" s="1302"/>
      <c r="Y40" s="3622"/>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22"/>
      <c r="Q41" s="1306" t="str">
        <f t="shared" si="8"/>
        <v>层高</v>
      </c>
      <c r="R41" s="1307" t="s">
        <v>5</v>
      </c>
      <c r="S41" s="1308">
        <f t="shared" si="9"/>
        <v>100</v>
      </c>
      <c r="T41" s="1307" t="s">
        <v>5</v>
      </c>
      <c r="U41" s="1308">
        <f t="shared" si="10"/>
        <v>100</v>
      </c>
      <c r="V41" s="1307" t="s">
        <v>5</v>
      </c>
      <c r="W41" s="1308">
        <f t="shared" si="11"/>
        <v>100</v>
      </c>
      <c r="X41" s="1302"/>
      <c r="Y41" s="3622"/>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22"/>
      <c r="Q42" s="819" t="str">
        <f t="shared" si="8"/>
        <v>单套建筑面积</v>
      </c>
      <c r="R42" s="1310" t="s">
        <v>5</v>
      </c>
      <c r="S42" s="1311">
        <f t="shared" si="9"/>
        <v>100</v>
      </c>
      <c r="T42" s="1310" t="s">
        <v>5</v>
      </c>
      <c r="U42" s="1311">
        <f t="shared" si="10"/>
        <v>100</v>
      </c>
      <c r="V42" s="1310" t="s">
        <v>5</v>
      </c>
      <c r="W42" s="1311">
        <f t="shared" si="11"/>
        <v>100</v>
      </c>
      <c r="X42" s="1312"/>
      <c r="Y42" s="3622"/>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22"/>
      <c r="Q43" s="1306" t="str">
        <f t="shared" si="8"/>
        <v>内部装修</v>
      </c>
      <c r="R43" s="1307" t="s">
        <v>5</v>
      </c>
      <c r="S43" s="1308">
        <f t="shared" si="9"/>
        <v>100</v>
      </c>
      <c r="T43" s="1307" t="s">
        <v>5</v>
      </c>
      <c r="U43" s="1308">
        <f t="shared" si="10"/>
        <v>100</v>
      </c>
      <c r="V43" s="1307" t="s">
        <v>5</v>
      </c>
      <c r="W43" s="1308">
        <f t="shared" si="11"/>
        <v>100</v>
      </c>
      <c r="X43" s="1302"/>
      <c r="Y43" s="3622"/>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22"/>
      <c r="Q44" s="1306" t="str">
        <f t="shared" si="8"/>
        <v>内部装修维护情况</v>
      </c>
      <c r="R44" s="1307" t="s">
        <v>5</v>
      </c>
      <c r="S44" s="1308">
        <f t="shared" si="9"/>
        <v>100</v>
      </c>
      <c r="T44" s="1307" t="s">
        <v>5</v>
      </c>
      <c r="U44" s="1308">
        <f t="shared" si="10"/>
        <v>100</v>
      </c>
      <c r="V44" s="1307" t="s">
        <v>5</v>
      </c>
      <c r="W44" s="1308">
        <f t="shared" si="11"/>
        <v>100</v>
      </c>
      <c r="X44" s="1302"/>
      <c r="Y44" s="3622"/>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22"/>
      <c r="Q45" s="818">
        <f t="shared" si="8"/>
        <v>111</v>
      </c>
      <c r="R45" s="1303" t="s">
        <v>5</v>
      </c>
      <c r="S45" s="1304">
        <f t="shared" si="9"/>
        <v>100</v>
      </c>
      <c r="T45" s="1303" t="s">
        <v>5</v>
      </c>
      <c r="U45" s="1304">
        <f t="shared" si="10"/>
        <v>100</v>
      </c>
      <c r="V45" s="1303" t="s">
        <v>5</v>
      </c>
      <c r="W45" s="1304">
        <f t="shared" si="11"/>
        <v>100</v>
      </c>
      <c r="X45" s="1305"/>
      <c r="Y45" s="3622"/>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22"/>
      <c r="Q46" s="1306">
        <f t="shared" si="8"/>
        <v>111</v>
      </c>
      <c r="R46" s="1307" t="s">
        <v>5</v>
      </c>
      <c r="S46" s="1308">
        <f t="shared" si="9"/>
        <v>100</v>
      </c>
      <c r="T46" s="1307" t="s">
        <v>5</v>
      </c>
      <c r="U46" s="1308">
        <f t="shared" si="10"/>
        <v>100</v>
      </c>
      <c r="V46" s="1307" t="s">
        <v>5</v>
      </c>
      <c r="W46" s="1308">
        <f t="shared" si="11"/>
        <v>100</v>
      </c>
      <c r="X46" s="1302"/>
      <c r="Y46" s="3622"/>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95"/>
      <c r="Q47" s="1306">
        <f t="shared" si="8"/>
        <v>111</v>
      </c>
      <c r="R47" s="1307" t="s">
        <v>5</v>
      </c>
      <c r="S47" s="1308">
        <f t="shared" si="9"/>
        <v>100</v>
      </c>
      <c r="T47" s="1307" t="s">
        <v>5</v>
      </c>
      <c r="U47" s="1308">
        <f t="shared" si="10"/>
        <v>100</v>
      </c>
      <c r="V47" s="1307" t="s">
        <v>5</v>
      </c>
      <c r="W47" s="1308">
        <f t="shared" si="11"/>
        <v>100</v>
      </c>
      <c r="X47" s="1302"/>
      <c r="Y47" s="3695"/>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24" t="str">
        <f>A48</f>
        <v>成交单价（元/平方米）</v>
      </c>
      <c r="Q48" s="3586"/>
      <c r="R48" s="3587">
        <f>E48</f>
        <v>0</v>
      </c>
      <c r="S48" s="3587"/>
      <c r="T48" s="3587">
        <f>G48</f>
        <v>0</v>
      </c>
      <c r="U48" s="3587"/>
      <c r="V48" s="3587">
        <f>I48</f>
        <v>0</v>
      </c>
      <c r="W48" s="3587"/>
      <c r="X48" s="799"/>
      <c r="Y48" s="1314"/>
      <c r="Z48" s="799"/>
      <c r="AA48" s="799"/>
      <c r="AB48" s="799"/>
      <c r="AC48" s="799"/>
    </row>
    <row r="49" spans="1:29" ht="15.75" thickBot="1">
      <c r="A49" s="564" t="s">
        <v>2042</v>
      </c>
      <c r="B49" s="813"/>
      <c r="C49" s="2082" t="e">
        <f>R50</f>
        <v>#DIV/0!</v>
      </c>
      <c r="D49" s="2549" t="s">
        <v>2255</v>
      </c>
      <c r="E49" s="2083" t="e">
        <f>R49</f>
        <v>#DIV/0!</v>
      </c>
      <c r="F49" s="2550"/>
      <c r="G49" s="2082" t="e">
        <f>T49</f>
        <v>#DIV/0!</v>
      </c>
      <c r="H49" s="2550"/>
      <c r="I49" s="2083" t="e">
        <f>V49</f>
        <v>#DIV/0!</v>
      </c>
      <c r="J49" s="2550"/>
      <c r="K49" s="2557">
        <f>F49+H49+J49</f>
        <v>0</v>
      </c>
      <c r="L49" s="1751"/>
      <c r="M49" s="1742"/>
      <c r="N49" s="1742"/>
      <c r="O49" s="1742"/>
      <c r="P49" s="3624" t="str">
        <f>A49</f>
        <v>比较价格（元/平方米）</v>
      </c>
      <c r="Q49" s="3586"/>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799"/>
      <c r="Y49" s="799"/>
      <c r="Z49" s="799"/>
      <c r="AA49" s="799"/>
      <c r="AB49" s="799"/>
      <c r="AC49" s="799"/>
    </row>
    <row r="50" spans="1:29" ht="15.75" thickBot="1">
      <c r="A50" s="568" t="s">
        <v>2192</v>
      </c>
      <c r="B50" s="569"/>
      <c r="C50" s="469" t="e">
        <f>R50</f>
        <v>#DIV/0!</v>
      </c>
      <c r="D50" s="469"/>
      <c r="E50" s="469"/>
      <c r="F50" s="469"/>
      <c r="G50" s="469"/>
      <c r="H50" s="469"/>
      <c r="I50" s="469"/>
      <c r="J50" s="469"/>
      <c r="K50" s="1336"/>
      <c r="L50" s="1751"/>
      <c r="M50" s="1742"/>
      <c r="N50" s="1742"/>
      <c r="O50" s="1742"/>
      <c r="P50" s="3719" t="str">
        <f>A50</f>
        <v>估价对象XX用房的比较价格（楼面单价，元/平方米）</v>
      </c>
      <c r="Q50" s="3624"/>
      <c r="R50" s="3694" t="e">
        <f>IF(F1="售价",ROUND(IF(D49="简单平均",AVERAGE(R49:V49),R49*F49+T49*H49+V49*J49),0),ROUND(IF(D49="简单平均",AVERAGE(R49:V49),R49*F49+T49*H49+V49*J49),1))</f>
        <v>#DIV/0!</v>
      </c>
      <c r="S50" s="3694"/>
      <c r="T50" s="3694"/>
      <c r="U50" s="3694"/>
      <c r="V50" s="3694"/>
      <c r="W50" s="3694"/>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2024-9</v>
      </c>
      <c r="D59" s="2115">
        <f>EDATE(C59,-1)</f>
        <v>45505</v>
      </c>
      <c r="E59" s="2115">
        <f t="shared" ref="E59:O59" si="13">EDATE(D59,-1)</f>
        <v>45474</v>
      </c>
      <c r="F59" s="2115">
        <f t="shared" si="13"/>
        <v>45444</v>
      </c>
      <c r="G59" s="2115">
        <f t="shared" si="13"/>
        <v>45413</v>
      </c>
      <c r="H59" s="2115">
        <f t="shared" si="13"/>
        <v>45383</v>
      </c>
      <c r="I59" s="2115">
        <f t="shared" si="13"/>
        <v>45352</v>
      </c>
      <c r="J59" s="2115">
        <f t="shared" si="13"/>
        <v>45323</v>
      </c>
      <c r="K59" s="2115">
        <f t="shared" si="13"/>
        <v>45292</v>
      </c>
      <c r="L59" s="2115">
        <f t="shared" si="13"/>
        <v>45261</v>
      </c>
      <c r="M59" s="2115">
        <f t="shared" si="13"/>
        <v>45231</v>
      </c>
      <c r="N59" s="2115">
        <f t="shared" si="13"/>
        <v>45200</v>
      </c>
      <c r="O59" s="2115">
        <f t="shared" si="13"/>
        <v>45170</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592" t="s">
        <v>471</v>
      </c>
      <c r="D4" s="3593"/>
      <c r="E4" s="3631" t="s">
        <v>472</v>
      </c>
      <c r="F4" s="3632"/>
      <c r="G4" s="3592" t="s">
        <v>473</v>
      </c>
      <c r="H4" s="3593"/>
      <c r="I4" s="3592" t="s">
        <v>474</v>
      </c>
      <c r="J4" s="3593"/>
      <c r="K4" s="465" t="s">
        <v>475</v>
      </c>
      <c r="L4" s="1741"/>
      <c r="M4" s="1742"/>
      <c r="N4" s="1742"/>
      <c r="O4" s="1742"/>
      <c r="P4" s="3594" t="s">
        <v>476</v>
      </c>
      <c r="Q4" s="3595"/>
      <c r="R4" s="3600" t="s">
        <v>472</v>
      </c>
      <c r="S4" s="3601"/>
      <c r="T4" s="3600" t="s">
        <v>473</v>
      </c>
      <c r="U4" s="3601"/>
      <c r="V4" s="3587" t="s">
        <v>474</v>
      </c>
      <c r="W4" s="3587"/>
      <c r="X4" s="1302"/>
      <c r="Y4" s="3600" t="s">
        <v>476</v>
      </c>
      <c r="Z4" s="3601"/>
      <c r="AA4" s="3589" t="s">
        <v>472</v>
      </c>
      <c r="AB4" s="3590" t="s">
        <v>473</v>
      </c>
      <c r="AC4" s="3589" t="s">
        <v>474</v>
      </c>
    </row>
    <row r="5" spans="1:29" ht="15">
      <c r="A5" s="466"/>
      <c r="B5" s="467"/>
      <c r="C5" s="3608" t="s">
        <v>2186</v>
      </c>
      <c r="D5" s="3609"/>
      <c r="E5" s="3633" t="s">
        <v>2187</v>
      </c>
      <c r="F5" s="3634"/>
      <c r="G5" s="3608" t="s">
        <v>2188</v>
      </c>
      <c r="H5" s="3609"/>
      <c r="I5" s="3608" t="s">
        <v>2189</v>
      </c>
      <c r="J5" s="3609"/>
      <c r="K5" s="465"/>
      <c r="L5" s="1741"/>
      <c r="M5" s="1742"/>
      <c r="N5" s="1742"/>
      <c r="O5" s="1742"/>
      <c r="P5" s="3596"/>
      <c r="Q5" s="3597"/>
      <c r="R5" s="3602"/>
      <c r="S5" s="3603"/>
      <c r="T5" s="3602"/>
      <c r="U5" s="3603"/>
      <c r="V5" s="3587"/>
      <c r="W5" s="3587"/>
      <c r="X5" s="1302"/>
      <c r="Y5" s="3602"/>
      <c r="Z5" s="3603"/>
      <c r="AA5" s="3590"/>
      <c r="AB5" s="3590"/>
      <c r="AC5" s="3590"/>
    </row>
    <row r="6" spans="1:29" ht="15.75" thickBot="1">
      <c r="A6" s="468"/>
      <c r="B6" s="469"/>
      <c r="C6" s="3606" t="s">
        <v>2190</v>
      </c>
      <c r="D6" s="3607"/>
      <c r="E6" s="3629" t="s">
        <v>2190</v>
      </c>
      <c r="F6" s="3630"/>
      <c r="G6" s="3606" t="s">
        <v>2190</v>
      </c>
      <c r="H6" s="3607"/>
      <c r="I6" s="3606" t="s">
        <v>2190</v>
      </c>
      <c r="J6" s="3607"/>
      <c r="K6" s="465" t="s">
        <v>477</v>
      </c>
      <c r="L6" s="1741"/>
      <c r="M6" s="1742"/>
      <c r="N6" s="1742"/>
      <c r="O6" s="1742"/>
      <c r="P6" s="3598"/>
      <c r="Q6" s="3599"/>
      <c r="R6" s="3602"/>
      <c r="S6" s="3603"/>
      <c r="T6" s="3604"/>
      <c r="U6" s="3605"/>
      <c r="V6" s="3587"/>
      <c r="W6" s="3587"/>
      <c r="X6" s="1302"/>
      <c r="Y6" s="3604"/>
      <c r="Z6" s="3605"/>
      <c r="AA6" s="3591"/>
      <c r="AB6" s="3591"/>
      <c r="AC6" s="3591"/>
    </row>
    <row r="7" spans="1:29" s="1060" customFormat="1" ht="15.75" thickBot="1">
      <c r="A7" s="2208"/>
      <c r="B7" s="2215" t="s">
        <v>478</v>
      </c>
      <c r="C7" s="470">
        <f>'数据-取费表'!B2</f>
        <v>45541</v>
      </c>
      <c r="D7" s="471">
        <v>100</v>
      </c>
      <c r="E7" s="472"/>
      <c r="F7" s="473">
        <f>SUMIF(52:52,YEAR(E7)&amp;"-"&amp;MONTH(E7),53:53)</f>
        <v>0</v>
      </c>
      <c r="G7" s="472"/>
      <c r="H7" s="471">
        <f>SUMIF(52:52,YEAR(G7)&amp;"-"&amp;MONTH(G7),53:53)</f>
        <v>0</v>
      </c>
      <c r="I7" s="472"/>
      <c r="J7" s="471">
        <f>SUMIF(52:52,YEAR(I7)&amp;"-"&amp;MONTH(I7),53:53)</f>
        <v>0</v>
      </c>
      <c r="K7" s="88"/>
      <c r="L7" s="1743"/>
      <c r="M7" s="1640"/>
      <c r="N7" s="1640"/>
      <c r="O7" s="1640"/>
      <c r="P7" s="3616" t="s">
        <v>479</v>
      </c>
      <c r="Q7" s="3618"/>
      <c r="R7" s="1303" t="s">
        <v>5</v>
      </c>
      <c r="S7" s="1304">
        <f t="shared" ref="S7:S15" si="0">F7</f>
        <v>0</v>
      </c>
      <c r="T7" s="1303" t="s">
        <v>5</v>
      </c>
      <c r="U7" s="1304">
        <f t="shared" ref="U7:U15" si="1">H7</f>
        <v>0</v>
      </c>
      <c r="V7" s="1303" t="s">
        <v>5</v>
      </c>
      <c r="W7" s="1304">
        <f t="shared" ref="W7:W15" si="2">J7</f>
        <v>0</v>
      </c>
      <c r="X7" s="1305"/>
      <c r="Y7" s="3616" t="s">
        <v>479</v>
      </c>
      <c r="Z7" s="3617"/>
      <c r="AA7" s="997" t="e">
        <f>D7/F7</f>
        <v>#DIV/0!</v>
      </c>
      <c r="AB7" s="997" t="e">
        <f>D7/H7</f>
        <v>#DIV/0!</v>
      </c>
      <c r="AC7" s="997" t="e">
        <f>D7/J7</f>
        <v>#DIV/0!</v>
      </c>
    </row>
    <row r="8" spans="1:29" s="1060"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16" t="s">
        <v>482</v>
      </c>
      <c r="Q8" s="3617"/>
      <c r="R8" s="1303" t="s">
        <v>5</v>
      </c>
      <c r="S8" s="1304">
        <f t="shared" si="0"/>
        <v>0</v>
      </c>
      <c r="T8" s="1303" t="s">
        <v>5</v>
      </c>
      <c r="U8" s="1304">
        <f t="shared" si="1"/>
        <v>0</v>
      </c>
      <c r="V8" s="1303" t="s">
        <v>5</v>
      </c>
      <c r="W8" s="1304">
        <f t="shared" si="2"/>
        <v>0</v>
      </c>
      <c r="X8" s="1305"/>
      <c r="Y8" s="3616" t="s">
        <v>482</v>
      </c>
      <c r="Z8" s="3617"/>
      <c r="AA8" s="997" t="e">
        <f t="shared" ref="AA8:AA40" si="3">D8/F8</f>
        <v>#DIV/0!</v>
      </c>
      <c r="AB8" s="997" t="e">
        <f t="shared" ref="AB8:AB40" si="4">D8/H8</f>
        <v>#DIV/0!</v>
      </c>
      <c r="AC8" s="997" t="e">
        <f t="shared" ref="AC8:AC40" si="5">D8/J8</f>
        <v>#DIV/0!</v>
      </c>
    </row>
    <row r="9" spans="1:29" s="1060" customFormat="1" ht="15">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86" t="s">
        <v>484</v>
      </c>
      <c r="Q9" s="818" t="str">
        <f t="shared" ref="Q9:Q15" si="6">B9</f>
        <v>用途</v>
      </c>
      <c r="R9" s="1303" t="s">
        <v>5</v>
      </c>
      <c r="S9" s="1304">
        <f t="shared" si="0"/>
        <v>100</v>
      </c>
      <c r="T9" s="1303" t="s">
        <v>5</v>
      </c>
      <c r="U9" s="1304">
        <f t="shared" si="1"/>
        <v>100</v>
      </c>
      <c r="V9" s="1303" t="s">
        <v>5</v>
      </c>
      <c r="W9" s="1304">
        <f t="shared" si="2"/>
        <v>100</v>
      </c>
      <c r="X9" s="1305"/>
      <c r="Y9" s="3534"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586"/>
      <c r="Q10" s="818" t="str">
        <f t="shared" si="6"/>
        <v>土地使用年限（年）</v>
      </c>
      <c r="R10" s="1303" t="s">
        <v>5</v>
      </c>
      <c r="S10" s="1304">
        <f t="shared" si="0"/>
        <v>100</v>
      </c>
      <c r="T10" s="1303" t="s">
        <v>5</v>
      </c>
      <c r="U10" s="1304">
        <f t="shared" si="1"/>
        <v>100</v>
      </c>
      <c r="V10" s="1303" t="s">
        <v>5</v>
      </c>
      <c r="W10" s="1304">
        <f t="shared" si="2"/>
        <v>100</v>
      </c>
      <c r="X10" s="1305"/>
      <c r="Y10" s="3534"/>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86"/>
      <c r="Q11" s="818" t="str">
        <f t="shared" si="6"/>
        <v>容积率</v>
      </c>
      <c r="R11" s="1303" t="s">
        <v>5</v>
      </c>
      <c r="S11" s="1304" t="e">
        <f t="shared" si="0"/>
        <v>#N/A</v>
      </c>
      <c r="T11" s="1303" t="s">
        <v>5</v>
      </c>
      <c r="U11" s="1304" t="e">
        <f t="shared" si="1"/>
        <v>#N/A</v>
      </c>
      <c r="V11" s="1303" t="s">
        <v>5</v>
      </c>
      <c r="W11" s="1304" t="e">
        <f t="shared" si="2"/>
        <v>#N/A</v>
      </c>
      <c r="X11" s="1305"/>
      <c r="Y11" s="3534"/>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586"/>
      <c r="Q12" s="818">
        <f t="shared" si="6"/>
        <v>111</v>
      </c>
      <c r="R12" s="1303" t="s">
        <v>5</v>
      </c>
      <c r="S12" s="1304">
        <f t="shared" si="0"/>
        <v>100</v>
      </c>
      <c r="T12" s="1303" t="s">
        <v>5</v>
      </c>
      <c r="U12" s="1304">
        <f t="shared" si="1"/>
        <v>100</v>
      </c>
      <c r="V12" s="1303" t="s">
        <v>5</v>
      </c>
      <c r="W12" s="1304">
        <f t="shared" si="2"/>
        <v>100</v>
      </c>
      <c r="X12" s="1305"/>
      <c r="Y12" s="3534"/>
      <c r="Z12" s="997">
        <f t="shared" si="7"/>
        <v>111</v>
      </c>
      <c r="AA12" s="997">
        <f>D12/F12</f>
        <v>1</v>
      </c>
      <c r="AB12" s="997">
        <f>D12/H12</f>
        <v>1</v>
      </c>
      <c r="AC12" s="997">
        <f>D12/J12</f>
        <v>1</v>
      </c>
    </row>
    <row r="13" spans="1:29" ht="15">
      <c r="A13" s="2213"/>
      <c r="B13" s="2219">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586"/>
      <c r="Q13" s="818">
        <f t="shared" si="6"/>
        <v>111</v>
      </c>
      <c r="R13" s="1303" t="s">
        <v>5</v>
      </c>
      <c r="S13" s="1304">
        <f t="shared" si="0"/>
        <v>100</v>
      </c>
      <c r="T13" s="1303" t="s">
        <v>5</v>
      </c>
      <c r="U13" s="1304">
        <f t="shared" si="1"/>
        <v>100</v>
      </c>
      <c r="V13" s="1303" t="s">
        <v>5</v>
      </c>
      <c r="W13" s="1304">
        <f t="shared" si="2"/>
        <v>100</v>
      </c>
      <c r="X13" s="1305"/>
      <c r="Y13" s="3534"/>
      <c r="Z13" s="997">
        <f t="shared" si="7"/>
        <v>111</v>
      </c>
      <c r="AA13" s="997">
        <f t="shared" si="3"/>
        <v>1</v>
      </c>
      <c r="AB13" s="997">
        <f t="shared" si="4"/>
        <v>1</v>
      </c>
      <c r="AC13" s="997">
        <f t="shared" si="5"/>
        <v>1</v>
      </c>
    </row>
    <row r="14" spans="1:29" ht="15.75" thickBot="1">
      <c r="A14" s="2214"/>
      <c r="B14" s="2220">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586"/>
      <c r="Q14" s="818">
        <f t="shared" si="6"/>
        <v>111</v>
      </c>
      <c r="R14" s="1303" t="s">
        <v>5</v>
      </c>
      <c r="S14" s="1304">
        <f t="shared" si="0"/>
        <v>100</v>
      </c>
      <c r="T14" s="1303" t="s">
        <v>5</v>
      </c>
      <c r="U14" s="1304">
        <f t="shared" si="1"/>
        <v>100</v>
      </c>
      <c r="V14" s="1303" t="s">
        <v>5</v>
      </c>
      <c r="W14" s="1304">
        <f t="shared" si="2"/>
        <v>100</v>
      </c>
      <c r="X14" s="1305"/>
      <c r="Y14" s="3534"/>
      <c r="Z14" s="997">
        <f t="shared" si="7"/>
        <v>111</v>
      </c>
      <c r="AA14" s="997">
        <f t="shared" si="3"/>
        <v>1</v>
      </c>
      <c r="AB14" s="997">
        <f t="shared" si="4"/>
        <v>1</v>
      </c>
      <c r="AC14" s="997">
        <f t="shared" si="5"/>
        <v>1</v>
      </c>
    </row>
    <row r="15" spans="1:29" ht="57">
      <c r="A15" s="2206"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19" t="s">
        <v>489</v>
      </c>
      <c r="Q15" s="1306" t="str">
        <f t="shared" si="6"/>
        <v>产业集聚程度</v>
      </c>
      <c r="R15" s="1307" t="s">
        <v>5</v>
      </c>
      <c r="S15" s="1308">
        <f t="shared" si="0"/>
        <v>100</v>
      </c>
      <c r="T15" s="1307" t="s">
        <v>5</v>
      </c>
      <c r="U15" s="1308">
        <f t="shared" si="1"/>
        <v>100</v>
      </c>
      <c r="V15" s="1307" t="s">
        <v>5</v>
      </c>
      <c r="W15" s="1308">
        <f t="shared" si="2"/>
        <v>100</v>
      </c>
      <c r="X15" s="1302"/>
      <c r="Y15" s="3619"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20"/>
      <c r="Q16" s="1306"/>
      <c r="R16" s="1307"/>
      <c r="S16" s="1308"/>
      <c r="T16" s="1307"/>
      <c r="U16" s="1308"/>
      <c r="V16" s="1307"/>
      <c r="W16" s="1308"/>
      <c r="X16" s="1302"/>
      <c r="Y16" s="3620"/>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20"/>
      <c r="Q17" s="1306" t="str">
        <f>B17</f>
        <v>交通便捷度</v>
      </c>
      <c r="R17" s="1307" t="s">
        <v>5</v>
      </c>
      <c r="S17" s="1308">
        <f>F17</f>
        <v>100</v>
      </c>
      <c r="T17" s="1307" t="s">
        <v>5</v>
      </c>
      <c r="U17" s="1308">
        <f>H17</f>
        <v>100</v>
      </c>
      <c r="V17" s="1307" t="s">
        <v>5</v>
      </c>
      <c r="W17" s="1308">
        <f>J17</f>
        <v>100</v>
      </c>
      <c r="X17" s="1302"/>
      <c r="Y17" s="3620"/>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20"/>
      <c r="Q18" s="1306"/>
      <c r="R18" s="1307"/>
      <c r="S18" s="1308"/>
      <c r="T18" s="1307"/>
      <c r="U18" s="1308"/>
      <c r="V18" s="1307"/>
      <c r="W18" s="1308"/>
      <c r="X18" s="1302"/>
      <c r="Y18" s="3620"/>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20"/>
      <c r="Q19" s="1306" t="str">
        <f>B19</f>
        <v>公共配套设施</v>
      </c>
      <c r="R19" s="1307" t="s">
        <v>5</v>
      </c>
      <c r="S19" s="1308">
        <f>F19</f>
        <v>100</v>
      </c>
      <c r="T19" s="1307" t="s">
        <v>5</v>
      </c>
      <c r="U19" s="1308">
        <f>H19</f>
        <v>100</v>
      </c>
      <c r="V19" s="1307" t="s">
        <v>5</v>
      </c>
      <c r="W19" s="1308">
        <f>J19</f>
        <v>100</v>
      </c>
      <c r="X19" s="1302"/>
      <c r="Y19" s="3620"/>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20"/>
      <c r="Q20" s="1306"/>
      <c r="R20" s="1307"/>
      <c r="S20" s="1308"/>
      <c r="T20" s="1307"/>
      <c r="U20" s="1308"/>
      <c r="V20" s="1307"/>
      <c r="W20" s="1308"/>
      <c r="X20" s="1302"/>
      <c r="Y20" s="3620"/>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20"/>
      <c r="Q21" s="1306" t="str">
        <f>B21</f>
        <v>基础设施水平</v>
      </c>
      <c r="R21" s="1307" t="s">
        <v>5</v>
      </c>
      <c r="S21" s="1308">
        <f>F21</f>
        <v>100</v>
      </c>
      <c r="T21" s="1307" t="s">
        <v>5</v>
      </c>
      <c r="U21" s="1308">
        <f>H21</f>
        <v>100</v>
      </c>
      <c r="V21" s="1307" t="s">
        <v>5</v>
      </c>
      <c r="W21" s="1308">
        <f>J21</f>
        <v>100</v>
      </c>
      <c r="X21" s="1302"/>
      <c r="Y21" s="3620"/>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20"/>
      <c r="Q22" s="1306"/>
      <c r="R22" s="1307"/>
      <c r="S22" s="1308"/>
      <c r="T22" s="1307"/>
      <c r="U22" s="1308"/>
      <c r="V22" s="1307"/>
      <c r="W22" s="1308"/>
      <c r="X22" s="1302"/>
      <c r="Y22" s="3620"/>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20"/>
      <c r="Q23" s="1306" t="str">
        <f>B23</f>
        <v>环境质量</v>
      </c>
      <c r="R23" s="1307" t="s">
        <v>5</v>
      </c>
      <c r="S23" s="1308">
        <f>F23</f>
        <v>100</v>
      </c>
      <c r="T23" s="1307" t="s">
        <v>5</v>
      </c>
      <c r="U23" s="1308">
        <f>H23</f>
        <v>100</v>
      </c>
      <c r="V23" s="1307" t="s">
        <v>5</v>
      </c>
      <c r="W23" s="1308">
        <f>J23</f>
        <v>100</v>
      </c>
      <c r="X23" s="1302"/>
      <c r="Y23" s="3620"/>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20"/>
      <c r="Q24" s="1306"/>
      <c r="R24" s="1307"/>
      <c r="S24" s="1308"/>
      <c r="T24" s="1307"/>
      <c r="U24" s="1308"/>
      <c r="V24" s="1307"/>
      <c r="W24" s="1308"/>
      <c r="X24" s="1302"/>
      <c r="Y24" s="3620"/>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20"/>
      <c r="Q25" s="1306">
        <f>B25</f>
        <v>111</v>
      </c>
      <c r="R25" s="1307" t="s">
        <v>5</v>
      </c>
      <c r="S25" s="1308">
        <f>F25</f>
        <v>100</v>
      </c>
      <c r="T25" s="1307" t="s">
        <v>5</v>
      </c>
      <c r="U25" s="1308">
        <f>H25</f>
        <v>100</v>
      </c>
      <c r="V25" s="1307" t="s">
        <v>5</v>
      </c>
      <c r="W25" s="1308">
        <f>J25</f>
        <v>100</v>
      </c>
      <c r="X25" s="1302"/>
      <c r="Y25" s="3620"/>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20"/>
      <c r="Q26" s="1306">
        <f t="shared" ref="Q26:Q40" si="8">B26</f>
        <v>111</v>
      </c>
      <c r="R26" s="1307" t="s">
        <v>5</v>
      </c>
      <c r="S26" s="1308">
        <f>F26</f>
        <v>100</v>
      </c>
      <c r="T26" s="1307" t="s">
        <v>5</v>
      </c>
      <c r="U26" s="1308">
        <f>H26</f>
        <v>100</v>
      </c>
      <c r="V26" s="1307" t="s">
        <v>5</v>
      </c>
      <c r="W26" s="1308">
        <f>J26</f>
        <v>100</v>
      </c>
      <c r="X26" s="1302"/>
      <c r="Y26" s="3620"/>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20"/>
      <c r="Q27" s="818">
        <f t="shared" si="8"/>
        <v>111</v>
      </c>
      <c r="R27" s="1303" t="s">
        <v>5</v>
      </c>
      <c r="S27" s="1304">
        <f>F27</f>
        <v>100</v>
      </c>
      <c r="T27" s="1303" t="s">
        <v>5</v>
      </c>
      <c r="U27" s="1304">
        <f>H27</f>
        <v>100</v>
      </c>
      <c r="V27" s="1303" t="s">
        <v>5</v>
      </c>
      <c r="W27" s="1304">
        <f>J27</f>
        <v>100</v>
      </c>
      <c r="X27" s="1305"/>
      <c r="Y27" s="3620"/>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20"/>
      <c r="Q28" s="1306">
        <f t="shared" si="8"/>
        <v>111</v>
      </c>
      <c r="R28" s="1307" t="s">
        <v>5</v>
      </c>
      <c r="S28" s="1308">
        <f t="shared" ref="S28:S40" si="9">F28</f>
        <v>100</v>
      </c>
      <c r="T28" s="1307" t="s">
        <v>5</v>
      </c>
      <c r="U28" s="1308">
        <f t="shared" ref="U28:U40" si="10">H28</f>
        <v>100</v>
      </c>
      <c r="V28" s="1307" t="s">
        <v>5</v>
      </c>
      <c r="W28" s="1308">
        <f t="shared" ref="W28:W40" si="11">J28</f>
        <v>100</v>
      </c>
      <c r="X28" s="1302"/>
      <c r="Y28" s="3620"/>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21" t="s">
        <v>499</v>
      </c>
      <c r="Q29" s="1306" t="str">
        <f t="shared" si="8"/>
        <v>建筑类型</v>
      </c>
      <c r="R29" s="1307" t="s">
        <v>5</v>
      </c>
      <c r="S29" s="1308">
        <f t="shared" si="9"/>
        <v>100</v>
      </c>
      <c r="T29" s="1307" t="s">
        <v>5</v>
      </c>
      <c r="U29" s="1308">
        <f t="shared" si="10"/>
        <v>100</v>
      </c>
      <c r="V29" s="1307" t="s">
        <v>5</v>
      </c>
      <c r="W29" s="1308">
        <f t="shared" si="11"/>
        <v>100</v>
      </c>
      <c r="X29" s="1302"/>
      <c r="Y29" s="3622"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22"/>
      <c r="Q30" s="819" t="str">
        <f t="shared" si="8"/>
        <v>项目建筑规模</v>
      </c>
      <c r="R30" s="1310" t="s">
        <v>5</v>
      </c>
      <c r="S30" s="1311" t="e">
        <f t="shared" si="9"/>
        <v>#N/A</v>
      </c>
      <c r="T30" s="1310" t="s">
        <v>5</v>
      </c>
      <c r="U30" s="1311" t="e">
        <f t="shared" si="10"/>
        <v>#N/A</v>
      </c>
      <c r="V30" s="1310" t="s">
        <v>5</v>
      </c>
      <c r="W30" s="1311" t="e">
        <f t="shared" si="11"/>
        <v>#N/A</v>
      </c>
      <c r="X30" s="1312"/>
      <c r="Y30" s="3622"/>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22"/>
      <c r="Q31" s="1306" t="str">
        <f t="shared" si="8"/>
        <v>建筑结构</v>
      </c>
      <c r="R31" s="1307" t="s">
        <v>5</v>
      </c>
      <c r="S31" s="1308">
        <f t="shared" si="9"/>
        <v>100</v>
      </c>
      <c r="T31" s="1307" t="s">
        <v>5</v>
      </c>
      <c r="U31" s="1308">
        <f t="shared" si="10"/>
        <v>100</v>
      </c>
      <c r="V31" s="1307" t="s">
        <v>5</v>
      </c>
      <c r="W31" s="1308">
        <f t="shared" si="11"/>
        <v>100</v>
      </c>
      <c r="X31" s="1302"/>
      <c r="Y31" s="3622"/>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22"/>
      <c r="Q32" s="1306" t="str">
        <f t="shared" si="8"/>
        <v>公共部分装修</v>
      </c>
      <c r="R32" s="1307" t="s">
        <v>5</v>
      </c>
      <c r="S32" s="1308">
        <f t="shared" si="9"/>
        <v>100</v>
      </c>
      <c r="T32" s="1307" t="s">
        <v>5</v>
      </c>
      <c r="U32" s="1308">
        <f t="shared" si="10"/>
        <v>100</v>
      </c>
      <c r="V32" s="1307" t="s">
        <v>5</v>
      </c>
      <c r="W32" s="1308">
        <f t="shared" si="11"/>
        <v>100</v>
      </c>
      <c r="X32" s="1302"/>
      <c r="Y32" s="3622"/>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22"/>
      <c r="Q33" s="1306" t="str">
        <f t="shared" si="8"/>
        <v>成新度</v>
      </c>
      <c r="R33" s="1307" t="s">
        <v>5</v>
      </c>
      <c r="S33" s="1308" t="e">
        <f t="shared" si="9"/>
        <v>#N/A</v>
      </c>
      <c r="T33" s="1307" t="s">
        <v>5</v>
      </c>
      <c r="U33" s="1308" t="e">
        <f t="shared" si="10"/>
        <v>#N/A</v>
      </c>
      <c r="V33" s="1307" t="s">
        <v>5</v>
      </c>
      <c r="W33" s="1308" t="e">
        <f t="shared" si="11"/>
        <v>#N/A</v>
      </c>
      <c r="X33" s="1302"/>
      <c r="Y33" s="3622"/>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22"/>
      <c r="Q34" s="818" t="str">
        <f t="shared" si="8"/>
        <v>物业管理</v>
      </c>
      <c r="R34" s="1303" t="s">
        <v>5</v>
      </c>
      <c r="S34" s="1304">
        <f t="shared" si="9"/>
        <v>100</v>
      </c>
      <c r="T34" s="1303" t="s">
        <v>5</v>
      </c>
      <c r="U34" s="1304">
        <f t="shared" si="10"/>
        <v>100</v>
      </c>
      <c r="V34" s="1303" t="s">
        <v>5</v>
      </c>
      <c r="W34" s="1304">
        <f t="shared" si="11"/>
        <v>100</v>
      </c>
      <c r="X34" s="1305"/>
      <c r="Y34" s="3622"/>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22" t="s">
        <v>499</v>
      </c>
      <c r="Q35" s="1306" t="str">
        <f t="shared" si="8"/>
        <v>市政基础设施</v>
      </c>
      <c r="R35" s="1307" t="s">
        <v>5</v>
      </c>
      <c r="S35" s="1308">
        <f t="shared" si="9"/>
        <v>100</v>
      </c>
      <c r="T35" s="1307" t="s">
        <v>5</v>
      </c>
      <c r="U35" s="1308">
        <f t="shared" si="10"/>
        <v>100</v>
      </c>
      <c r="V35" s="1307" t="s">
        <v>5</v>
      </c>
      <c r="W35" s="1308">
        <f t="shared" si="11"/>
        <v>100</v>
      </c>
      <c r="X35" s="1302"/>
      <c r="Y35" s="3622"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22"/>
      <c r="Q36" s="1306" t="str">
        <f t="shared" si="8"/>
        <v>内部装修</v>
      </c>
      <c r="R36" s="1307" t="s">
        <v>5</v>
      </c>
      <c r="S36" s="1308">
        <f t="shared" si="9"/>
        <v>100</v>
      </c>
      <c r="T36" s="1307" t="s">
        <v>5</v>
      </c>
      <c r="U36" s="1308">
        <f t="shared" si="10"/>
        <v>100</v>
      </c>
      <c r="V36" s="1307" t="s">
        <v>5</v>
      </c>
      <c r="W36" s="1308">
        <f t="shared" si="11"/>
        <v>100</v>
      </c>
      <c r="X36" s="1302"/>
      <c r="Y36" s="3622"/>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22"/>
      <c r="Q37" s="1306" t="str">
        <f t="shared" si="8"/>
        <v>内部装修状况</v>
      </c>
      <c r="R37" s="1307" t="s">
        <v>5</v>
      </c>
      <c r="S37" s="1308">
        <f t="shared" si="9"/>
        <v>100</v>
      </c>
      <c r="T37" s="1307" t="s">
        <v>5</v>
      </c>
      <c r="U37" s="1308">
        <f t="shared" si="10"/>
        <v>100</v>
      </c>
      <c r="V37" s="1307" t="s">
        <v>5</v>
      </c>
      <c r="W37" s="1308">
        <f t="shared" si="11"/>
        <v>100</v>
      </c>
      <c r="X37" s="1302"/>
      <c r="Y37" s="3622"/>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22"/>
      <c r="Q38" s="819">
        <f t="shared" si="8"/>
        <v>111</v>
      </c>
      <c r="R38" s="1310" t="s">
        <v>5</v>
      </c>
      <c r="S38" s="1311">
        <f t="shared" si="9"/>
        <v>100</v>
      </c>
      <c r="T38" s="1310" t="s">
        <v>5</v>
      </c>
      <c r="U38" s="1311">
        <f t="shared" si="10"/>
        <v>100</v>
      </c>
      <c r="V38" s="1310" t="s">
        <v>5</v>
      </c>
      <c r="W38" s="1311">
        <f t="shared" si="11"/>
        <v>100</v>
      </c>
      <c r="X38" s="1312"/>
      <c r="Y38" s="3622"/>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22"/>
      <c r="Q39" s="1306">
        <f t="shared" si="8"/>
        <v>111</v>
      </c>
      <c r="R39" s="1307" t="s">
        <v>5</v>
      </c>
      <c r="S39" s="1308">
        <f t="shared" si="9"/>
        <v>100</v>
      </c>
      <c r="T39" s="1307" t="s">
        <v>5</v>
      </c>
      <c r="U39" s="1308">
        <f t="shared" si="10"/>
        <v>100</v>
      </c>
      <c r="V39" s="1307" t="s">
        <v>5</v>
      </c>
      <c r="W39" s="1308">
        <f t="shared" si="11"/>
        <v>100</v>
      </c>
      <c r="X39" s="1302"/>
      <c r="Y39" s="3622"/>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695"/>
      <c r="Q40" s="1306">
        <f t="shared" si="8"/>
        <v>111</v>
      </c>
      <c r="R40" s="1307" t="s">
        <v>5</v>
      </c>
      <c r="S40" s="1308">
        <f t="shared" si="9"/>
        <v>100</v>
      </c>
      <c r="T40" s="1307" t="s">
        <v>5</v>
      </c>
      <c r="U40" s="1308">
        <f t="shared" si="10"/>
        <v>100</v>
      </c>
      <c r="V40" s="1307" t="s">
        <v>5</v>
      </c>
      <c r="W40" s="1308">
        <f t="shared" si="11"/>
        <v>100</v>
      </c>
      <c r="X40" s="1302"/>
      <c r="Y40" s="3695"/>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586" t="str">
        <f>A41</f>
        <v>成交单价（元/平方米）</v>
      </c>
      <c r="Q41" s="3586"/>
      <c r="R41" s="3587">
        <f>E41</f>
        <v>0</v>
      </c>
      <c r="S41" s="3587"/>
      <c r="T41" s="3587">
        <f>G41</f>
        <v>0</v>
      </c>
      <c r="U41" s="3587"/>
      <c r="V41" s="3587">
        <f>I41</f>
        <v>0</v>
      </c>
      <c r="W41" s="3587"/>
      <c r="X41" s="799"/>
      <c r="Y41" s="1314"/>
      <c r="Z41" s="799"/>
      <c r="AA41" s="799"/>
      <c r="AB41" s="799"/>
      <c r="AC41" s="799"/>
    </row>
    <row r="42" spans="1:29" ht="15.75" thickBot="1">
      <c r="A42" s="564" t="s">
        <v>2042</v>
      </c>
      <c r="B42" s="813"/>
      <c r="C42" s="2082" t="e">
        <f>R43</f>
        <v>#DIV/0!</v>
      </c>
      <c r="D42" s="2549" t="s">
        <v>2255</v>
      </c>
      <c r="E42" s="2083" t="e">
        <f>R42</f>
        <v>#DIV/0!</v>
      </c>
      <c r="F42" s="2550"/>
      <c r="G42" s="2082" t="e">
        <f>T42</f>
        <v>#DIV/0!</v>
      </c>
      <c r="H42" s="2550"/>
      <c r="I42" s="2083" t="e">
        <f>V42</f>
        <v>#DIV/0!</v>
      </c>
      <c r="J42" s="2550"/>
      <c r="K42" s="2557">
        <f>F42+H42+J42</f>
        <v>0</v>
      </c>
      <c r="L42" s="1751"/>
      <c r="M42" s="1742"/>
      <c r="N42" s="1742"/>
      <c r="O42" s="1742"/>
      <c r="P42" s="3586" t="str">
        <f>A42</f>
        <v>比较价格（元/平方米）</v>
      </c>
      <c r="Q42" s="3586"/>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799"/>
      <c r="Y42" s="799"/>
      <c r="Z42" s="799"/>
      <c r="AA42" s="799"/>
      <c r="AB42" s="799"/>
      <c r="AC42" s="799"/>
    </row>
    <row r="43" spans="1:29" ht="15.75" thickBot="1">
      <c r="A43" s="568" t="s">
        <v>2192</v>
      </c>
      <c r="B43" s="569"/>
      <c r="C43" s="469" t="e">
        <f>R43</f>
        <v>#DIV/0!</v>
      </c>
      <c r="D43" s="469"/>
      <c r="E43" s="469"/>
      <c r="F43" s="469"/>
      <c r="G43" s="469"/>
      <c r="H43" s="469"/>
      <c r="I43" s="469"/>
      <c r="J43" s="469"/>
      <c r="K43" s="1336"/>
      <c r="L43" s="1751"/>
      <c r="M43" s="1742"/>
      <c r="N43" s="1742"/>
      <c r="O43" s="1742"/>
      <c r="P43" s="3623" t="str">
        <f>A43</f>
        <v>估价对象XX用房的比较价格（楼面单价，元/平方米）</v>
      </c>
      <c r="Q43" s="3624"/>
      <c r="R43" s="3694" t="e">
        <f>IF(F1="售价",ROUND(IF(D42="简单平均",AVERAGE(R42:V42),R42*F42+T42*H42+V42*J42),0),ROUND(IF(D42="简单平均",AVERAGE(R42:V42),R42*F42+T42*H42+V42*J42),1))</f>
        <v>#DIV/0!</v>
      </c>
      <c r="S43" s="3694"/>
      <c r="T43" s="3694"/>
      <c r="U43" s="3694"/>
      <c r="V43" s="3694"/>
      <c r="W43" s="3694"/>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2024-9</v>
      </c>
      <c r="D52" s="2115">
        <f>EDATE(C52,-1)</f>
        <v>45505</v>
      </c>
      <c r="E52" s="2115">
        <f t="shared" ref="E52:O52" si="13">EDATE(D52,-1)</f>
        <v>45474</v>
      </c>
      <c r="F52" s="2115">
        <f t="shared" si="13"/>
        <v>45444</v>
      </c>
      <c r="G52" s="2115">
        <f t="shared" si="13"/>
        <v>45413</v>
      </c>
      <c r="H52" s="2115">
        <f t="shared" si="13"/>
        <v>45383</v>
      </c>
      <c r="I52" s="2115">
        <f t="shared" si="13"/>
        <v>45352</v>
      </c>
      <c r="J52" s="2115">
        <f t="shared" si="13"/>
        <v>45323</v>
      </c>
      <c r="K52" s="2115">
        <f t="shared" si="13"/>
        <v>45292</v>
      </c>
      <c r="L52" s="2115">
        <f t="shared" si="13"/>
        <v>45261</v>
      </c>
      <c r="M52" s="2115">
        <f t="shared" si="13"/>
        <v>45231</v>
      </c>
      <c r="N52" s="2115">
        <f t="shared" si="13"/>
        <v>45200</v>
      </c>
      <c r="O52" s="2115">
        <f t="shared" si="13"/>
        <v>45170</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C96" sqref="C9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t="s">
        <v>2735</v>
      </c>
      <c r="C1" s="455" t="s">
        <v>732</v>
      </c>
      <c r="D1" s="783" t="s">
        <v>2735</v>
      </c>
      <c r="E1" s="457"/>
      <c r="F1" s="2118" t="s">
        <v>3529</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5317</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5900</v>
      </c>
      <c r="C3" s="786" t="s">
        <v>736</v>
      </c>
      <c r="D3" s="785">
        <f>SUMIF('数据-汇总表'!$C19:$C33,D1,'数据-汇总表'!$E19:$E33)</f>
        <v>9011.2199999999993</v>
      </c>
      <c r="E3" s="1537" t="s">
        <v>1594</v>
      </c>
      <c r="F3" s="785">
        <f>SUMIF('数据-取费表'!A5:A15,D1,'数据-取费表'!AH5:AH15)</f>
        <v>452</v>
      </c>
      <c r="G3" s="1736"/>
      <c r="H3" s="1736"/>
      <c r="I3" s="1736"/>
      <c r="J3" s="1736"/>
      <c r="K3" s="1738"/>
      <c r="L3" s="1736">
        <f>B2/F3</f>
        <v>11.763274336283185</v>
      </c>
      <c r="M3" s="1740"/>
      <c r="N3" s="1740"/>
      <c r="O3" s="1740"/>
      <c r="P3" s="1740"/>
      <c r="Q3" s="1740"/>
      <c r="R3" s="1740"/>
      <c r="S3" s="1740"/>
      <c r="T3" s="1740"/>
      <c r="U3" s="1740"/>
      <c r="V3" s="1740"/>
      <c r="W3" s="1740"/>
      <c r="X3" s="1740"/>
      <c r="Y3" s="1740"/>
      <c r="Z3" s="1740"/>
      <c r="AA3" s="1740"/>
      <c r="AB3" s="2717"/>
      <c r="AC3" s="1674"/>
    </row>
    <row r="4" spans="1:29" ht="15">
      <c r="A4" s="463" t="s">
        <v>737</v>
      </c>
      <c r="B4" s="464"/>
      <c r="C4" s="3592" t="s">
        <v>738</v>
      </c>
      <c r="D4" s="3593"/>
      <c r="E4" s="3592" t="s">
        <v>739</v>
      </c>
      <c r="F4" s="3593"/>
      <c r="G4" s="3592" t="s">
        <v>740</v>
      </c>
      <c r="H4" s="3593"/>
      <c r="I4" s="3592" t="s">
        <v>741</v>
      </c>
      <c r="J4" s="3593"/>
      <c r="K4" s="465" t="s">
        <v>742</v>
      </c>
      <c r="L4" s="1741"/>
      <c r="M4" s="1742"/>
      <c r="N4" s="1742"/>
      <c r="O4" s="1742"/>
      <c r="P4" s="3594" t="s">
        <v>743</v>
      </c>
      <c r="Q4" s="3595"/>
      <c r="R4" s="3600" t="s">
        <v>739</v>
      </c>
      <c r="S4" s="3601"/>
      <c r="T4" s="3600" t="s">
        <v>740</v>
      </c>
      <c r="U4" s="3601"/>
      <c r="V4" s="3587" t="s">
        <v>741</v>
      </c>
      <c r="W4" s="3587"/>
      <c r="X4" s="1302"/>
      <c r="Y4" s="3600" t="s">
        <v>743</v>
      </c>
      <c r="Z4" s="3601"/>
      <c r="AA4" s="3589" t="s">
        <v>739</v>
      </c>
      <c r="AB4" s="3590" t="s">
        <v>740</v>
      </c>
      <c r="AC4" s="3589" t="s">
        <v>741</v>
      </c>
    </row>
    <row r="5" spans="1:29" ht="14.1" customHeight="1">
      <c r="A5" s="466"/>
      <c r="B5" s="467"/>
      <c r="C5" s="3608" t="s">
        <v>2186</v>
      </c>
      <c r="D5" s="3609"/>
      <c r="E5" s="3723" t="s">
        <v>3530</v>
      </c>
      <c r="F5" s="3609"/>
      <c r="G5" s="3696" t="s">
        <v>3526</v>
      </c>
      <c r="H5" s="3609"/>
      <c r="I5" s="3696" t="s">
        <v>3527</v>
      </c>
      <c r="J5" s="3609"/>
      <c r="K5" s="465"/>
      <c r="L5" s="1741"/>
      <c r="M5" s="1742"/>
      <c r="N5" s="1742"/>
      <c r="O5" s="1742"/>
      <c r="P5" s="3596"/>
      <c r="Q5" s="3597"/>
      <c r="R5" s="3602"/>
      <c r="S5" s="3603"/>
      <c r="T5" s="3602"/>
      <c r="U5" s="3603"/>
      <c r="V5" s="3587"/>
      <c r="W5" s="3587"/>
      <c r="X5" s="1302"/>
      <c r="Y5" s="3602"/>
      <c r="Z5" s="3603"/>
      <c r="AA5" s="3590"/>
      <c r="AB5" s="3590"/>
      <c r="AC5" s="3590"/>
    </row>
    <row r="6" spans="1:29" ht="15.75" thickBot="1">
      <c r="A6" s="468"/>
      <c r="B6" s="469"/>
      <c r="C6" s="3606" t="s">
        <v>2190</v>
      </c>
      <c r="D6" s="3607"/>
      <c r="E6" s="3610" t="s">
        <v>2190</v>
      </c>
      <c r="F6" s="3611"/>
      <c r="G6" s="3606" t="s">
        <v>2190</v>
      </c>
      <c r="H6" s="3607"/>
      <c r="I6" s="3606" t="s">
        <v>2190</v>
      </c>
      <c r="J6" s="3607"/>
      <c r="K6" s="465" t="s">
        <v>477</v>
      </c>
      <c r="L6" s="1741"/>
      <c r="M6" s="1742"/>
      <c r="N6" s="1742"/>
      <c r="O6" s="1742"/>
      <c r="P6" s="3598"/>
      <c r="Q6" s="3599"/>
      <c r="R6" s="3602"/>
      <c r="S6" s="3603"/>
      <c r="T6" s="3604"/>
      <c r="U6" s="3605"/>
      <c r="V6" s="3587"/>
      <c r="W6" s="3587"/>
      <c r="X6" s="1302"/>
      <c r="Y6" s="3604"/>
      <c r="Z6" s="3605"/>
      <c r="AA6" s="3591"/>
      <c r="AB6" s="3591"/>
      <c r="AC6" s="3591"/>
    </row>
    <row r="7" spans="1:29" s="1060" customFormat="1" ht="15.75" thickBot="1">
      <c r="A7" s="2208"/>
      <c r="B7" s="2215" t="s">
        <v>478</v>
      </c>
      <c r="C7" s="470">
        <f>'数据-取费表'!B2</f>
        <v>45541</v>
      </c>
      <c r="D7" s="471">
        <v>100</v>
      </c>
      <c r="E7" s="472">
        <v>45536</v>
      </c>
      <c r="F7" s="473">
        <f>SUMIF(48:48,YEAR(E7)&amp;"-"&amp;MONTH(E7),49:49)</f>
        <v>100</v>
      </c>
      <c r="G7" s="472">
        <v>45536</v>
      </c>
      <c r="H7" s="471">
        <f>SUMIF(48:48,YEAR(G7)&amp;"-"&amp;MONTH(G7),49:49)</f>
        <v>100</v>
      </c>
      <c r="I7" s="472">
        <v>45536</v>
      </c>
      <c r="J7" s="471">
        <f>SUMIF(48:48,YEAR(I7)&amp;"-"&amp;MONTH(I7),49:49)</f>
        <v>100</v>
      </c>
      <c r="K7" s="88"/>
      <c r="L7" s="1743"/>
      <c r="M7" s="1640"/>
      <c r="N7" s="1640"/>
      <c r="O7" s="1640"/>
      <c r="P7" s="3616" t="s">
        <v>479</v>
      </c>
      <c r="Q7" s="3618"/>
      <c r="R7" s="1303" t="s">
        <v>5</v>
      </c>
      <c r="S7" s="1304">
        <f t="shared" ref="S7:S14" si="0">F7</f>
        <v>100</v>
      </c>
      <c r="T7" s="1303" t="s">
        <v>5</v>
      </c>
      <c r="U7" s="1304">
        <f t="shared" ref="U7:U14" si="1">H7</f>
        <v>100</v>
      </c>
      <c r="V7" s="1303" t="s">
        <v>5</v>
      </c>
      <c r="W7" s="1304">
        <f t="shared" ref="W7:W14" si="2">J7</f>
        <v>100</v>
      </c>
      <c r="X7" s="1305"/>
      <c r="Y7" s="3616" t="s">
        <v>479</v>
      </c>
      <c r="Z7" s="3617"/>
      <c r="AA7" s="997">
        <f>D7/F7</f>
        <v>1</v>
      </c>
      <c r="AB7" s="997">
        <f>D7/H7</f>
        <v>1</v>
      </c>
      <c r="AC7" s="997">
        <f>D7/J7</f>
        <v>1</v>
      </c>
    </row>
    <row r="8" spans="1:29" s="1060" customFormat="1" ht="15.75" thickBot="1">
      <c r="A8" s="2209"/>
      <c r="B8" s="2216" t="s">
        <v>480</v>
      </c>
      <c r="C8" s="475" t="s">
        <v>524</v>
      </c>
      <c r="D8" s="471">
        <v>100</v>
      </c>
      <c r="E8" s="475" t="s">
        <v>3533</v>
      </c>
      <c r="F8" s="473">
        <f>SUMIF(51:51,E8,52:52)-SUMIF(51:51,C8,52:52)+100</f>
        <v>100</v>
      </c>
      <c r="G8" s="475" t="s">
        <v>3533</v>
      </c>
      <c r="H8" s="471">
        <f>SUMIF(51:51,G8,52:52)-SUMIF(51:51,C8,52:52)+100</f>
        <v>100</v>
      </c>
      <c r="I8" s="475" t="s">
        <v>3533</v>
      </c>
      <c r="J8" s="471">
        <f>SUMIF(51:51,I8,52:52)-SUMIF(51:51,C8,52:52)+100</f>
        <v>100</v>
      </c>
      <c r="K8" s="88"/>
      <c r="L8" s="1743"/>
      <c r="M8" s="1640"/>
      <c r="N8" s="1640"/>
      <c r="O8" s="1640"/>
      <c r="P8" s="3616" t="s">
        <v>482</v>
      </c>
      <c r="Q8" s="3617"/>
      <c r="R8" s="1303" t="s">
        <v>5</v>
      </c>
      <c r="S8" s="1304">
        <f t="shared" si="0"/>
        <v>100</v>
      </c>
      <c r="T8" s="1303" t="s">
        <v>5</v>
      </c>
      <c r="U8" s="1304">
        <f t="shared" si="1"/>
        <v>100</v>
      </c>
      <c r="V8" s="1303" t="s">
        <v>5</v>
      </c>
      <c r="W8" s="1304">
        <f t="shared" si="2"/>
        <v>100</v>
      </c>
      <c r="X8" s="1305"/>
      <c r="Y8" s="3616" t="s">
        <v>482</v>
      </c>
      <c r="Z8" s="3617"/>
      <c r="AA8" s="997">
        <f t="shared" ref="AA8:AA36" si="3">D8/F8</f>
        <v>1</v>
      </c>
      <c r="AB8" s="997">
        <f t="shared" ref="AB8:AB36" si="4">D8/H8</f>
        <v>1</v>
      </c>
      <c r="AC8" s="997">
        <f t="shared" ref="AC8:AC36" si="5">D8/J8</f>
        <v>1</v>
      </c>
    </row>
    <row r="9" spans="1:29" s="1060" customFormat="1" ht="15">
      <c r="A9" s="2210"/>
      <c r="B9" s="2217" t="s">
        <v>2038</v>
      </c>
      <c r="C9" s="3409" t="s">
        <v>3531</v>
      </c>
      <c r="D9" s="154">
        <v>100</v>
      </c>
      <c r="E9" s="793" t="s">
        <v>2735</v>
      </c>
      <c r="F9" s="154">
        <f>SUMIF(53:53,E9,54:54)-SUMIF(53:53,C9,54:54)+100</f>
        <v>100</v>
      </c>
      <c r="G9" s="793" t="s">
        <v>2735</v>
      </c>
      <c r="H9" s="154">
        <f>SUMIF(53:53,G9,54:54)-SUMIF(53:53,C9,54:54)+100</f>
        <v>100</v>
      </c>
      <c r="I9" s="793" t="s">
        <v>2735</v>
      </c>
      <c r="J9" s="154">
        <f>SUMIF(53:53,I9,54:54)-SUMIF(53:53,C9,54:54)+100</f>
        <v>100</v>
      </c>
      <c r="K9" s="88"/>
      <c r="L9" s="1743"/>
      <c r="M9" s="1640"/>
      <c r="N9" s="1640"/>
      <c r="O9" s="1744"/>
      <c r="P9" s="3586" t="s">
        <v>484</v>
      </c>
      <c r="Q9" s="818" t="str">
        <f t="shared" ref="Q9:Q14" si="6">B9</f>
        <v>用途</v>
      </c>
      <c r="R9" s="1303" t="s">
        <v>5</v>
      </c>
      <c r="S9" s="1304">
        <f t="shared" si="0"/>
        <v>100</v>
      </c>
      <c r="T9" s="1303" t="s">
        <v>5</v>
      </c>
      <c r="U9" s="1304">
        <f t="shared" si="1"/>
        <v>100</v>
      </c>
      <c r="V9" s="1303" t="s">
        <v>5</v>
      </c>
      <c r="W9" s="1304">
        <f t="shared" si="2"/>
        <v>100</v>
      </c>
      <c r="X9" s="1305"/>
      <c r="Y9" s="3534"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586"/>
      <c r="Q10" s="818" t="str">
        <f t="shared" si="6"/>
        <v>土地使用年限（年）</v>
      </c>
      <c r="R10" s="1303" t="s">
        <v>5</v>
      </c>
      <c r="S10" s="1304">
        <f t="shared" si="0"/>
        <v>100</v>
      </c>
      <c r="T10" s="1303" t="s">
        <v>5</v>
      </c>
      <c r="U10" s="1304">
        <f t="shared" si="1"/>
        <v>100</v>
      </c>
      <c r="V10" s="1303" t="s">
        <v>5</v>
      </c>
      <c r="W10" s="1304">
        <f t="shared" si="2"/>
        <v>100</v>
      </c>
      <c r="X10" s="1305"/>
      <c r="Y10" s="3534"/>
      <c r="Z10" s="997" t="str">
        <f t="shared" si="7"/>
        <v>土地使用年限（年）</v>
      </c>
      <c r="AA10" s="997">
        <f t="shared" si="3"/>
        <v>1</v>
      </c>
      <c r="AB10" s="997">
        <f t="shared" si="4"/>
        <v>1</v>
      </c>
      <c r="AC10" s="997">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86"/>
      <c r="Q11" s="818">
        <f t="shared" si="6"/>
        <v>111</v>
      </c>
      <c r="R11" s="1303" t="s">
        <v>5</v>
      </c>
      <c r="S11" s="1304">
        <f t="shared" si="0"/>
        <v>100</v>
      </c>
      <c r="T11" s="1303" t="s">
        <v>5</v>
      </c>
      <c r="U11" s="1304">
        <f t="shared" si="1"/>
        <v>100</v>
      </c>
      <c r="V11" s="1303" t="s">
        <v>5</v>
      </c>
      <c r="W11" s="1304">
        <f t="shared" si="2"/>
        <v>100</v>
      </c>
      <c r="X11" s="1305"/>
      <c r="Y11" s="3534"/>
      <c r="Z11" s="997">
        <f t="shared" si="7"/>
        <v>111</v>
      </c>
      <c r="AA11" s="997">
        <f t="shared" si="3"/>
        <v>1</v>
      </c>
      <c r="AB11" s="997">
        <f t="shared" si="4"/>
        <v>1</v>
      </c>
      <c r="AC11" s="997">
        <f t="shared" si="5"/>
        <v>1</v>
      </c>
    </row>
    <row r="12" spans="1:29" s="1060"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86"/>
      <c r="Q12" s="818">
        <f t="shared" si="6"/>
        <v>111</v>
      </c>
      <c r="R12" s="1303" t="s">
        <v>5</v>
      </c>
      <c r="S12" s="1304">
        <f t="shared" si="0"/>
        <v>100</v>
      </c>
      <c r="T12" s="1303" t="s">
        <v>5</v>
      </c>
      <c r="U12" s="1304">
        <f t="shared" si="1"/>
        <v>100</v>
      </c>
      <c r="V12" s="1303" t="s">
        <v>5</v>
      </c>
      <c r="W12" s="1304">
        <f t="shared" si="2"/>
        <v>100</v>
      </c>
      <c r="X12" s="1305"/>
      <c r="Y12" s="3534"/>
      <c r="Z12" s="997">
        <f t="shared" si="7"/>
        <v>111</v>
      </c>
      <c r="AA12" s="997">
        <f>D12/F12</f>
        <v>1</v>
      </c>
      <c r="AB12" s="997">
        <f>D12/H12</f>
        <v>1</v>
      </c>
      <c r="AC12" s="997">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86"/>
      <c r="Q13" s="818">
        <f t="shared" si="6"/>
        <v>111</v>
      </c>
      <c r="R13" s="1303" t="s">
        <v>5</v>
      </c>
      <c r="S13" s="1304">
        <f t="shared" si="0"/>
        <v>100</v>
      </c>
      <c r="T13" s="1303" t="s">
        <v>5</v>
      </c>
      <c r="U13" s="1304">
        <f t="shared" si="1"/>
        <v>100</v>
      </c>
      <c r="V13" s="1303" t="s">
        <v>5</v>
      </c>
      <c r="W13" s="1304">
        <f t="shared" si="2"/>
        <v>100</v>
      </c>
      <c r="X13" s="1305"/>
      <c r="Y13" s="3534"/>
      <c r="Z13" s="997">
        <f t="shared" si="7"/>
        <v>111</v>
      </c>
      <c r="AA13" s="997">
        <f t="shared" si="3"/>
        <v>1</v>
      </c>
      <c r="AB13" s="997">
        <f t="shared" si="4"/>
        <v>1</v>
      </c>
      <c r="AC13" s="997">
        <f t="shared" si="5"/>
        <v>1</v>
      </c>
    </row>
    <row r="14" spans="1:29" ht="15">
      <c r="A14" s="2206" t="s">
        <v>2036</v>
      </c>
      <c r="B14" s="497" t="s">
        <v>492</v>
      </c>
      <c r="C14" s="843" t="str">
        <f>IF(B1="工业",估价对象房地状况!G4,估价对象房地状况!C6)</f>
        <v>一般</v>
      </c>
      <c r="D14" s="499">
        <v>100</v>
      </c>
      <c r="E14" s="500"/>
      <c r="F14" s="501">
        <f>SUMIF(63:63,E15,64:64)-SUMIF(63:63,C15,64:64)+100</f>
        <v>100</v>
      </c>
      <c r="G14" s="502"/>
      <c r="H14" s="499">
        <f>SUMIF(63:63,G15,64:64)-SUMIF(63:63,C15,64:64)+100</f>
        <v>100</v>
      </c>
      <c r="I14" s="500"/>
      <c r="J14" s="499">
        <f>SUMIF(63:63,I15,64:64)-SUMIF(63:63,C15,64:64)+100</f>
        <v>100</v>
      </c>
      <c r="K14" s="822">
        <f>'不动产比较法-住宅'!K17</f>
        <v>2</v>
      </c>
      <c r="L14" s="1749"/>
      <c r="M14" s="1742"/>
      <c r="N14" s="1742"/>
      <c r="O14" s="1748"/>
      <c r="P14" s="3619" t="s">
        <v>489</v>
      </c>
      <c r="Q14" s="1306" t="str">
        <f t="shared" si="6"/>
        <v>交通便捷度</v>
      </c>
      <c r="R14" s="1307" t="s">
        <v>5</v>
      </c>
      <c r="S14" s="1308">
        <f t="shared" si="0"/>
        <v>100</v>
      </c>
      <c r="T14" s="1307" t="s">
        <v>5</v>
      </c>
      <c r="U14" s="1308">
        <f t="shared" si="1"/>
        <v>100</v>
      </c>
      <c r="V14" s="1307" t="s">
        <v>5</v>
      </c>
      <c r="W14" s="1308">
        <f t="shared" si="2"/>
        <v>100</v>
      </c>
      <c r="X14" s="1302"/>
      <c r="Y14" s="3619" t="s">
        <v>489</v>
      </c>
      <c r="Z14" s="1309" t="str">
        <f t="shared" si="7"/>
        <v>交通便捷度</v>
      </c>
      <c r="AA14" s="1309">
        <f t="shared" si="3"/>
        <v>1</v>
      </c>
      <c r="AB14" s="1309">
        <f t="shared" si="4"/>
        <v>1</v>
      </c>
      <c r="AC14" s="1309">
        <f t="shared" si="5"/>
        <v>1</v>
      </c>
    </row>
    <row r="15" spans="1:29" ht="15">
      <c r="A15" s="466"/>
      <c r="B15" s="846"/>
      <c r="C15" s="526" t="s">
        <v>3355</v>
      </c>
      <c r="D15" s="505"/>
      <c r="E15" s="526" t="s">
        <v>3355</v>
      </c>
      <c r="F15" s="507"/>
      <c r="G15" s="526" t="s">
        <v>3355</v>
      </c>
      <c r="H15" s="509"/>
      <c r="I15" s="526" t="s">
        <v>3355</v>
      </c>
      <c r="J15" s="505"/>
      <c r="K15" s="823"/>
      <c r="L15" s="1749"/>
      <c r="M15" s="1742"/>
      <c r="N15" s="1742"/>
      <c r="O15" s="1748"/>
      <c r="P15" s="3620"/>
      <c r="Q15" s="1306"/>
      <c r="R15" s="1307"/>
      <c r="S15" s="1308"/>
      <c r="T15" s="1307"/>
      <c r="U15" s="1308"/>
      <c r="V15" s="1307"/>
      <c r="W15" s="1308"/>
      <c r="X15" s="1302"/>
      <c r="Y15" s="3620"/>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0"/>
      <c r="J16" s="515">
        <f>SUMIF(65:65,I17,66:66)-SUMIF(65:65,C17,66:66)+100</f>
        <v>100</v>
      </c>
      <c r="K16" s="822">
        <f>'不动产比较法-住宅'!K19</f>
        <v>3</v>
      </c>
      <c r="L16" s="1749"/>
      <c r="M16" s="1742"/>
      <c r="N16" s="1742"/>
      <c r="O16" s="1748"/>
      <c r="P16" s="3620"/>
      <c r="Q16" s="1306" t="str">
        <f>B16</f>
        <v>公共配套设施</v>
      </c>
      <c r="R16" s="1307" t="s">
        <v>5</v>
      </c>
      <c r="S16" s="1308">
        <f>F16</f>
        <v>100</v>
      </c>
      <c r="T16" s="1307" t="s">
        <v>5</v>
      </c>
      <c r="U16" s="1308">
        <f>H16</f>
        <v>100</v>
      </c>
      <c r="V16" s="1307" t="s">
        <v>5</v>
      </c>
      <c r="W16" s="1308">
        <f>J16</f>
        <v>100</v>
      </c>
      <c r="X16" s="1302"/>
      <c r="Y16" s="3620"/>
      <c r="Z16" s="1309" t="str">
        <f>Q16</f>
        <v>公共配套设施</v>
      </c>
      <c r="AA16" s="1309">
        <f t="shared" si="3"/>
        <v>1</v>
      </c>
      <c r="AB16" s="1309">
        <f t="shared" si="4"/>
        <v>1</v>
      </c>
      <c r="AC16" s="1309">
        <f t="shared" si="5"/>
        <v>1</v>
      </c>
    </row>
    <row r="17" spans="1:29" ht="15">
      <c r="A17" s="466"/>
      <c r="B17" s="516"/>
      <c r="C17" s="526" t="s">
        <v>3355</v>
      </c>
      <c r="D17" s="505"/>
      <c r="E17" s="526" t="s">
        <v>3355</v>
      </c>
      <c r="F17" s="507"/>
      <c r="G17" s="526" t="s">
        <v>3355</v>
      </c>
      <c r="H17" s="505"/>
      <c r="I17" s="526" t="s">
        <v>3355</v>
      </c>
      <c r="J17" s="505"/>
      <c r="K17" s="823"/>
      <c r="L17" s="1749"/>
      <c r="M17" s="1742"/>
      <c r="N17" s="1742"/>
      <c r="O17" s="1748"/>
      <c r="P17" s="3620"/>
      <c r="Q17" s="1306"/>
      <c r="R17" s="1307"/>
      <c r="S17" s="1308"/>
      <c r="T17" s="1307"/>
      <c r="U17" s="1308"/>
      <c r="V17" s="1307"/>
      <c r="W17" s="1308"/>
      <c r="X17" s="1302"/>
      <c r="Y17" s="3620"/>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0"/>
      <c r="J18" s="515">
        <f>SUMIF(67:67,I19,68:68)-SUMIF(67:67,C19,68:68)+100</f>
        <v>100</v>
      </c>
      <c r="K18" s="822">
        <v>1</v>
      </c>
      <c r="L18" s="1749"/>
      <c r="M18" s="1742"/>
      <c r="N18" s="1742"/>
      <c r="O18" s="1748"/>
      <c r="P18" s="3620"/>
      <c r="Q18" s="1306" t="str">
        <f>B18</f>
        <v>基础设施水平</v>
      </c>
      <c r="R18" s="1307" t="s">
        <v>5</v>
      </c>
      <c r="S18" s="1308">
        <f>F18</f>
        <v>100</v>
      </c>
      <c r="T18" s="1307" t="s">
        <v>5</v>
      </c>
      <c r="U18" s="1308">
        <f>H18</f>
        <v>100</v>
      </c>
      <c r="V18" s="1307" t="s">
        <v>5</v>
      </c>
      <c r="W18" s="1308">
        <f>J18</f>
        <v>100</v>
      </c>
      <c r="X18" s="1302"/>
      <c r="Y18" s="3620"/>
      <c r="Z18" s="1309" t="str">
        <f>Q18</f>
        <v>基础设施水平</v>
      </c>
      <c r="AA18" s="1309">
        <f>D18/F18</f>
        <v>1</v>
      </c>
      <c r="AB18" s="1309">
        <f>D18/H18</f>
        <v>1</v>
      </c>
      <c r="AC18" s="1309">
        <f>D18/J18</f>
        <v>1</v>
      </c>
    </row>
    <row r="19" spans="1:29" ht="15">
      <c r="A19" s="466"/>
      <c r="B19" s="528"/>
      <c r="C19" s="802" t="s">
        <v>3502</v>
      </c>
      <c r="D19" s="509"/>
      <c r="E19" s="802" t="s">
        <v>3502</v>
      </c>
      <c r="F19" s="507"/>
      <c r="G19" s="802" t="s">
        <v>3502</v>
      </c>
      <c r="H19" s="505"/>
      <c r="I19" s="802" t="s">
        <v>3502</v>
      </c>
      <c r="J19" s="505"/>
      <c r="K19" s="2061"/>
      <c r="L19" s="1749"/>
      <c r="M19" s="1742"/>
      <c r="N19" s="1742"/>
      <c r="O19" s="1748"/>
      <c r="P19" s="3620"/>
      <c r="Q19" s="1306"/>
      <c r="R19" s="1307"/>
      <c r="S19" s="1308"/>
      <c r="T19" s="1307"/>
      <c r="U19" s="1308"/>
      <c r="V19" s="1307"/>
      <c r="W19" s="1308"/>
      <c r="X19" s="1302"/>
      <c r="Y19" s="3620"/>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4"/>
      <c r="H20" s="509">
        <f>SUMIF(69:69,G21,70:70)-SUMIF(69:69,C21,70:70)+100</f>
        <v>100</v>
      </c>
      <c r="I20" s="512"/>
      <c r="J20" s="509">
        <f>SUMIF(69:69,I21,70:70)-SUMIF(69:69,C21,70:70)+100</f>
        <v>103</v>
      </c>
      <c r="K20" s="822">
        <f>'不动产比较法-住宅'!K23</f>
        <v>3</v>
      </c>
      <c r="L20" s="1749"/>
      <c r="M20" s="1742"/>
      <c r="N20" s="1742"/>
      <c r="O20" s="1748"/>
      <c r="P20" s="3620"/>
      <c r="Q20" s="1306" t="str">
        <f>B20</f>
        <v>自然及人文环境</v>
      </c>
      <c r="R20" s="1307" t="s">
        <v>5</v>
      </c>
      <c r="S20" s="1308">
        <f>F20</f>
        <v>100</v>
      </c>
      <c r="T20" s="1307" t="s">
        <v>5</v>
      </c>
      <c r="U20" s="1308">
        <f>H20</f>
        <v>100</v>
      </c>
      <c r="V20" s="1307" t="s">
        <v>5</v>
      </c>
      <c r="W20" s="1308">
        <f>J20</f>
        <v>103</v>
      </c>
      <c r="X20" s="1302"/>
      <c r="Y20" s="3620"/>
      <c r="Z20" s="1309" t="str">
        <f>Q20</f>
        <v>自然及人文环境</v>
      </c>
      <c r="AA20" s="1309">
        <f t="shared" si="3"/>
        <v>1</v>
      </c>
      <c r="AB20" s="1309">
        <f t="shared" si="4"/>
        <v>1</v>
      </c>
      <c r="AC20" s="1309">
        <f t="shared" si="5"/>
        <v>0.970873786407767</v>
      </c>
    </row>
    <row r="21" spans="1:29" ht="15">
      <c r="A21" s="466"/>
      <c r="B21" s="516"/>
      <c r="C21" s="526" t="s">
        <v>3355</v>
      </c>
      <c r="D21" s="505"/>
      <c r="E21" s="526" t="s">
        <v>3355</v>
      </c>
      <c r="F21" s="507"/>
      <c r="G21" s="526" t="s">
        <v>3355</v>
      </c>
      <c r="H21" s="505"/>
      <c r="I21" s="526" t="s">
        <v>3500</v>
      </c>
      <c r="J21" s="505"/>
      <c r="K21" s="823"/>
      <c r="L21" s="1749"/>
      <c r="M21" s="1742"/>
      <c r="N21" s="1742"/>
      <c r="O21" s="1748"/>
      <c r="P21" s="3620"/>
      <c r="Q21" s="1306"/>
      <c r="R21" s="1307"/>
      <c r="S21" s="1308"/>
      <c r="T21" s="1307"/>
      <c r="U21" s="1308"/>
      <c r="V21" s="1307"/>
      <c r="W21" s="1308"/>
      <c r="X21" s="1302"/>
      <c r="Y21" s="3620"/>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20"/>
      <c r="Q22" s="1306" t="str">
        <f>B22</f>
        <v>楼层</v>
      </c>
      <c r="R22" s="1307" t="s">
        <v>5</v>
      </c>
      <c r="S22" s="1308">
        <f>F22</f>
        <v>100</v>
      </c>
      <c r="T22" s="1307" t="s">
        <v>5</v>
      </c>
      <c r="U22" s="1308">
        <f>H22</f>
        <v>100</v>
      </c>
      <c r="V22" s="1307" t="s">
        <v>5</v>
      </c>
      <c r="W22" s="1308">
        <f>J22</f>
        <v>100</v>
      </c>
      <c r="X22" s="1302"/>
      <c r="Y22" s="3620"/>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20"/>
      <c r="Q23" s="1306">
        <f>B23</f>
        <v>111</v>
      </c>
      <c r="R23" s="1307" t="s">
        <v>5</v>
      </c>
      <c r="S23" s="1308">
        <f>F23</f>
        <v>100</v>
      </c>
      <c r="T23" s="1307" t="s">
        <v>5</v>
      </c>
      <c r="U23" s="1308">
        <f>H23</f>
        <v>100</v>
      </c>
      <c r="V23" s="1307" t="s">
        <v>5</v>
      </c>
      <c r="W23" s="1308">
        <f>J23</f>
        <v>100</v>
      </c>
      <c r="X23" s="1302"/>
      <c r="Y23" s="3620"/>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20"/>
      <c r="Q24" s="1306">
        <f t="shared" ref="Q24:Q36" si="8">B24</f>
        <v>111</v>
      </c>
      <c r="R24" s="1307" t="s">
        <v>5</v>
      </c>
      <c r="S24" s="1308">
        <f>F24</f>
        <v>100</v>
      </c>
      <c r="T24" s="1307" t="s">
        <v>5</v>
      </c>
      <c r="U24" s="1308">
        <f>H24</f>
        <v>100</v>
      </c>
      <c r="V24" s="1307" t="s">
        <v>5</v>
      </c>
      <c r="W24" s="1308">
        <f>J24</f>
        <v>100</v>
      </c>
      <c r="X24" s="1302"/>
      <c r="Y24" s="3620"/>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20"/>
      <c r="Q25" s="818">
        <f t="shared" si="8"/>
        <v>111</v>
      </c>
      <c r="R25" s="1303" t="s">
        <v>5</v>
      </c>
      <c r="S25" s="1304">
        <f>F25</f>
        <v>100</v>
      </c>
      <c r="T25" s="1303" t="s">
        <v>5</v>
      </c>
      <c r="U25" s="1304">
        <f>H25</f>
        <v>100</v>
      </c>
      <c r="V25" s="1303" t="s">
        <v>5</v>
      </c>
      <c r="W25" s="1304">
        <f>J25</f>
        <v>100</v>
      </c>
      <c r="X25" s="1305"/>
      <c r="Y25" s="3620"/>
      <c r="Z25" s="997">
        <f>Q25</f>
        <v>111</v>
      </c>
      <c r="AA25" s="1309">
        <f>D25/F25</f>
        <v>1</v>
      </c>
      <c r="AB25" s="1309">
        <f>D25/H25</f>
        <v>1</v>
      </c>
      <c r="AC25" s="1309">
        <f>D25/J25</f>
        <v>1</v>
      </c>
    </row>
    <row r="26" spans="1:29" ht="15">
      <c r="A26" s="2204" t="s">
        <v>2037</v>
      </c>
      <c r="B26" s="154" t="s">
        <v>746</v>
      </c>
      <c r="C26" s="849" t="str">
        <f>B1</f>
        <v>车库</v>
      </c>
      <c r="D26" s="505">
        <v>100</v>
      </c>
      <c r="E26" s="526" t="s">
        <v>2735</v>
      </c>
      <c r="F26" s="507">
        <f>SUMIF(79:79,E26,80:80)-SUMIF(79:79,C26,80:80)+100</f>
        <v>100</v>
      </c>
      <c r="G26" s="526" t="s">
        <v>2735</v>
      </c>
      <c r="H26" s="505">
        <f>SUMIF(79:79,G26,80:80)-SUMIF(79:79,C26,80:80)+100</f>
        <v>100</v>
      </c>
      <c r="I26" s="526" t="s">
        <v>2735</v>
      </c>
      <c r="J26" s="505">
        <f>SUMIF(79:79,I26,80:80)-SUMIF(79:79,C26,80:80)+100</f>
        <v>100</v>
      </c>
      <c r="K26" s="533">
        <v>2</v>
      </c>
      <c r="L26" s="1749"/>
      <c r="M26" s="1742"/>
      <c r="N26" s="1742"/>
      <c r="O26" s="1748"/>
      <c r="P26" s="3621"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22" t="s">
        <v>499</v>
      </c>
      <c r="Z26" s="1309" t="str">
        <f t="shared" ref="Z26:Z36" si="12">Q26</f>
        <v>配套类型</v>
      </c>
      <c r="AA26" s="1309">
        <f t="shared" si="3"/>
        <v>1</v>
      </c>
      <c r="AB26" s="1309">
        <f t="shared" si="4"/>
        <v>1</v>
      </c>
      <c r="AC26" s="1309">
        <f t="shared" si="5"/>
        <v>1</v>
      </c>
    </row>
    <row r="27" spans="1:29" s="1134" customFormat="1" ht="15">
      <c r="A27" s="850"/>
      <c r="B27" s="235" t="s">
        <v>747</v>
      </c>
      <c r="C27" s="851" t="s">
        <v>3542</v>
      </c>
      <c r="D27" s="235">
        <v>100</v>
      </c>
      <c r="E27" s="851" t="s">
        <v>3542</v>
      </c>
      <c r="F27" s="525">
        <f>SUMIF(81:81,E27,82:82)-SUMIF(81:81,C27,82:82)+100</f>
        <v>100</v>
      </c>
      <c r="G27" s="851" t="s">
        <v>3542</v>
      </c>
      <c r="H27" s="490">
        <f>SUMIF(81:81,G27,82:82)-SUMIF(81:81,C27,82:82)+100</f>
        <v>100</v>
      </c>
      <c r="I27" s="851" t="s">
        <v>3542</v>
      </c>
      <c r="J27" s="490">
        <f>SUMIF(81:81,I27,82:82)-SUMIF(81:81,C27,82:82)+100</f>
        <v>100</v>
      </c>
      <c r="K27" s="531"/>
      <c r="L27" s="1747"/>
      <c r="M27" s="1771"/>
      <c r="N27" s="1771"/>
      <c r="O27" s="1750"/>
      <c r="P27" s="3622"/>
      <c r="Q27" s="819" t="str">
        <f t="shared" si="8"/>
        <v>项目停车位配比</v>
      </c>
      <c r="R27" s="1310" t="s">
        <v>5</v>
      </c>
      <c r="S27" s="1311">
        <f t="shared" si="9"/>
        <v>100</v>
      </c>
      <c r="T27" s="1310" t="s">
        <v>5</v>
      </c>
      <c r="U27" s="1311">
        <f t="shared" si="10"/>
        <v>100</v>
      </c>
      <c r="V27" s="1310" t="s">
        <v>5</v>
      </c>
      <c r="W27" s="1311">
        <f t="shared" si="11"/>
        <v>100</v>
      </c>
      <c r="X27" s="1312"/>
      <c r="Y27" s="3622"/>
      <c r="Z27" s="1313" t="str">
        <f t="shared" si="12"/>
        <v>项目停车位配比</v>
      </c>
      <c r="AA27" s="1309">
        <f t="shared" si="3"/>
        <v>1</v>
      </c>
      <c r="AB27" s="1309">
        <f t="shared" si="4"/>
        <v>1</v>
      </c>
      <c r="AC27" s="1309">
        <f t="shared" si="5"/>
        <v>1</v>
      </c>
    </row>
    <row r="28" spans="1:29" ht="15">
      <c r="A28" s="852"/>
      <c r="B28" s="235" t="s">
        <v>748</v>
      </c>
      <c r="C28" s="524" t="s">
        <v>3524</v>
      </c>
      <c r="D28" s="490">
        <v>100</v>
      </c>
      <c r="E28" s="524" t="s">
        <v>3524</v>
      </c>
      <c r="F28" s="525">
        <f>SUMIF(83:83,E28,84:84)-SUMIF(83:83,C28,84:84)+100</f>
        <v>100</v>
      </c>
      <c r="G28" s="524" t="s">
        <v>3524</v>
      </c>
      <c r="H28" s="490">
        <f>SUMIF(83:83,G28,84:84)-SUMIF(83:83,C28,84:84)+100</f>
        <v>100</v>
      </c>
      <c r="I28" s="524" t="s">
        <v>3524</v>
      </c>
      <c r="J28" s="490">
        <f>SUMIF(83:83,I28,84:84)-SUMIF(83:83,C28,84:84)+100</f>
        <v>100</v>
      </c>
      <c r="K28" s="533">
        <v>2</v>
      </c>
      <c r="L28" s="1749"/>
      <c r="M28" s="1742"/>
      <c r="N28" s="1742"/>
      <c r="O28" s="1748"/>
      <c r="P28" s="3622"/>
      <c r="Q28" s="1306" t="str">
        <f t="shared" si="8"/>
        <v>公共部分装修</v>
      </c>
      <c r="R28" s="1307" t="s">
        <v>5</v>
      </c>
      <c r="S28" s="1308">
        <f t="shared" si="9"/>
        <v>100</v>
      </c>
      <c r="T28" s="1307" t="s">
        <v>5</v>
      </c>
      <c r="U28" s="1308">
        <f t="shared" si="10"/>
        <v>100</v>
      </c>
      <c r="V28" s="1307" t="s">
        <v>5</v>
      </c>
      <c r="W28" s="1308">
        <f t="shared" si="11"/>
        <v>100</v>
      </c>
      <c r="X28" s="1302"/>
      <c r="Y28" s="3622"/>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22"/>
      <c r="Q29" s="1306" t="str">
        <f t="shared" si="8"/>
        <v>成新率</v>
      </c>
      <c r="R29" s="1307" t="s">
        <v>5</v>
      </c>
      <c r="S29" s="1308">
        <f t="shared" si="9"/>
        <v>100</v>
      </c>
      <c r="T29" s="1307" t="s">
        <v>5</v>
      </c>
      <c r="U29" s="1308">
        <f t="shared" si="10"/>
        <v>100</v>
      </c>
      <c r="V29" s="1307" t="s">
        <v>5</v>
      </c>
      <c r="W29" s="1308">
        <f t="shared" si="11"/>
        <v>100</v>
      </c>
      <c r="X29" s="1302"/>
      <c r="Y29" s="3622"/>
      <c r="Z29" s="1309" t="str">
        <f t="shared" si="12"/>
        <v>成新率</v>
      </c>
      <c r="AA29" s="1309">
        <f t="shared" si="3"/>
        <v>1</v>
      </c>
      <c r="AB29" s="1309">
        <f t="shared" si="4"/>
        <v>1</v>
      </c>
      <c r="AC29" s="1309">
        <f t="shared" si="5"/>
        <v>1</v>
      </c>
    </row>
    <row r="30" spans="1:29" ht="15">
      <c r="A30" s="852"/>
      <c r="B30" s="235" t="s">
        <v>750</v>
      </c>
      <c r="C30" s="853" t="s">
        <v>3525</v>
      </c>
      <c r="D30" s="490">
        <v>100</v>
      </c>
      <c r="E30" s="853" t="s">
        <v>3525</v>
      </c>
      <c r="F30" s="525">
        <f>SUMIF(88:88,E30,89:89)-SUMIF(88:88,C30,89:89)+100</f>
        <v>100</v>
      </c>
      <c r="G30" s="853" t="s">
        <v>3525</v>
      </c>
      <c r="H30" s="490">
        <f>SUMIF(88:88,E30,89:89)-SUMIF(88:88,C30,89:89)+100</f>
        <v>100</v>
      </c>
      <c r="I30" s="853" t="s">
        <v>3525</v>
      </c>
      <c r="J30" s="490">
        <f>SUMIF(88:88,E30,89:89)-SUMIF(88:88,C30,89:89)+100</f>
        <v>100</v>
      </c>
      <c r="K30" s="533">
        <v>2</v>
      </c>
      <c r="L30" s="1749"/>
      <c r="M30" s="1742"/>
      <c r="N30" s="1742"/>
      <c r="O30" s="1748"/>
      <c r="P30" s="3622"/>
      <c r="Q30" s="1306" t="str">
        <f t="shared" si="8"/>
        <v>物业等级</v>
      </c>
      <c r="R30" s="1307" t="s">
        <v>5</v>
      </c>
      <c r="S30" s="1308">
        <f t="shared" si="9"/>
        <v>100</v>
      </c>
      <c r="T30" s="1307" t="s">
        <v>5</v>
      </c>
      <c r="U30" s="1308">
        <f t="shared" si="10"/>
        <v>100</v>
      </c>
      <c r="V30" s="1307" t="s">
        <v>5</v>
      </c>
      <c r="W30" s="1308">
        <f t="shared" si="11"/>
        <v>100</v>
      </c>
      <c r="X30" s="1302"/>
      <c r="Y30" s="3622"/>
      <c r="Z30" s="1309" t="str">
        <f t="shared" si="12"/>
        <v>物业等级</v>
      </c>
      <c r="AA30" s="1309">
        <f t="shared" si="3"/>
        <v>1</v>
      </c>
      <c r="AB30" s="1309">
        <f t="shared" si="4"/>
        <v>1</v>
      </c>
      <c r="AC30" s="1309">
        <f t="shared" si="5"/>
        <v>1</v>
      </c>
    </row>
    <row r="31" spans="1:29" s="1060" customFormat="1" ht="15">
      <c r="A31" s="854"/>
      <c r="B31" s="235" t="s">
        <v>751</v>
      </c>
      <c r="C31" s="806">
        <v>27.2</v>
      </c>
      <c r="D31" s="235">
        <v>100</v>
      </c>
      <c r="E31" s="806">
        <v>32.49</v>
      </c>
      <c r="F31" s="525">
        <f>LOOKUP(E31,91:91,92:92)-LOOKUP(C31,91:91,92:92)+100</f>
        <v>99</v>
      </c>
      <c r="G31" s="806">
        <v>28.12</v>
      </c>
      <c r="H31" s="490">
        <f>LOOKUP(G31,91:91,92:92)-LOOKUP(C31,91:91,92:92)+100</f>
        <v>100</v>
      </c>
      <c r="I31" s="806">
        <v>27.69</v>
      </c>
      <c r="J31" s="490">
        <f>LOOKUP(I31,91:91,92:92)-LOOKUP(C31,91:91,92:92)+100</f>
        <v>100</v>
      </c>
      <c r="K31" s="533"/>
      <c r="L31" s="1743"/>
      <c r="M31" s="1640"/>
      <c r="N31" s="1640"/>
      <c r="O31" s="1744"/>
      <c r="P31" s="3622"/>
      <c r="Q31" s="818" t="str">
        <f t="shared" si="8"/>
        <v>停车位面积</v>
      </c>
      <c r="R31" s="1303" t="s">
        <v>5</v>
      </c>
      <c r="S31" s="1304">
        <f t="shared" si="9"/>
        <v>99</v>
      </c>
      <c r="T31" s="1303" t="s">
        <v>5</v>
      </c>
      <c r="U31" s="1304">
        <f t="shared" si="10"/>
        <v>100</v>
      </c>
      <c r="V31" s="1303" t="s">
        <v>5</v>
      </c>
      <c r="W31" s="1304">
        <f t="shared" si="11"/>
        <v>100</v>
      </c>
      <c r="X31" s="1305"/>
      <c r="Y31" s="3622"/>
      <c r="Z31" s="997" t="str">
        <f t="shared" si="12"/>
        <v>停车位面积</v>
      </c>
      <c r="AA31" s="997">
        <f t="shared" si="3"/>
        <v>1.0101010101010102</v>
      </c>
      <c r="AB31" s="997">
        <f t="shared" si="4"/>
        <v>1</v>
      </c>
      <c r="AC31" s="997">
        <f t="shared" si="5"/>
        <v>1</v>
      </c>
    </row>
    <row r="32" spans="1:29" ht="15">
      <c r="A32" s="852"/>
      <c r="B32" s="235" t="s">
        <v>752</v>
      </c>
      <c r="C32" s="524" t="s">
        <v>3534</v>
      </c>
      <c r="D32" s="490">
        <v>100</v>
      </c>
      <c r="E32" s="524" t="s">
        <v>3534</v>
      </c>
      <c r="F32" s="525">
        <f>SUMIF(93:93,E32,94:94)-SUMIF(93:93,C32,94:94)+100</f>
        <v>100</v>
      </c>
      <c r="G32" s="524" t="s">
        <v>3534</v>
      </c>
      <c r="H32" s="490">
        <f>SUMIF(93:93,G32,94:94)-SUMIF(93:93,C32,94:94)+100</f>
        <v>100</v>
      </c>
      <c r="I32" s="524" t="s">
        <v>3534</v>
      </c>
      <c r="J32" s="490">
        <f>SUMIF(93:93,I32,94:94)-SUMIF(93:93,C32,94:94)+100</f>
        <v>100</v>
      </c>
      <c r="K32" s="533">
        <v>2</v>
      </c>
      <c r="L32" s="1749"/>
      <c r="M32" s="1742"/>
      <c r="N32" s="1742"/>
      <c r="O32" s="1748"/>
      <c r="P32" s="3622" t="s">
        <v>499</v>
      </c>
      <c r="Q32" s="1306" t="str">
        <f t="shared" si="8"/>
        <v>车位类型</v>
      </c>
      <c r="R32" s="1307" t="s">
        <v>5</v>
      </c>
      <c r="S32" s="1308">
        <f t="shared" si="9"/>
        <v>100</v>
      </c>
      <c r="T32" s="1307" t="s">
        <v>5</v>
      </c>
      <c r="U32" s="1308">
        <f t="shared" si="10"/>
        <v>100</v>
      </c>
      <c r="V32" s="1307" t="s">
        <v>5</v>
      </c>
      <c r="W32" s="1308">
        <f t="shared" si="11"/>
        <v>100</v>
      </c>
      <c r="X32" s="1302"/>
      <c r="Y32" s="3622" t="s">
        <v>499</v>
      </c>
      <c r="Z32" s="1309" t="str">
        <f t="shared" si="12"/>
        <v>车位类型</v>
      </c>
      <c r="AA32" s="1309">
        <f t="shared" si="3"/>
        <v>1</v>
      </c>
      <c r="AB32" s="1309">
        <f t="shared" si="4"/>
        <v>1</v>
      </c>
      <c r="AC32" s="1309">
        <f t="shared" si="5"/>
        <v>1</v>
      </c>
    </row>
    <row r="33" spans="1:29" ht="15">
      <c r="A33" s="852"/>
      <c r="B33" s="235" t="s">
        <v>753</v>
      </c>
      <c r="C33" s="524" t="s">
        <v>3353</v>
      </c>
      <c r="D33" s="490">
        <v>100</v>
      </c>
      <c r="E33" s="524" t="s">
        <v>3353</v>
      </c>
      <c r="F33" s="525">
        <f>SUMIF(95:95,E33,96:96)-SUMIF(95:95,C33,96:96)+100</f>
        <v>100</v>
      </c>
      <c r="G33" s="524" t="s">
        <v>3353</v>
      </c>
      <c r="H33" s="490">
        <f>SUMIF(95:95,G33,96:96)-SUMIF(95:95,C33,96:96)+100</f>
        <v>100</v>
      </c>
      <c r="I33" s="524" t="s">
        <v>3353</v>
      </c>
      <c r="J33" s="490">
        <f>SUMIF(95:95,I33,96:96)-SUMIF(95:95,C33,96:96)+100</f>
        <v>100</v>
      </c>
      <c r="K33" s="533">
        <v>2</v>
      </c>
      <c r="L33" s="1749"/>
      <c r="M33" s="1742"/>
      <c r="N33" s="1742"/>
      <c r="O33" s="1748"/>
      <c r="P33" s="3622"/>
      <c r="Q33" s="1306" t="str">
        <f t="shared" si="8"/>
        <v>是否直接入户</v>
      </c>
      <c r="R33" s="1307" t="s">
        <v>5</v>
      </c>
      <c r="S33" s="1308">
        <f t="shared" si="9"/>
        <v>100</v>
      </c>
      <c r="T33" s="1307" t="s">
        <v>5</v>
      </c>
      <c r="U33" s="1308">
        <f t="shared" si="10"/>
        <v>100</v>
      </c>
      <c r="V33" s="1307" t="s">
        <v>5</v>
      </c>
      <c r="W33" s="1308">
        <f t="shared" si="11"/>
        <v>100</v>
      </c>
      <c r="X33" s="1302"/>
      <c r="Y33" s="3622"/>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22"/>
      <c r="Q34" s="1306">
        <f t="shared" si="8"/>
        <v>111</v>
      </c>
      <c r="R34" s="1307" t="s">
        <v>5</v>
      </c>
      <c r="S34" s="1308">
        <f t="shared" si="9"/>
        <v>100</v>
      </c>
      <c r="T34" s="1307" t="s">
        <v>5</v>
      </c>
      <c r="U34" s="1308">
        <f t="shared" si="10"/>
        <v>100</v>
      </c>
      <c r="V34" s="1307" t="s">
        <v>5</v>
      </c>
      <c r="W34" s="1308">
        <f t="shared" si="11"/>
        <v>100</v>
      </c>
      <c r="X34" s="1302"/>
      <c r="Y34" s="3622"/>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22"/>
      <c r="Q35" s="819">
        <f t="shared" si="8"/>
        <v>111</v>
      </c>
      <c r="R35" s="1310" t="s">
        <v>5</v>
      </c>
      <c r="S35" s="1311">
        <f t="shared" si="9"/>
        <v>100</v>
      </c>
      <c r="T35" s="1310" t="s">
        <v>5</v>
      </c>
      <c r="U35" s="1311">
        <f t="shared" si="10"/>
        <v>100</v>
      </c>
      <c r="V35" s="1310" t="s">
        <v>5</v>
      </c>
      <c r="W35" s="1311">
        <f t="shared" si="11"/>
        <v>100</v>
      </c>
      <c r="X35" s="1312"/>
      <c r="Y35" s="3622"/>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22"/>
      <c r="Q36" s="1306">
        <f t="shared" si="8"/>
        <v>111</v>
      </c>
      <c r="R36" s="1307" t="s">
        <v>5</v>
      </c>
      <c r="S36" s="1308">
        <f t="shared" si="9"/>
        <v>100</v>
      </c>
      <c r="T36" s="1307" t="s">
        <v>5</v>
      </c>
      <c r="U36" s="1308">
        <f t="shared" si="10"/>
        <v>100</v>
      </c>
      <c r="V36" s="1307" t="s">
        <v>5</v>
      </c>
      <c r="W36" s="1308">
        <f t="shared" si="11"/>
        <v>100</v>
      </c>
      <c r="X36" s="1302"/>
      <c r="Y36" s="3622"/>
      <c r="Z36" s="1309">
        <f t="shared" si="12"/>
        <v>111</v>
      </c>
      <c r="AA36" s="1309">
        <f t="shared" si="3"/>
        <v>1</v>
      </c>
      <c r="AB36" s="1309">
        <f t="shared" si="4"/>
        <v>1</v>
      </c>
      <c r="AC36" s="1309">
        <f t="shared" si="5"/>
        <v>1</v>
      </c>
    </row>
    <row r="37" spans="1:29" ht="15">
      <c r="A37" s="1535" t="s">
        <v>1595</v>
      </c>
      <c r="B37" s="1536" t="s">
        <v>1596</v>
      </c>
      <c r="C37" s="2081" t="s">
        <v>0</v>
      </c>
      <c r="D37" s="559"/>
      <c r="E37" s="560">
        <v>5687</v>
      </c>
      <c r="F37" s="561"/>
      <c r="G37" s="562">
        <v>6355</v>
      </c>
      <c r="H37" s="563"/>
      <c r="I37" s="560">
        <v>5768</v>
      </c>
      <c r="J37" s="563"/>
      <c r="K37" s="1335"/>
      <c r="L37" s="1751"/>
      <c r="M37" s="1742"/>
      <c r="N37" s="1742"/>
      <c r="O37" s="1742"/>
      <c r="P37" s="3586" t="str">
        <f>A37</f>
        <v>成交单价</v>
      </c>
      <c r="Q37" s="3586"/>
      <c r="R37" s="3587">
        <f>E37</f>
        <v>5687</v>
      </c>
      <c r="S37" s="3587"/>
      <c r="T37" s="3587">
        <f>G37</f>
        <v>6355</v>
      </c>
      <c r="U37" s="3587"/>
      <c r="V37" s="3587">
        <f>I37</f>
        <v>5768</v>
      </c>
      <c r="W37" s="3587"/>
      <c r="X37" s="799"/>
      <c r="Y37" s="1314"/>
      <c r="Z37" s="799"/>
      <c r="AA37" s="799"/>
      <c r="AB37" s="799"/>
      <c r="AC37" s="799"/>
    </row>
    <row r="38" spans="1:29" ht="15.75" thickBot="1">
      <c r="A38" s="564" t="s">
        <v>2042</v>
      </c>
      <c r="B38" s="813"/>
      <c r="C38" s="2082">
        <f>R39</f>
        <v>5900</v>
      </c>
      <c r="D38" s="2549" t="s">
        <v>2255</v>
      </c>
      <c r="E38" s="2083">
        <f>R38</f>
        <v>5744</v>
      </c>
      <c r="F38" s="2550"/>
      <c r="G38" s="2082">
        <f>T38</f>
        <v>6355</v>
      </c>
      <c r="H38" s="2550"/>
      <c r="I38" s="2083">
        <f>V38</f>
        <v>5600</v>
      </c>
      <c r="J38" s="2550"/>
      <c r="K38" s="2557">
        <f>F38+H38+J38</f>
        <v>0</v>
      </c>
      <c r="L38" s="1751"/>
      <c r="M38" s="1742"/>
      <c r="N38" s="1742"/>
      <c r="O38" s="1742"/>
      <c r="P38" s="3586" t="str">
        <f>A38</f>
        <v>比较价格（元/平方米）</v>
      </c>
      <c r="Q38" s="3586"/>
      <c r="R38" s="3587">
        <f>IF(F1="售价",ROUND(PRODUCT(R37,AA7:AA36),0),ROUND(PRODUCT(R37,AA7:AA36),1))</f>
        <v>5744</v>
      </c>
      <c r="S38" s="3587"/>
      <c r="T38" s="3587">
        <f>IF(F1="售价",ROUND(PRODUCT(T37,AB7:AB36),0),ROUND(PRODUCT(T37,AB7:AB36),1))</f>
        <v>6355</v>
      </c>
      <c r="U38" s="3587"/>
      <c r="V38" s="3587">
        <f>IF(F1="售价",ROUND(PRODUCT(V37,AC7:AC36),0),ROUND(PRODUCT(V37,AC7:AC36),1))</f>
        <v>5600</v>
      </c>
      <c r="W38" s="3587"/>
      <c r="X38" s="799"/>
      <c r="Y38" s="799"/>
      <c r="Z38" s="799"/>
      <c r="AA38" s="799"/>
      <c r="AB38" s="799"/>
      <c r="AC38" s="799"/>
    </row>
    <row r="39" spans="1:29" ht="15.75" thickBot="1">
      <c r="A39" s="568" t="s">
        <v>2192</v>
      </c>
      <c r="B39" s="569"/>
      <c r="C39" s="469">
        <f>R39</f>
        <v>5900</v>
      </c>
      <c r="D39" s="469"/>
      <c r="E39" s="469"/>
      <c r="F39" s="469"/>
      <c r="G39" s="469"/>
      <c r="H39" s="469"/>
      <c r="I39" s="469"/>
      <c r="J39" s="469"/>
      <c r="K39" s="1336"/>
      <c r="L39" s="1751"/>
      <c r="M39" s="1742"/>
      <c r="N39" s="1742"/>
      <c r="O39" s="1742"/>
      <c r="P39" s="3623" t="str">
        <f>A39</f>
        <v>估价对象XX用房的比较价格（楼面单价，元/平方米）</v>
      </c>
      <c r="Q39" s="3624"/>
      <c r="R39" s="3694">
        <f>IF(F1="售价",ROUND(IF(D38="简单平均",AVERAGE(R38:W38),R38*F38+T38*H38+V38*J38),0),ROUND(IF(D38="简单平均",AVERAGE(R38:V38),R38*F38+T38*H38+V38*J38),1))</f>
        <v>5900</v>
      </c>
      <c r="S39" s="3694"/>
      <c r="T39" s="3694"/>
      <c r="U39" s="3694"/>
      <c r="V39" s="3694"/>
      <c r="W39" s="3694"/>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1.0022859152452934E-2</v>
      </c>
      <c r="F42" s="574" t="str">
        <f>IF(OR(E42&gt;=0.3,E42&lt;=-0.3),"超过30%","")</f>
        <v/>
      </c>
      <c r="G42" s="573">
        <f>IF(G37&lt;G38,G38/G37-1,G37/G38-1)</f>
        <v>0</v>
      </c>
      <c r="H42" s="574" t="str">
        <f>IF(OR(G42&gt;=0.3,G42&lt;=-0.3),"超过30%","")</f>
        <v/>
      </c>
      <c r="I42" s="573">
        <f>IF(I37&lt;I38,I38/I37-1,I37/I38-1)</f>
        <v>3.0000000000000027E-2</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0.10637186629526463</v>
      </c>
      <c r="F43" s="574" t="str">
        <f>IF(OR(E43&gt;=0.2,E43&lt;=-0.2),"超过20%","")</f>
        <v/>
      </c>
      <c r="G43" s="573">
        <f>IF(G38&lt;I38,I38/G38-1,G38/I38-1)</f>
        <v>0.13482142857142865</v>
      </c>
      <c r="H43" s="574" t="str">
        <f>IF(OR(G43&gt;=0.2,G43&lt;=-0.2),"超过20%","")</f>
        <v/>
      </c>
      <c r="I43" s="573">
        <f>IF(I38&lt;E38,E38/I38-1,I38/E38-1)</f>
        <v>2.5714285714285801E-2</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19"/>
      <c r="B44" s="2719"/>
      <c r="C44" s="571" t="s">
        <v>508</v>
      </c>
      <c r="D44" s="575"/>
      <c r="E44" s="573">
        <f>IF(E37&lt;G37,G37/E37-1,E37/G37-1)</f>
        <v>0.11746087568137864</v>
      </c>
      <c r="F44" s="574" t="str">
        <f>IF(OR(E44&gt;=0.3,E44&lt;=-0.3),"超过30%","")</f>
        <v/>
      </c>
      <c r="G44" s="573">
        <f>IF(G37&lt;I37,I37/G37-1,G37/I37-1)</f>
        <v>0.10176837725381405</v>
      </c>
      <c r="H44" s="574" t="str">
        <f>IF(OR(G44&gt;=0.3,G44&lt;=-0.3),"超过30%","")</f>
        <v/>
      </c>
      <c r="I44" s="573">
        <f>IF(I37&lt;E37,E37/I37-1,I37/E37-1)</f>
        <v>1.4243010374538345E-2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2024-9</v>
      </c>
      <c r="D48" s="2115">
        <f>EDATE(C48,-1)</f>
        <v>45505</v>
      </c>
      <c r="E48" s="2115">
        <f t="shared" ref="E48:O48" si="13">EDATE(D48,-1)</f>
        <v>45474</v>
      </c>
      <c r="F48" s="2115">
        <f t="shared" si="13"/>
        <v>45444</v>
      </c>
      <c r="G48" s="2115">
        <f t="shared" si="13"/>
        <v>45413</v>
      </c>
      <c r="H48" s="2115">
        <f t="shared" si="13"/>
        <v>45383</v>
      </c>
      <c r="I48" s="2115">
        <f t="shared" si="13"/>
        <v>45352</v>
      </c>
      <c r="J48" s="2115">
        <f t="shared" si="13"/>
        <v>45323</v>
      </c>
      <c r="K48" s="2115">
        <f t="shared" si="13"/>
        <v>45292</v>
      </c>
      <c r="L48" s="2115">
        <f t="shared" si="13"/>
        <v>45261</v>
      </c>
      <c r="M48" s="2115">
        <f t="shared" si="13"/>
        <v>45231</v>
      </c>
      <c r="N48" s="2115">
        <f t="shared" si="13"/>
        <v>45200</v>
      </c>
      <c r="O48" s="2115">
        <f t="shared" si="13"/>
        <v>45170</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97</v>
      </c>
      <c r="E66" s="621">
        <f>D66-$K16</f>
        <v>94</v>
      </c>
      <c r="F66" s="621">
        <f>E66-$K16</f>
        <v>91</v>
      </c>
      <c r="G66" s="621">
        <f>F66-$K16</f>
        <v>88</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97</v>
      </c>
      <c r="E70" s="621">
        <f>D70-$K20</f>
        <v>94</v>
      </c>
      <c r="F70" s="621">
        <f>E70-$K20</f>
        <v>91</v>
      </c>
      <c r="G70" s="621">
        <f>F70-$K20</f>
        <v>88</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5" t="s">
        <v>3514</v>
      </c>
      <c r="D83" s="3405" t="s">
        <v>3515</v>
      </c>
      <c r="E83" s="3406" t="s">
        <v>3516</v>
      </c>
      <c r="F83" s="3406" t="s">
        <v>3517</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5" t="s">
        <v>3518</v>
      </c>
      <c r="D88" s="3405" t="s">
        <v>3519</v>
      </c>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0(含)-30</v>
      </c>
      <c r="D90" s="649" t="str">
        <f t="shared" ref="D90:L90" si="18">D91&amp;"(含)"&amp;"-"&amp;E91</f>
        <v>30(含)-40</v>
      </c>
      <c r="E90" s="649" t="str">
        <f t="shared" si="18"/>
        <v>40(含)-50</v>
      </c>
      <c r="F90" s="649" t="str">
        <f t="shared" si="18"/>
        <v>50(含)-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30</v>
      </c>
      <c r="E91" s="79">
        <v>40</v>
      </c>
      <c r="F91" s="79">
        <v>50</v>
      </c>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v>100</v>
      </c>
      <c r="D92" s="613">
        <f>C92-1</f>
        <v>99</v>
      </c>
      <c r="E92" s="613">
        <f t="shared" ref="E92:F92" si="19">D92-1</f>
        <v>98</v>
      </c>
      <c r="F92" s="613">
        <f t="shared" si="19"/>
        <v>97</v>
      </c>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5" t="s">
        <v>3532</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4" t="s">
        <v>3535</v>
      </c>
      <c r="D95" s="3404" t="s">
        <v>3536</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592" t="s">
        <v>738</v>
      </c>
      <c r="D4" s="3593"/>
      <c r="E4" s="3631" t="s">
        <v>739</v>
      </c>
      <c r="F4" s="3632"/>
      <c r="G4" s="3592" t="s">
        <v>740</v>
      </c>
      <c r="H4" s="3593"/>
      <c r="I4" s="3592" t="s">
        <v>741</v>
      </c>
      <c r="J4" s="3593"/>
      <c r="K4" s="465" t="s">
        <v>742</v>
      </c>
      <c r="L4" s="1741"/>
      <c r="M4" s="1742"/>
      <c r="N4" s="1742"/>
      <c r="O4" s="1742"/>
      <c r="P4" s="3594" t="s">
        <v>743</v>
      </c>
      <c r="Q4" s="3595"/>
      <c r="R4" s="3600" t="s">
        <v>739</v>
      </c>
      <c r="S4" s="3601"/>
      <c r="T4" s="3600" t="s">
        <v>740</v>
      </c>
      <c r="U4" s="3601"/>
      <c r="V4" s="3587" t="s">
        <v>741</v>
      </c>
      <c r="W4" s="3587"/>
      <c r="X4" s="1302"/>
      <c r="Y4" s="3600" t="s">
        <v>743</v>
      </c>
      <c r="Z4" s="3601"/>
      <c r="AA4" s="3589" t="s">
        <v>739</v>
      </c>
      <c r="AB4" s="3590" t="s">
        <v>740</v>
      </c>
      <c r="AC4" s="3589" t="s">
        <v>741</v>
      </c>
    </row>
    <row r="5" spans="1:29" ht="15">
      <c r="A5" s="466"/>
      <c r="B5" s="467"/>
      <c r="C5" s="3608" t="s">
        <v>2186</v>
      </c>
      <c r="D5" s="3609"/>
      <c r="E5" s="3633" t="s">
        <v>2187</v>
      </c>
      <c r="F5" s="3634"/>
      <c r="G5" s="3608" t="s">
        <v>2188</v>
      </c>
      <c r="H5" s="3609"/>
      <c r="I5" s="3608" t="s">
        <v>2189</v>
      </c>
      <c r="J5" s="3609"/>
      <c r="K5" s="465"/>
      <c r="L5" s="1741"/>
      <c r="M5" s="1742"/>
      <c r="N5" s="1742"/>
      <c r="O5" s="1742"/>
      <c r="P5" s="3596"/>
      <c r="Q5" s="3597"/>
      <c r="R5" s="3602"/>
      <c r="S5" s="3603"/>
      <c r="T5" s="3602"/>
      <c r="U5" s="3603"/>
      <c r="V5" s="3587"/>
      <c r="W5" s="3587"/>
      <c r="X5" s="1302"/>
      <c r="Y5" s="3602"/>
      <c r="Z5" s="3603"/>
      <c r="AA5" s="3590"/>
      <c r="AB5" s="3590"/>
      <c r="AC5" s="3590"/>
    </row>
    <row r="6" spans="1:29" ht="15.75" thickBot="1">
      <c r="A6" s="468"/>
      <c r="B6" s="469"/>
      <c r="C6" s="3606" t="s">
        <v>2190</v>
      </c>
      <c r="D6" s="3607"/>
      <c r="E6" s="3629" t="s">
        <v>2190</v>
      </c>
      <c r="F6" s="3630"/>
      <c r="G6" s="3606" t="s">
        <v>2190</v>
      </c>
      <c r="H6" s="3607"/>
      <c r="I6" s="3606" t="s">
        <v>2190</v>
      </c>
      <c r="J6" s="3607"/>
      <c r="K6" s="465" t="s">
        <v>477</v>
      </c>
      <c r="L6" s="1741"/>
      <c r="M6" s="1742"/>
      <c r="N6" s="1742"/>
      <c r="O6" s="1742"/>
      <c r="P6" s="3598"/>
      <c r="Q6" s="3599"/>
      <c r="R6" s="3602"/>
      <c r="S6" s="3603"/>
      <c r="T6" s="3604"/>
      <c r="U6" s="3605"/>
      <c r="V6" s="3587"/>
      <c r="W6" s="3587"/>
      <c r="X6" s="1302"/>
      <c r="Y6" s="3604"/>
      <c r="Z6" s="3605"/>
      <c r="AA6" s="3591"/>
      <c r="AB6" s="3591"/>
      <c r="AC6" s="3591"/>
    </row>
    <row r="7" spans="1:29" s="1060" customFormat="1" ht="15.75" thickBot="1">
      <c r="A7" s="2208"/>
      <c r="B7" s="2215" t="s">
        <v>478</v>
      </c>
      <c r="C7" s="470">
        <f>'数据-取费表'!B2</f>
        <v>45541</v>
      </c>
      <c r="D7" s="471">
        <v>100</v>
      </c>
      <c r="E7" s="472"/>
      <c r="F7" s="473">
        <f>SUMIF(46:46,YEAR(E7)&amp;"-"&amp;MONTH(E7),47:47)</f>
        <v>0</v>
      </c>
      <c r="G7" s="474"/>
      <c r="H7" s="471">
        <f>SUMIF(46:46,YEAR(G7)&amp;"-"&amp;MONTH(G7),47:47)</f>
        <v>0</v>
      </c>
      <c r="I7" s="474"/>
      <c r="J7" s="471">
        <f>SUMIF(46:46,YEAR(I7)&amp;"-"&amp;MONTH(I7),47:47)</f>
        <v>0</v>
      </c>
      <c r="K7" s="88"/>
      <c r="L7" s="1743"/>
      <c r="M7" s="1640"/>
      <c r="N7" s="1640"/>
      <c r="O7" s="1640"/>
      <c r="P7" s="3616" t="s">
        <v>479</v>
      </c>
      <c r="Q7" s="3618"/>
      <c r="R7" s="1303" t="s">
        <v>5</v>
      </c>
      <c r="S7" s="1304">
        <f t="shared" ref="S7:S14" si="0">F7</f>
        <v>0</v>
      </c>
      <c r="T7" s="1303" t="s">
        <v>5</v>
      </c>
      <c r="U7" s="1304">
        <f t="shared" ref="U7:U14" si="1">H7</f>
        <v>0</v>
      </c>
      <c r="V7" s="1303" t="s">
        <v>5</v>
      </c>
      <c r="W7" s="1304">
        <f t="shared" ref="W7:W14" si="2">J7</f>
        <v>0</v>
      </c>
      <c r="X7" s="1305"/>
      <c r="Y7" s="3616" t="s">
        <v>479</v>
      </c>
      <c r="Z7" s="3617"/>
      <c r="AA7" s="997" t="e">
        <f>D7/F7</f>
        <v>#DIV/0!</v>
      </c>
      <c r="AB7" s="997" t="e">
        <f>D7/H7</f>
        <v>#DIV/0!</v>
      </c>
      <c r="AC7" s="997" t="e">
        <f>D7/J7</f>
        <v>#DIV/0!</v>
      </c>
    </row>
    <row r="8" spans="1:29" s="1060"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16" t="s">
        <v>482</v>
      </c>
      <c r="Q8" s="3617"/>
      <c r="R8" s="1303" t="s">
        <v>5</v>
      </c>
      <c r="S8" s="1304">
        <f t="shared" si="0"/>
        <v>0</v>
      </c>
      <c r="T8" s="1303" t="s">
        <v>5</v>
      </c>
      <c r="U8" s="1304">
        <f t="shared" si="1"/>
        <v>0</v>
      </c>
      <c r="V8" s="1303" t="s">
        <v>5</v>
      </c>
      <c r="W8" s="1304">
        <f t="shared" si="2"/>
        <v>0</v>
      </c>
      <c r="X8" s="1305"/>
      <c r="Y8" s="3616" t="s">
        <v>482</v>
      </c>
      <c r="Z8" s="3617"/>
      <c r="AA8" s="997" t="e">
        <f t="shared" ref="AA8:AA34" si="3">D8/F8</f>
        <v>#DIV/0!</v>
      </c>
      <c r="AB8" s="997" t="e">
        <f t="shared" ref="AB8:AB34" si="4">D8/H8</f>
        <v>#DIV/0!</v>
      </c>
      <c r="AC8" s="997" t="e">
        <f t="shared" ref="AC8:AC34" si="5">D8/J8</f>
        <v>#DIV/0!</v>
      </c>
    </row>
    <row r="9" spans="1:29" s="1060" customFormat="1" ht="15">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86" t="s">
        <v>484</v>
      </c>
      <c r="Q9" s="818" t="str">
        <f t="shared" ref="Q9:Q14" si="6">B9</f>
        <v>用途</v>
      </c>
      <c r="R9" s="1303" t="s">
        <v>5</v>
      </c>
      <c r="S9" s="1304">
        <f t="shared" si="0"/>
        <v>100</v>
      </c>
      <c r="T9" s="1303" t="s">
        <v>5</v>
      </c>
      <c r="U9" s="1304">
        <f t="shared" si="1"/>
        <v>100</v>
      </c>
      <c r="V9" s="1303" t="s">
        <v>5</v>
      </c>
      <c r="W9" s="1304">
        <f t="shared" si="2"/>
        <v>100</v>
      </c>
      <c r="X9" s="1305"/>
      <c r="Y9" s="3534"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586"/>
      <c r="Q10" s="818" t="str">
        <f t="shared" si="6"/>
        <v>土地使用年限（年）</v>
      </c>
      <c r="R10" s="1303" t="s">
        <v>5</v>
      </c>
      <c r="S10" s="1304">
        <f t="shared" si="0"/>
        <v>100</v>
      </c>
      <c r="T10" s="1303" t="s">
        <v>5</v>
      </c>
      <c r="U10" s="1304">
        <f t="shared" si="1"/>
        <v>100</v>
      </c>
      <c r="V10" s="1303" t="s">
        <v>5</v>
      </c>
      <c r="W10" s="1304">
        <f t="shared" si="2"/>
        <v>100</v>
      </c>
      <c r="X10" s="1305"/>
      <c r="Y10" s="3534"/>
      <c r="Z10" s="997" t="str">
        <f t="shared" si="7"/>
        <v>土地使用年限（年）</v>
      </c>
      <c r="AA10" s="997">
        <f t="shared" si="3"/>
        <v>1</v>
      </c>
      <c r="AB10" s="997">
        <f t="shared" si="4"/>
        <v>1</v>
      </c>
      <c r="AC10" s="997">
        <f t="shared" si="5"/>
        <v>1</v>
      </c>
    </row>
    <row r="11" spans="1:29" ht="15">
      <c r="A11" s="2213"/>
      <c r="B11" s="2219">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86"/>
      <c r="Q11" s="818">
        <f t="shared" si="6"/>
        <v>111</v>
      </c>
      <c r="R11" s="1303" t="s">
        <v>5</v>
      </c>
      <c r="S11" s="1304">
        <f t="shared" si="0"/>
        <v>100</v>
      </c>
      <c r="T11" s="1303" t="s">
        <v>5</v>
      </c>
      <c r="U11" s="1304">
        <f t="shared" si="1"/>
        <v>100</v>
      </c>
      <c r="V11" s="1303" t="s">
        <v>5</v>
      </c>
      <c r="W11" s="1304">
        <f t="shared" si="2"/>
        <v>100</v>
      </c>
      <c r="X11" s="1305"/>
      <c r="Y11" s="3534"/>
      <c r="Z11" s="997">
        <f t="shared" si="7"/>
        <v>111</v>
      </c>
      <c r="AA11" s="997">
        <f t="shared" si="3"/>
        <v>1</v>
      </c>
      <c r="AB11" s="997">
        <f t="shared" si="4"/>
        <v>1</v>
      </c>
      <c r="AC11" s="997">
        <f t="shared" si="5"/>
        <v>1</v>
      </c>
    </row>
    <row r="12" spans="1:29" s="1060" customFormat="1" ht="15">
      <c r="A12" s="2213"/>
      <c r="B12" s="2219">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86"/>
      <c r="Q12" s="818">
        <f t="shared" si="6"/>
        <v>111</v>
      </c>
      <c r="R12" s="1303" t="s">
        <v>5</v>
      </c>
      <c r="S12" s="1304">
        <f t="shared" si="0"/>
        <v>100</v>
      </c>
      <c r="T12" s="1303" t="s">
        <v>5</v>
      </c>
      <c r="U12" s="1304">
        <f t="shared" si="1"/>
        <v>100</v>
      </c>
      <c r="V12" s="1303" t="s">
        <v>5</v>
      </c>
      <c r="W12" s="1304">
        <f t="shared" si="2"/>
        <v>100</v>
      </c>
      <c r="X12" s="1305"/>
      <c r="Y12" s="3534"/>
      <c r="Z12" s="997">
        <f t="shared" si="7"/>
        <v>111</v>
      </c>
      <c r="AA12" s="997">
        <f>D12/F12</f>
        <v>1</v>
      </c>
      <c r="AB12" s="997">
        <f>D12/H12</f>
        <v>1</v>
      </c>
      <c r="AC12" s="997">
        <f>D12/J12</f>
        <v>1</v>
      </c>
    </row>
    <row r="13" spans="1:29" ht="15.75" thickBot="1">
      <c r="A13" s="2214"/>
      <c r="B13" s="2220">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86"/>
      <c r="Q13" s="818">
        <f t="shared" si="6"/>
        <v>111</v>
      </c>
      <c r="R13" s="1303" t="s">
        <v>5</v>
      </c>
      <c r="S13" s="1304">
        <f t="shared" si="0"/>
        <v>100</v>
      </c>
      <c r="T13" s="1303" t="s">
        <v>5</v>
      </c>
      <c r="U13" s="1304">
        <f t="shared" si="1"/>
        <v>100</v>
      </c>
      <c r="V13" s="1303" t="s">
        <v>5</v>
      </c>
      <c r="W13" s="1304">
        <f t="shared" si="2"/>
        <v>100</v>
      </c>
      <c r="X13" s="1305"/>
      <c r="Y13" s="3534"/>
      <c r="Z13" s="997">
        <f t="shared" si="7"/>
        <v>111</v>
      </c>
      <c r="AA13" s="997">
        <f t="shared" si="3"/>
        <v>1</v>
      </c>
      <c r="AB13" s="997">
        <f t="shared" si="4"/>
        <v>1</v>
      </c>
      <c r="AC13" s="997">
        <f t="shared" si="5"/>
        <v>1</v>
      </c>
    </row>
    <row r="14" spans="1:29" ht="15">
      <c r="A14" s="2206"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19" t="s">
        <v>489</v>
      </c>
      <c r="Q14" s="1306" t="str">
        <f t="shared" si="6"/>
        <v>交通便捷度</v>
      </c>
      <c r="R14" s="1307" t="s">
        <v>5</v>
      </c>
      <c r="S14" s="1308">
        <f t="shared" si="0"/>
        <v>100</v>
      </c>
      <c r="T14" s="1307" t="s">
        <v>5</v>
      </c>
      <c r="U14" s="1308">
        <f t="shared" si="1"/>
        <v>100</v>
      </c>
      <c r="V14" s="1307" t="s">
        <v>5</v>
      </c>
      <c r="W14" s="1308">
        <f t="shared" si="2"/>
        <v>100</v>
      </c>
      <c r="X14" s="1302"/>
      <c r="Y14" s="3619"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20"/>
      <c r="Q15" s="1306"/>
      <c r="R15" s="1307"/>
      <c r="S15" s="1308"/>
      <c r="T15" s="1307"/>
      <c r="U15" s="1308"/>
      <c r="V15" s="1307"/>
      <c r="W15" s="1308"/>
      <c r="X15" s="1302"/>
      <c r="Y15" s="3620"/>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20"/>
      <c r="Q16" s="1306" t="str">
        <f>B16</f>
        <v>公共配套设施</v>
      </c>
      <c r="R16" s="1307" t="s">
        <v>5</v>
      </c>
      <c r="S16" s="1308">
        <f>F16</f>
        <v>100</v>
      </c>
      <c r="T16" s="1307" t="s">
        <v>5</v>
      </c>
      <c r="U16" s="1308">
        <f>H16</f>
        <v>100</v>
      </c>
      <c r="V16" s="1307" t="s">
        <v>5</v>
      </c>
      <c r="W16" s="1308">
        <f>J16</f>
        <v>100</v>
      </c>
      <c r="X16" s="1302"/>
      <c r="Y16" s="3620"/>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20"/>
      <c r="Q17" s="1306"/>
      <c r="R17" s="1307"/>
      <c r="S17" s="1308"/>
      <c r="T17" s="1307"/>
      <c r="U17" s="1308"/>
      <c r="V17" s="1307"/>
      <c r="W17" s="1308"/>
      <c r="X17" s="1302"/>
      <c r="Y17" s="3620"/>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20"/>
      <c r="Q18" s="1306" t="str">
        <f>B18</f>
        <v>基础设施水平</v>
      </c>
      <c r="R18" s="1307" t="s">
        <v>5</v>
      </c>
      <c r="S18" s="1308">
        <f>F18</f>
        <v>100</v>
      </c>
      <c r="T18" s="1307" t="s">
        <v>5</v>
      </c>
      <c r="U18" s="1308">
        <f>H18</f>
        <v>100</v>
      </c>
      <c r="V18" s="1307" t="s">
        <v>5</v>
      </c>
      <c r="W18" s="1308">
        <f>J18</f>
        <v>100</v>
      </c>
      <c r="X18" s="1302"/>
      <c r="Y18" s="3620"/>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20"/>
      <c r="Q19" s="1306"/>
      <c r="R19" s="1307"/>
      <c r="S19" s="1308"/>
      <c r="T19" s="1307"/>
      <c r="U19" s="1308"/>
      <c r="V19" s="1307"/>
      <c r="W19" s="1308"/>
      <c r="X19" s="1302"/>
      <c r="Y19" s="3620"/>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20"/>
      <c r="Q20" s="1306" t="str">
        <f>B20</f>
        <v>自然及人文环境</v>
      </c>
      <c r="R20" s="1307" t="s">
        <v>5</v>
      </c>
      <c r="S20" s="1308">
        <f>F20</f>
        <v>100</v>
      </c>
      <c r="T20" s="1307" t="s">
        <v>5</v>
      </c>
      <c r="U20" s="1308">
        <f>H20</f>
        <v>100</v>
      </c>
      <c r="V20" s="1307" t="s">
        <v>5</v>
      </c>
      <c r="W20" s="1308">
        <f>J20</f>
        <v>100</v>
      </c>
      <c r="X20" s="1302"/>
      <c r="Y20" s="3620"/>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20"/>
      <c r="Q21" s="1306"/>
      <c r="R21" s="1307"/>
      <c r="S21" s="1308"/>
      <c r="T21" s="1307"/>
      <c r="U21" s="1308"/>
      <c r="V21" s="1307"/>
      <c r="W21" s="1308"/>
      <c r="X21" s="1302"/>
      <c r="Y21" s="3620"/>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20"/>
      <c r="Q22" s="1306" t="str">
        <f>B22</f>
        <v>楼层</v>
      </c>
      <c r="R22" s="1307" t="s">
        <v>5</v>
      </c>
      <c r="S22" s="1308">
        <f>F22</f>
        <v>100</v>
      </c>
      <c r="T22" s="1307" t="s">
        <v>5</v>
      </c>
      <c r="U22" s="1308">
        <f>H22</f>
        <v>100</v>
      </c>
      <c r="V22" s="1307" t="s">
        <v>5</v>
      </c>
      <c r="W22" s="1308">
        <f>J22</f>
        <v>100</v>
      </c>
      <c r="X22" s="1302"/>
      <c r="Y22" s="3620"/>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20"/>
      <c r="Q23" s="1306">
        <f>B23</f>
        <v>111</v>
      </c>
      <c r="R23" s="1307" t="s">
        <v>5</v>
      </c>
      <c r="S23" s="1308">
        <f>F23</f>
        <v>100</v>
      </c>
      <c r="T23" s="1307" t="s">
        <v>5</v>
      </c>
      <c r="U23" s="1308">
        <f>H23</f>
        <v>100</v>
      </c>
      <c r="V23" s="1307" t="s">
        <v>5</v>
      </c>
      <c r="W23" s="1308">
        <f>J23</f>
        <v>100</v>
      </c>
      <c r="X23" s="1302"/>
      <c r="Y23" s="3620"/>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20"/>
      <c r="Q24" s="1306">
        <f t="shared" ref="Q24:Q34" si="8">B24</f>
        <v>111</v>
      </c>
      <c r="R24" s="1307" t="s">
        <v>5</v>
      </c>
      <c r="S24" s="1308">
        <f>F24</f>
        <v>100</v>
      </c>
      <c r="T24" s="1307" t="s">
        <v>5</v>
      </c>
      <c r="U24" s="1308">
        <f>H24</f>
        <v>100</v>
      </c>
      <c r="V24" s="1307" t="s">
        <v>5</v>
      </c>
      <c r="W24" s="1308">
        <f>J24</f>
        <v>100</v>
      </c>
      <c r="X24" s="1302"/>
      <c r="Y24" s="3620"/>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20"/>
      <c r="Q25" s="818">
        <f t="shared" si="8"/>
        <v>111</v>
      </c>
      <c r="R25" s="1303" t="s">
        <v>5</v>
      </c>
      <c r="S25" s="1304">
        <f>F25</f>
        <v>100</v>
      </c>
      <c r="T25" s="1303" t="s">
        <v>5</v>
      </c>
      <c r="U25" s="1304">
        <f>H25</f>
        <v>100</v>
      </c>
      <c r="V25" s="1303" t="s">
        <v>5</v>
      </c>
      <c r="W25" s="1304">
        <f>J25</f>
        <v>100</v>
      </c>
      <c r="X25" s="1305"/>
      <c r="Y25" s="3620"/>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21"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22"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22"/>
      <c r="Q27" s="819" t="str">
        <f t="shared" si="8"/>
        <v>成新率</v>
      </c>
      <c r="R27" s="1310" t="s">
        <v>5</v>
      </c>
      <c r="S27" s="1311" t="e">
        <f t="shared" si="9"/>
        <v>#N/A</v>
      </c>
      <c r="T27" s="1310" t="s">
        <v>5</v>
      </c>
      <c r="U27" s="1311" t="e">
        <f t="shared" si="10"/>
        <v>#N/A</v>
      </c>
      <c r="V27" s="1310" t="s">
        <v>5</v>
      </c>
      <c r="W27" s="1311" t="e">
        <f t="shared" si="11"/>
        <v>#N/A</v>
      </c>
      <c r="X27" s="1312"/>
      <c r="Y27" s="3622"/>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22"/>
      <c r="Q28" s="1306" t="str">
        <f t="shared" si="8"/>
        <v>物业等级</v>
      </c>
      <c r="R28" s="1307" t="s">
        <v>5</v>
      </c>
      <c r="S28" s="1308">
        <f t="shared" si="9"/>
        <v>100</v>
      </c>
      <c r="T28" s="1307" t="s">
        <v>5</v>
      </c>
      <c r="U28" s="1308">
        <f t="shared" si="10"/>
        <v>100</v>
      </c>
      <c r="V28" s="1307" t="s">
        <v>5</v>
      </c>
      <c r="W28" s="1308">
        <f t="shared" si="11"/>
        <v>100</v>
      </c>
      <c r="X28" s="1302"/>
      <c r="Y28" s="3622"/>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22"/>
      <c r="Q29" s="1306" t="str">
        <f t="shared" si="8"/>
        <v>有无电梯</v>
      </c>
      <c r="R29" s="1307" t="s">
        <v>5</v>
      </c>
      <c r="S29" s="1308">
        <f t="shared" si="9"/>
        <v>100</v>
      </c>
      <c r="T29" s="1307" t="s">
        <v>5</v>
      </c>
      <c r="U29" s="1308">
        <f t="shared" si="10"/>
        <v>100</v>
      </c>
      <c r="V29" s="1307" t="s">
        <v>5</v>
      </c>
      <c r="W29" s="1308">
        <f t="shared" si="11"/>
        <v>100</v>
      </c>
      <c r="X29" s="1302"/>
      <c r="Y29" s="3622"/>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22"/>
      <c r="Q30" s="1306" t="str">
        <f t="shared" si="8"/>
        <v>建筑面积</v>
      </c>
      <c r="R30" s="1307" t="s">
        <v>5</v>
      </c>
      <c r="S30" s="1308" t="e">
        <f t="shared" si="9"/>
        <v>#N/A</v>
      </c>
      <c r="T30" s="1307" t="s">
        <v>5</v>
      </c>
      <c r="U30" s="1308" t="e">
        <f t="shared" si="10"/>
        <v>#N/A</v>
      </c>
      <c r="V30" s="1307" t="s">
        <v>5</v>
      </c>
      <c r="W30" s="1308" t="e">
        <f t="shared" si="11"/>
        <v>#N/A</v>
      </c>
      <c r="X30" s="1302"/>
      <c r="Y30" s="3622"/>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22"/>
      <c r="Q31" s="818" t="str">
        <f t="shared" si="8"/>
        <v>是否封闭</v>
      </c>
      <c r="R31" s="1303" t="s">
        <v>5</v>
      </c>
      <c r="S31" s="1304">
        <f t="shared" si="9"/>
        <v>100</v>
      </c>
      <c r="T31" s="1303" t="s">
        <v>5</v>
      </c>
      <c r="U31" s="1304">
        <f t="shared" si="10"/>
        <v>100</v>
      </c>
      <c r="V31" s="1303" t="s">
        <v>5</v>
      </c>
      <c r="W31" s="1304">
        <f t="shared" si="11"/>
        <v>100</v>
      </c>
      <c r="X31" s="1305"/>
      <c r="Y31" s="3622"/>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22" t="s">
        <v>499</v>
      </c>
      <c r="Q32" s="1306">
        <f t="shared" si="8"/>
        <v>111</v>
      </c>
      <c r="R32" s="1307" t="s">
        <v>5</v>
      </c>
      <c r="S32" s="1308">
        <f t="shared" si="9"/>
        <v>100</v>
      </c>
      <c r="T32" s="1307" t="s">
        <v>5</v>
      </c>
      <c r="U32" s="1308">
        <f t="shared" si="10"/>
        <v>100</v>
      </c>
      <c r="V32" s="1307" t="s">
        <v>5</v>
      </c>
      <c r="W32" s="1308">
        <f t="shared" si="11"/>
        <v>100</v>
      </c>
      <c r="X32" s="1302"/>
      <c r="Y32" s="3622"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22"/>
      <c r="Q33" s="1306">
        <f t="shared" si="8"/>
        <v>111</v>
      </c>
      <c r="R33" s="1307" t="s">
        <v>5</v>
      </c>
      <c r="S33" s="1308">
        <f t="shared" si="9"/>
        <v>100</v>
      </c>
      <c r="T33" s="1307" t="s">
        <v>5</v>
      </c>
      <c r="U33" s="1308">
        <f t="shared" si="10"/>
        <v>100</v>
      </c>
      <c r="V33" s="1307" t="s">
        <v>5</v>
      </c>
      <c r="W33" s="1308">
        <f t="shared" si="11"/>
        <v>100</v>
      </c>
      <c r="X33" s="1302"/>
      <c r="Y33" s="3622"/>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22"/>
      <c r="Q34" s="1306">
        <f t="shared" si="8"/>
        <v>111</v>
      </c>
      <c r="R34" s="1307" t="s">
        <v>5</v>
      </c>
      <c r="S34" s="1308">
        <f t="shared" si="9"/>
        <v>100</v>
      </c>
      <c r="T34" s="1307" t="s">
        <v>5</v>
      </c>
      <c r="U34" s="1308">
        <f t="shared" si="10"/>
        <v>100</v>
      </c>
      <c r="V34" s="1307" t="s">
        <v>5</v>
      </c>
      <c r="W34" s="1308">
        <f t="shared" si="11"/>
        <v>100</v>
      </c>
      <c r="X34" s="1302"/>
      <c r="Y34" s="3622"/>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586" t="str">
        <f>A35</f>
        <v>成交单价（元/平方米）</v>
      </c>
      <c r="Q35" s="3586"/>
      <c r="R35" s="3587">
        <f>E35</f>
        <v>0</v>
      </c>
      <c r="S35" s="3587"/>
      <c r="T35" s="3587">
        <f>G35</f>
        <v>0</v>
      </c>
      <c r="U35" s="3587"/>
      <c r="V35" s="3587">
        <f>I35</f>
        <v>0</v>
      </c>
      <c r="W35" s="3587"/>
      <c r="X35" s="799"/>
      <c r="Y35" s="1314"/>
      <c r="Z35" s="799"/>
      <c r="AA35" s="799"/>
      <c r="AB35" s="799"/>
      <c r="AC35" s="799"/>
    </row>
    <row r="36" spans="1:29" ht="15.75" thickBot="1">
      <c r="A36" s="564" t="s">
        <v>2042</v>
      </c>
      <c r="B36" s="813"/>
      <c r="C36" s="2082" t="e">
        <f>R37</f>
        <v>#DIV/0!</v>
      </c>
      <c r="D36" s="2549" t="s">
        <v>2256</v>
      </c>
      <c r="E36" s="2083" t="e">
        <f>R36</f>
        <v>#DIV/0!</v>
      </c>
      <c r="F36" s="2550"/>
      <c r="G36" s="2082" t="e">
        <f>T36</f>
        <v>#DIV/0!</v>
      </c>
      <c r="H36" s="2550"/>
      <c r="I36" s="2083" t="e">
        <f>V36</f>
        <v>#DIV/0!</v>
      </c>
      <c r="J36" s="2550"/>
      <c r="K36" s="2557">
        <f>F36+H36+J36</f>
        <v>0</v>
      </c>
      <c r="L36" s="1751"/>
      <c r="M36" s="1742"/>
      <c r="N36" s="1742"/>
      <c r="O36" s="1742"/>
      <c r="P36" s="3586" t="str">
        <f>A36</f>
        <v>比较价格（元/平方米）</v>
      </c>
      <c r="Q36" s="3586"/>
      <c r="R36" s="3587" t="e">
        <f>IF(F1="售价",ROUND(PRODUCT(R35,AA7:AA34),0),ROUND(PRODUCT(R35,AA7:AA34),1))</f>
        <v>#DIV/0!</v>
      </c>
      <c r="S36" s="3587"/>
      <c r="T36" s="3587" t="e">
        <f>IF(F1="售价",ROUND(PRODUCT(T35,AB7:AB34),0),ROUND(PRODUCT(T35,AB7:AB34),1))</f>
        <v>#DIV/0!</v>
      </c>
      <c r="U36" s="3587"/>
      <c r="V36" s="3587" t="e">
        <f>IF(F1="售价",ROUND(PRODUCT(V35,AC7:AC34),0),ROUND(PRODUCT(V35,AC7:AC34),1))</f>
        <v>#DIV/0!</v>
      </c>
      <c r="W36" s="3587"/>
      <c r="X36" s="799"/>
      <c r="Y36" s="799"/>
      <c r="Z36" s="799"/>
      <c r="AA36" s="799"/>
      <c r="AB36" s="799"/>
      <c r="AC36" s="799"/>
    </row>
    <row r="37" spans="1:29" ht="15.75" thickBot="1">
      <c r="A37" s="568" t="s">
        <v>2192</v>
      </c>
      <c r="B37" s="569"/>
      <c r="C37" s="469" t="e">
        <f>R37</f>
        <v>#DIV/0!</v>
      </c>
      <c r="D37" s="469"/>
      <c r="E37" s="469"/>
      <c r="F37" s="469"/>
      <c r="G37" s="469"/>
      <c r="H37" s="469"/>
      <c r="I37" s="469"/>
      <c r="J37" s="469"/>
      <c r="K37" s="1336"/>
      <c r="L37" s="1751"/>
      <c r="M37" s="1742"/>
      <c r="N37" s="1742"/>
      <c r="O37" s="1742"/>
      <c r="P37" s="3623" t="str">
        <f>A37</f>
        <v>估价对象XX用房的比较价格（楼面单价，元/平方米）</v>
      </c>
      <c r="Q37" s="3624"/>
      <c r="R37" s="3694" t="e">
        <f>IF(F1="售价",ROUND(IF(D36="简单平均",AVERAGE(R36:W36),R36*F36+T36*H36+V36*J36),0),ROUND(IF(D36="简单平均",AVERAGE(R36:V36),R36*F36+T36*H36+V36*J36),1))</f>
        <v>#DIV/0!</v>
      </c>
      <c r="S37" s="3694"/>
      <c r="T37" s="3694"/>
      <c r="U37" s="3694"/>
      <c r="V37" s="3694"/>
      <c r="W37" s="3694"/>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2024-9</v>
      </c>
      <c r="D46" s="2115">
        <f>EDATE(C46,-1)</f>
        <v>45505</v>
      </c>
      <c r="E46" s="2115">
        <f t="shared" ref="E46:O46" si="13">EDATE(D46,-1)</f>
        <v>45474</v>
      </c>
      <c r="F46" s="2115">
        <f t="shared" si="13"/>
        <v>45444</v>
      </c>
      <c r="G46" s="2115">
        <f t="shared" si="13"/>
        <v>45413</v>
      </c>
      <c r="H46" s="2115">
        <f t="shared" si="13"/>
        <v>45383</v>
      </c>
      <c r="I46" s="2115">
        <f t="shared" si="13"/>
        <v>45352</v>
      </c>
      <c r="J46" s="2115">
        <f t="shared" si="13"/>
        <v>45323</v>
      </c>
      <c r="K46" s="2115">
        <f t="shared" si="13"/>
        <v>45292</v>
      </c>
      <c r="L46" s="2115">
        <f t="shared" si="13"/>
        <v>45261</v>
      </c>
      <c r="M46" s="2115">
        <f t="shared" si="13"/>
        <v>45231</v>
      </c>
      <c r="N46" s="2115">
        <f t="shared" si="13"/>
        <v>45200</v>
      </c>
      <c r="O46" s="2115">
        <f t="shared" si="13"/>
        <v>45170</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27" t="s">
        <v>1661</v>
      </c>
      <c r="D1" s="3728"/>
      <c r="E1" s="3728"/>
      <c r="F1" s="3728"/>
      <c r="G1" s="3728"/>
      <c r="H1" s="3728"/>
      <c r="I1" s="3728"/>
      <c r="J1" s="3728"/>
      <c r="K1" s="3728"/>
      <c r="L1" s="3728"/>
      <c r="M1" s="3728"/>
      <c r="N1" s="3728"/>
      <c r="O1" s="3728"/>
      <c r="P1" s="3728"/>
      <c r="Q1" s="3728"/>
      <c r="R1" s="3728"/>
      <c r="S1" s="3729"/>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2185</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2184</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2183</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2196</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2182</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2181</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24" t="s">
        <v>14</v>
      </c>
      <c r="D22" s="3725"/>
      <c r="E22" s="3725"/>
      <c r="F22" s="3725"/>
      <c r="G22" s="3725"/>
      <c r="H22" s="3725"/>
      <c r="I22" s="3725"/>
      <c r="J22" s="3725"/>
      <c r="K22" s="3725"/>
      <c r="L22" s="3725"/>
      <c r="M22" s="3725"/>
      <c r="N22" s="3725"/>
      <c r="O22" s="3725"/>
      <c r="P22" s="3725"/>
      <c r="Q22" s="3726"/>
      <c r="R22" s="49" t="e">
        <f>ROUND(S22*10000/B22,0)</f>
        <v>#DIV/0!</v>
      </c>
      <c r="S22" s="49">
        <f>SUM(S24:S10000)</f>
        <v>0</v>
      </c>
    </row>
    <row r="23" spans="1:45" s="1337"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3">
        <v>1</v>
      </c>
      <c r="D24" s="2774"/>
      <c r="E24" s="2773">
        <v>1</v>
      </c>
      <c r="F24" s="2774"/>
      <c r="G24" s="2773">
        <v>1</v>
      </c>
      <c r="H24" s="2774"/>
      <c r="I24" s="2773">
        <v>1</v>
      </c>
      <c r="J24" s="2774"/>
      <c r="K24" s="2773">
        <v>1</v>
      </c>
      <c r="L24" s="2774"/>
      <c r="M24" s="2773">
        <v>1</v>
      </c>
      <c r="N24" s="2774"/>
      <c r="O24" s="2773">
        <v>1</v>
      </c>
      <c r="P24" s="2774"/>
      <c r="Q24" s="2773">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E17" sqref="E1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45541</v>
      </c>
      <c r="H1" s="2233">
        <f>IF(C1&gt;C13,0,MATCH(C1,C$13:C$113,-1))+IF(SUMIF(C13:C113,C1,D13:D113)=0,13,12)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2</v>
      </c>
      <c r="D2" s="2290" t="s">
        <v>2066</v>
      </c>
      <c r="E2" s="2293">
        <f ca="1">INDIRECT("I"&amp;$I$1)/100</f>
        <v>3.3500000000000002E-2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3.35</v>
      </c>
      <c r="J3" s="2239">
        <f ca="1">INDIRECT("d"&amp;$H$1)</f>
        <v>3.35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3.35</v>
      </c>
      <c r="J4" s="2245">
        <f ca="1">INDIRECT("e"&amp;$H$1)</f>
        <v>3.35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3.35</v>
      </c>
      <c r="J5" s="2245">
        <f ca="1">INDIRECT("f"&amp;$H$1)</f>
        <v>3.35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3.35</v>
      </c>
      <c r="J6" s="2245">
        <f ca="1">INDIRECT("g"&amp;$H$1)</f>
        <v>3.35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3.85</v>
      </c>
      <c r="J7" s="2250">
        <f ca="1">INDIRECT("h"&amp;$H$1)</f>
        <v>3.85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45495</v>
      </c>
      <c r="D13" s="2279">
        <v>3.35</v>
      </c>
      <c r="E13" s="2279">
        <f>D13</f>
        <v>3.35</v>
      </c>
      <c r="F13" s="2279">
        <f>D13</f>
        <v>3.35</v>
      </c>
      <c r="G13" s="2279">
        <f>D13</f>
        <v>3.35</v>
      </c>
      <c r="H13" s="2279">
        <v>3.85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45342</v>
      </c>
      <c r="D14" s="2283">
        <v>3.45</v>
      </c>
      <c r="E14" s="2283">
        <f>D14</f>
        <v>3.45</v>
      </c>
      <c r="F14" s="2283">
        <f>D14</f>
        <v>3.45</v>
      </c>
      <c r="G14" s="2283">
        <f>D14</f>
        <v>3.45</v>
      </c>
      <c r="H14" s="2283">
        <v>3.95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45159</v>
      </c>
      <c r="D15" s="2283">
        <v>3.45</v>
      </c>
      <c r="E15" s="2283">
        <f>D15</f>
        <v>3.45</v>
      </c>
      <c r="F15" s="2283">
        <f>D15</f>
        <v>3.45</v>
      </c>
      <c r="G15" s="2283">
        <f>D15</f>
        <v>3.45</v>
      </c>
      <c r="H15" s="2283">
        <v>4.2</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45097</v>
      </c>
      <c r="D16" s="2283">
        <v>3.55</v>
      </c>
      <c r="E16" s="2283">
        <f>D16</f>
        <v>3.55</v>
      </c>
      <c r="F16" s="2283">
        <f>D16</f>
        <v>3.55</v>
      </c>
      <c r="G16" s="2283">
        <f>D16</f>
        <v>3.55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44795</v>
      </c>
      <c r="D17" s="2283">
        <v>3.65</v>
      </c>
      <c r="E17" s="2283">
        <v>3.65</v>
      </c>
      <c r="F17" s="2283">
        <v>3.65</v>
      </c>
      <c r="G17" s="2283">
        <v>3.65</v>
      </c>
      <c r="H17" s="2283">
        <v>4.3</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44701</v>
      </c>
      <c r="D18" s="2283">
        <v>3.7</v>
      </c>
      <c r="E18" s="2283">
        <f>D18</f>
        <v>3.7</v>
      </c>
      <c r="F18" s="2283">
        <f>D18</f>
        <v>3.7</v>
      </c>
      <c r="G18" s="2283">
        <f>D18</f>
        <v>3.7</v>
      </c>
      <c r="H18" s="2283">
        <v>4.45</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44581</v>
      </c>
      <c r="D19" s="2283">
        <v>3.7</v>
      </c>
      <c r="E19" s="2283">
        <f>D19</f>
        <v>3.7</v>
      </c>
      <c r="F19" s="2283">
        <f>D19</f>
        <v>3.7</v>
      </c>
      <c r="G19" s="2283">
        <f>D19</f>
        <v>3.7</v>
      </c>
      <c r="H19" s="2283">
        <v>4.5999999999999996</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44550</v>
      </c>
      <c r="D20" s="2283">
        <v>3.8</v>
      </c>
      <c r="E20" s="2283">
        <f>D20</f>
        <v>3.8</v>
      </c>
      <c r="F20" s="2283">
        <f>D20</f>
        <v>3.8</v>
      </c>
      <c r="G20" s="2283">
        <f>D20</f>
        <v>3.8</v>
      </c>
      <c r="H20" s="2283">
        <v>4.6500000000000004</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43941</v>
      </c>
      <c r="D21" s="2283">
        <v>3.85</v>
      </c>
      <c r="E21" s="2283">
        <v>3.85</v>
      </c>
      <c r="F21" s="2283">
        <v>3.85</v>
      </c>
      <c r="G21" s="2283">
        <v>3.85</v>
      </c>
      <c r="H21" s="2283">
        <v>4.6500000000000004</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43881</v>
      </c>
      <c r="D22" s="2283">
        <v>4.05</v>
      </c>
      <c r="E22" s="2283">
        <v>4.05</v>
      </c>
      <c r="F22" s="2283">
        <v>4.05</v>
      </c>
      <c r="G22" s="2283">
        <v>4.05</v>
      </c>
      <c r="H22" s="2283">
        <v>4.75</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43789</v>
      </c>
      <c r="D23" s="2283">
        <v>4.1500000000000004</v>
      </c>
      <c r="E23" s="2283">
        <v>4.1500000000000004</v>
      </c>
      <c r="F23" s="2283">
        <v>4.1500000000000004</v>
      </c>
      <c r="G23" s="2283">
        <v>4.1500000000000004</v>
      </c>
      <c r="H23" s="2283">
        <v>4.8</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43728</v>
      </c>
      <c r="D24" s="2283">
        <v>4.2</v>
      </c>
      <c r="E24" s="2283">
        <v>4.2</v>
      </c>
      <c r="F24" s="2283">
        <v>4.2</v>
      </c>
      <c r="G24" s="2283">
        <v>4.2</v>
      </c>
      <c r="H24" s="2283">
        <v>4.8499999999999996</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ht="14.25">
      <c r="B25" s="2277" t="s">
        <v>2282</v>
      </c>
      <c r="C25" s="2285">
        <v>43697</v>
      </c>
      <c r="D25" s="2775">
        <v>4.25</v>
      </c>
      <c r="E25" s="2775">
        <v>4.25</v>
      </c>
      <c r="F25" s="2775">
        <v>4.25</v>
      </c>
      <c r="G25" s="2775">
        <v>4.25</v>
      </c>
      <c r="H25" s="2775">
        <v>4.8499999999999996</v>
      </c>
      <c r="I25" s="2775"/>
      <c r="J25" s="2775"/>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779"/>
      <c r="C26" s="2780">
        <v>42301</v>
      </c>
      <c r="D26" s="2781">
        <v>4.3499999999999996</v>
      </c>
      <c r="E26" s="2781">
        <v>4.3499999999999996</v>
      </c>
      <c r="F26" s="2781">
        <v>4.75</v>
      </c>
      <c r="G26" s="2781">
        <v>4.75</v>
      </c>
      <c r="H26" s="2781">
        <v>4.9000000000000004</v>
      </c>
      <c r="I26" s="2781"/>
      <c r="J26" s="2781"/>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42242</v>
      </c>
      <c r="D27" s="2283">
        <v>4.5999999999999996</v>
      </c>
      <c r="E27" s="2283">
        <v>4.5999999999999996</v>
      </c>
      <c r="F27" s="2283">
        <v>5</v>
      </c>
      <c r="G27" s="2283">
        <v>5</v>
      </c>
      <c r="H27" s="2283">
        <v>5.15</v>
      </c>
      <c r="I27" s="2283">
        <v>2.75</v>
      </c>
      <c r="J27" s="2283">
        <v>3.25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42183</v>
      </c>
      <c r="D28" s="2283">
        <v>4.8499999999999996</v>
      </c>
      <c r="E28" s="2283">
        <v>4.8499999999999996</v>
      </c>
      <c r="F28" s="2283">
        <v>5.25</v>
      </c>
      <c r="G28" s="2283">
        <v>5.25</v>
      </c>
      <c r="H28" s="2283">
        <v>5.4</v>
      </c>
      <c r="I28" s="2283">
        <v>3</v>
      </c>
      <c r="J28" s="2283">
        <v>3.5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42135</v>
      </c>
      <c r="D29" s="2283">
        <v>5.0999999999999996</v>
      </c>
      <c r="E29" s="2283">
        <v>5.0999999999999996</v>
      </c>
      <c r="F29" s="2283">
        <v>5.5</v>
      </c>
      <c r="G29" s="2283">
        <v>5.5</v>
      </c>
      <c r="H29" s="2283">
        <v>5.65</v>
      </c>
      <c r="I29" s="2283">
        <v>3.25</v>
      </c>
      <c r="J29" s="2283">
        <v>3.75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42064</v>
      </c>
      <c r="D30" s="2283">
        <v>5.35</v>
      </c>
      <c r="E30" s="2283">
        <v>5.35</v>
      </c>
      <c r="F30" s="2283">
        <v>5.75</v>
      </c>
      <c r="G30" s="2283">
        <v>5.75</v>
      </c>
      <c r="H30" s="2283">
        <v>5.9</v>
      </c>
      <c r="I30" s="2283"/>
      <c r="J30" s="2283"/>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41965</v>
      </c>
      <c r="D31" s="2283">
        <v>5.6</v>
      </c>
      <c r="E31" s="2283">
        <v>5.6</v>
      </c>
      <c r="F31" s="2283">
        <v>6</v>
      </c>
      <c r="G31" s="2283">
        <v>6</v>
      </c>
      <c r="H31" s="2283">
        <v>6.15</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41096</v>
      </c>
      <c r="D32" s="2283">
        <v>5.6</v>
      </c>
      <c r="E32" s="2283">
        <v>6</v>
      </c>
      <c r="F32" s="2283">
        <v>6.15</v>
      </c>
      <c r="G32" s="2283">
        <v>6.4</v>
      </c>
      <c r="H32" s="2283">
        <v>6.55</v>
      </c>
      <c r="I32" s="2283">
        <v>4</v>
      </c>
      <c r="J32" s="2283">
        <v>4.5</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41068</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40731</v>
      </c>
      <c r="D34" s="2283">
        <v>6.1</v>
      </c>
      <c r="E34" s="2283">
        <v>6.56</v>
      </c>
      <c r="F34" s="2283">
        <v>6.65</v>
      </c>
      <c r="G34" s="2283">
        <v>6.9</v>
      </c>
      <c r="H34" s="2283">
        <v>7.05</v>
      </c>
      <c r="I34" s="2283">
        <v>4.45</v>
      </c>
      <c r="J34" s="2283">
        <v>4.9000000000000004</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40639</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40583</v>
      </c>
      <c r="D36" s="2283">
        <v>5.6</v>
      </c>
      <c r="E36" s="2283">
        <v>6.06</v>
      </c>
      <c r="F36" s="2283">
        <v>6.1</v>
      </c>
      <c r="G36" s="2283">
        <v>6.45</v>
      </c>
      <c r="H36" s="2283">
        <v>6.6</v>
      </c>
      <c r="I36" s="2283">
        <v>4</v>
      </c>
      <c r="J36" s="2283">
        <v>4.5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40538</v>
      </c>
      <c r="D37" s="2283">
        <v>5.35</v>
      </c>
      <c r="E37" s="2283">
        <v>5.81</v>
      </c>
      <c r="F37" s="2283">
        <v>5.85</v>
      </c>
      <c r="G37" s="2283">
        <v>6.22</v>
      </c>
      <c r="H37" s="2283">
        <v>6.4</v>
      </c>
      <c r="I37" s="2283">
        <v>3.75</v>
      </c>
      <c r="J37" s="2283">
        <v>4.3</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40471</v>
      </c>
      <c r="D38" s="2283">
        <v>5.0999999999999996</v>
      </c>
      <c r="E38" s="2283">
        <v>5.56</v>
      </c>
      <c r="F38" s="2283">
        <v>5.6</v>
      </c>
      <c r="G38" s="2283">
        <v>5.96</v>
      </c>
      <c r="H38" s="2283">
        <v>6.14</v>
      </c>
      <c r="I38" s="2283">
        <v>3.5</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39805</v>
      </c>
      <c r="D39" s="2283">
        <v>4.8600000000000003</v>
      </c>
      <c r="E39" s="2283">
        <v>5.31</v>
      </c>
      <c r="F39" s="2283">
        <v>5.4</v>
      </c>
      <c r="G39" s="2283">
        <v>5.76</v>
      </c>
      <c r="H39" s="2283">
        <v>5.94</v>
      </c>
      <c r="I39" s="2283">
        <v>3.33</v>
      </c>
      <c r="J39" s="2283">
        <v>3.87</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39779</v>
      </c>
      <c r="D40" s="2283">
        <v>5.04</v>
      </c>
      <c r="E40" s="2283">
        <v>5.58</v>
      </c>
      <c r="F40" s="2283">
        <v>5.67</v>
      </c>
      <c r="G40" s="2283">
        <v>5.94</v>
      </c>
      <c r="H40" s="2283">
        <v>6.12</v>
      </c>
      <c r="I40" s="2283">
        <v>3.51</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39751</v>
      </c>
      <c r="D41" s="2283">
        <v>6.03</v>
      </c>
      <c r="E41" s="2283">
        <v>6.66</v>
      </c>
      <c r="F41" s="2283">
        <v>6.75</v>
      </c>
      <c r="G41" s="2283">
        <v>7.02</v>
      </c>
      <c r="H41" s="2283">
        <v>7.2</v>
      </c>
      <c r="I41" s="2283">
        <v>4.05</v>
      </c>
      <c r="J41" s="2283">
        <v>4.59</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5">
        <v>39748</v>
      </c>
      <c r="D42" s="2283">
        <v>6.12</v>
      </c>
      <c r="E42" s="2283">
        <v>6.93</v>
      </c>
      <c r="F42" s="2283">
        <v>7.02</v>
      </c>
      <c r="G42" s="2283">
        <v>7.29</v>
      </c>
      <c r="H42" s="2283">
        <v>7.47</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39730</v>
      </c>
      <c r="D43" s="2283">
        <v>6.12</v>
      </c>
      <c r="E43" s="2283">
        <v>6.93</v>
      </c>
      <c r="F43" s="2283">
        <v>7.02</v>
      </c>
      <c r="G43" s="2283">
        <v>7.29</v>
      </c>
      <c r="H43" s="2283">
        <v>7.47</v>
      </c>
      <c r="I43" s="2283">
        <v>4.32</v>
      </c>
      <c r="J43" s="2283">
        <v>4.8600000000000003</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4">
        <v>39707</v>
      </c>
      <c r="D44" s="2283">
        <v>6.21</v>
      </c>
      <c r="E44" s="2283">
        <v>7.2</v>
      </c>
      <c r="F44" s="2283">
        <v>7.29</v>
      </c>
      <c r="G44" s="2283">
        <v>7.56</v>
      </c>
      <c r="H44" s="2283">
        <v>7.74</v>
      </c>
      <c r="I44" s="2283">
        <v>4.59</v>
      </c>
      <c r="J44" s="2283">
        <v>5.13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39437</v>
      </c>
      <c r="D45" s="2283">
        <v>6.57</v>
      </c>
      <c r="E45" s="2283">
        <v>7.47</v>
      </c>
      <c r="F45" s="2283">
        <v>7.56</v>
      </c>
      <c r="G45" s="2283">
        <v>7.74</v>
      </c>
      <c r="H45" s="2283">
        <v>7.83</v>
      </c>
      <c r="I45" s="2283">
        <v>4.7699999999999996</v>
      </c>
      <c r="J45" s="2283">
        <v>5.22</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39340</v>
      </c>
      <c r="D46" s="2283">
        <v>6.48</v>
      </c>
      <c r="E46" s="2283">
        <v>7.29</v>
      </c>
      <c r="F46" s="2283">
        <v>7.47</v>
      </c>
      <c r="G46" s="2283">
        <v>7.65</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39316</v>
      </c>
      <c r="D47" s="2283">
        <v>6.21</v>
      </c>
      <c r="E47" s="2283">
        <v>7.02</v>
      </c>
      <c r="F47" s="2283">
        <v>7.2</v>
      </c>
      <c r="G47" s="2283">
        <v>7.38</v>
      </c>
      <c r="H47" s="2283">
        <v>7.56</v>
      </c>
      <c r="I47" s="2283">
        <v>4.59</v>
      </c>
      <c r="J47" s="2283">
        <v>5.04</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39284</v>
      </c>
      <c r="D48" s="2283">
        <v>6.03</v>
      </c>
      <c r="E48" s="2283">
        <v>6.84</v>
      </c>
      <c r="F48" s="2283">
        <v>7.02</v>
      </c>
      <c r="G48" s="2283">
        <v>7.2</v>
      </c>
      <c r="H48" s="2283">
        <v>7.38</v>
      </c>
      <c r="I48" s="2283">
        <v>4.5</v>
      </c>
      <c r="J48" s="2283">
        <v>4.95</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39221</v>
      </c>
      <c r="D49" s="2283">
        <v>5.85</v>
      </c>
      <c r="E49" s="2283">
        <v>6.57</v>
      </c>
      <c r="F49" s="2283">
        <v>6.75</v>
      </c>
      <c r="G49" s="2283">
        <v>6.93</v>
      </c>
      <c r="H49" s="2283">
        <v>7.2</v>
      </c>
      <c r="I49" s="2283">
        <v>4.41</v>
      </c>
      <c r="J49" s="2283">
        <v>4.8600000000000003</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39159</v>
      </c>
      <c r="D50" s="2283">
        <v>5.67</v>
      </c>
      <c r="E50" s="2283">
        <v>6.39</v>
      </c>
      <c r="F50" s="2283">
        <v>6.57</v>
      </c>
      <c r="G50" s="2283">
        <v>6.75</v>
      </c>
      <c r="H50" s="2283">
        <v>7.11</v>
      </c>
      <c r="I50" s="2283">
        <v>4.32</v>
      </c>
      <c r="J50" s="2283">
        <v>4.7699999999999996</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38948</v>
      </c>
      <c r="D51" s="2283">
        <v>5.58</v>
      </c>
      <c r="E51" s="2283">
        <v>6.12</v>
      </c>
      <c r="F51" s="2283">
        <v>6.3</v>
      </c>
      <c r="G51" s="2283">
        <v>6.48</v>
      </c>
      <c r="H51" s="2283">
        <v>6.84</v>
      </c>
      <c r="I51" s="2283">
        <v>4.1399999999999997</v>
      </c>
      <c r="J51" s="2283">
        <v>4.59</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38835</v>
      </c>
      <c r="D52" s="2283">
        <v>5.4</v>
      </c>
      <c r="E52" s="2283">
        <v>5.85</v>
      </c>
      <c r="F52" s="2283">
        <v>6.03</v>
      </c>
      <c r="G52" s="2283">
        <v>6.12</v>
      </c>
      <c r="H52" s="2283">
        <v>6.39</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38428</v>
      </c>
      <c r="D53" s="2283">
        <v>5.22</v>
      </c>
      <c r="E53" s="2283">
        <v>5.58</v>
      </c>
      <c r="F53" s="2283">
        <v>5.76</v>
      </c>
      <c r="G53" s="2283">
        <v>5.85</v>
      </c>
      <c r="H53" s="2283">
        <v>6.12</v>
      </c>
      <c r="I53" s="2283">
        <v>3.96</v>
      </c>
      <c r="J53" s="2283">
        <v>4.41</v>
      </c>
      <c r="L53" s="2283"/>
      <c r="M53" s="2284"/>
      <c r="N53" s="2283"/>
      <c r="O53" s="2283"/>
      <c r="P53" s="2283"/>
      <c r="Q53" s="2283"/>
      <c r="R53" s="2283"/>
      <c r="S53" s="2283"/>
      <c r="T53" s="2283"/>
      <c r="U53" s="2283"/>
      <c r="V53" s="2283"/>
      <c r="W53" s="2283"/>
      <c r="X53" s="2283"/>
      <c r="Y53" s="2283"/>
      <c r="Z53" s="2283"/>
    </row>
    <row r="54" spans="2:26">
      <c r="B54" s="2283"/>
      <c r="C54" s="2284">
        <v>38289</v>
      </c>
      <c r="D54" s="2283">
        <v>5.22</v>
      </c>
      <c r="E54" s="2283">
        <v>5.58</v>
      </c>
      <c r="F54" s="2283">
        <v>5.76</v>
      </c>
      <c r="G54" s="2283">
        <v>5.85</v>
      </c>
      <c r="H54" s="2283">
        <v>6.12</v>
      </c>
      <c r="I54" s="2283">
        <v>3.78</v>
      </c>
      <c r="J54" s="2283">
        <v>4.2300000000000004</v>
      </c>
      <c r="L54" s="2283"/>
      <c r="M54" s="2284"/>
      <c r="N54" s="2283"/>
      <c r="O54" s="2283"/>
      <c r="P54" s="2283"/>
      <c r="Q54" s="2283"/>
      <c r="R54" s="2283"/>
      <c r="S54" s="2283"/>
      <c r="T54" s="2283"/>
      <c r="U54" s="2283"/>
      <c r="V54" s="2283"/>
      <c r="W54" s="2283"/>
      <c r="X54" s="2283"/>
      <c r="Y54" s="2283"/>
      <c r="Z54" s="2283"/>
    </row>
    <row r="55" spans="2:26">
      <c r="B55" s="2283"/>
      <c r="C55" s="2284">
        <v>37308</v>
      </c>
      <c r="D55" s="2283">
        <v>5.04</v>
      </c>
      <c r="E55" s="2283">
        <v>5.31</v>
      </c>
      <c r="F55" s="2283">
        <v>5.49</v>
      </c>
      <c r="G55" s="2283">
        <v>5.58</v>
      </c>
      <c r="H55" s="2283">
        <v>5.76</v>
      </c>
      <c r="I55" s="2283">
        <v>3.6</v>
      </c>
      <c r="J55" s="2283">
        <v>4.05</v>
      </c>
      <c r="L55" s="2283"/>
      <c r="M55" s="2284"/>
      <c r="N55" s="2283"/>
      <c r="O55" s="2283"/>
      <c r="P55" s="2283"/>
      <c r="Q55" s="2283"/>
      <c r="R55" s="2283"/>
      <c r="S55" s="2283"/>
      <c r="T55" s="2283"/>
      <c r="U55" s="2283"/>
      <c r="V55" s="2283"/>
      <c r="W55" s="2283"/>
      <c r="X55" s="2283"/>
      <c r="Y55" s="2283"/>
      <c r="Z55" s="2283"/>
    </row>
    <row r="56" spans="2:26">
      <c r="B56" s="2283"/>
      <c r="C56" s="2284">
        <v>36321</v>
      </c>
      <c r="D56" s="2283">
        <v>5.58</v>
      </c>
      <c r="E56" s="2283">
        <v>5.85</v>
      </c>
      <c r="F56" s="2283">
        <v>5.94</v>
      </c>
      <c r="G56" s="2283">
        <v>6.03</v>
      </c>
      <c r="H56" s="2283">
        <v>6.21</v>
      </c>
      <c r="I56" s="2283">
        <v>4.1399999999999997</v>
      </c>
      <c r="J56" s="2283">
        <v>4.59</v>
      </c>
      <c r="L56" s="2283"/>
      <c r="M56" s="2284"/>
      <c r="N56" s="2283"/>
      <c r="O56" s="2283"/>
      <c r="P56" s="2283"/>
      <c r="Q56" s="2283"/>
      <c r="R56" s="2283"/>
      <c r="S56" s="2283"/>
      <c r="T56" s="2283"/>
      <c r="U56" s="2283"/>
      <c r="V56" s="2283"/>
      <c r="W56" s="2283"/>
      <c r="X56" s="2283"/>
      <c r="Y56" s="2283"/>
      <c r="Z56" s="2283"/>
    </row>
    <row r="57" spans="2:26">
      <c r="B57" s="2283"/>
      <c r="C57" s="2284">
        <v>36136</v>
      </c>
      <c r="D57" s="2283">
        <v>6.12</v>
      </c>
      <c r="E57" s="2283">
        <v>6.39</v>
      </c>
      <c r="F57" s="2283">
        <v>6.66</v>
      </c>
      <c r="G57" s="2283">
        <v>7.2</v>
      </c>
      <c r="H57" s="2283">
        <v>7.56</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35977</v>
      </c>
      <c r="D58" s="2283">
        <v>6.57</v>
      </c>
      <c r="E58" s="2283">
        <v>6.93</v>
      </c>
      <c r="F58" s="2283">
        <v>7.11</v>
      </c>
      <c r="G58" s="2283">
        <v>7.65</v>
      </c>
      <c r="H58" s="2283">
        <v>8.01</v>
      </c>
      <c r="I58" s="2283">
        <v>0</v>
      </c>
      <c r="J58" s="2283">
        <v>0</v>
      </c>
    </row>
    <row r="59" spans="2:26">
      <c r="B59" s="2283"/>
      <c r="C59" s="2284">
        <v>35879</v>
      </c>
      <c r="D59" s="2283">
        <v>7.02</v>
      </c>
      <c r="E59" s="2283">
        <v>7.92</v>
      </c>
      <c r="F59" s="2283">
        <v>9</v>
      </c>
      <c r="G59" s="2283">
        <v>9.7200000000000006</v>
      </c>
      <c r="H59" s="2283">
        <v>10.35</v>
      </c>
      <c r="I59" s="2283">
        <v>0</v>
      </c>
      <c r="J59" s="2283">
        <v>0</v>
      </c>
    </row>
    <row r="60" spans="2:26">
      <c r="B60" s="2283"/>
      <c r="C60" s="2284">
        <v>35726</v>
      </c>
      <c r="D60" s="2283">
        <v>7.65</v>
      </c>
      <c r="E60" s="2283">
        <v>8.64</v>
      </c>
      <c r="F60" s="2283">
        <v>9.36</v>
      </c>
      <c r="G60" s="2283">
        <v>9.9</v>
      </c>
      <c r="H60" s="2283">
        <v>10.53</v>
      </c>
      <c r="I60" s="2283">
        <v>0</v>
      </c>
      <c r="J60" s="2283">
        <v>0</v>
      </c>
    </row>
    <row r="61" spans="2:26">
      <c r="B61" s="2283"/>
      <c r="C61" s="2284">
        <v>35300</v>
      </c>
      <c r="D61" s="2283">
        <v>9.18</v>
      </c>
      <c r="E61" s="2283">
        <v>10.08</v>
      </c>
      <c r="F61" s="2283">
        <v>10.98</v>
      </c>
      <c r="G61" s="2283">
        <v>11.7</v>
      </c>
      <c r="H61" s="2283">
        <v>12.42</v>
      </c>
      <c r="I61" s="2283">
        <v>0</v>
      </c>
      <c r="J61" s="2283">
        <v>0</v>
      </c>
    </row>
    <row r="62" spans="2:26">
      <c r="B62" s="2283"/>
      <c r="C62" s="2284">
        <v>35186</v>
      </c>
      <c r="D62" s="2283">
        <v>9.7200000000000006</v>
      </c>
      <c r="E62" s="2283">
        <v>10.98</v>
      </c>
      <c r="F62" s="2283">
        <v>13.14</v>
      </c>
      <c r="G62" s="2283">
        <v>14.94</v>
      </c>
      <c r="H62" s="2283">
        <v>15.12</v>
      </c>
      <c r="I62" s="2283">
        <v>0</v>
      </c>
      <c r="J62" s="2283">
        <v>0</v>
      </c>
    </row>
    <row r="63" spans="2:26">
      <c r="B63" s="2283"/>
      <c r="C63" s="2284">
        <v>34881</v>
      </c>
      <c r="D63" s="2283">
        <v>10.08</v>
      </c>
      <c r="E63" s="2283">
        <v>12.06</v>
      </c>
      <c r="F63" s="2283">
        <v>13.5</v>
      </c>
      <c r="G63" s="2283">
        <v>15.12</v>
      </c>
      <c r="H63" s="2283">
        <v>15.3</v>
      </c>
      <c r="I63" s="2283">
        <v>0</v>
      </c>
      <c r="J63" s="2283">
        <v>0</v>
      </c>
    </row>
    <row r="64" spans="2:26">
      <c r="B64" s="2283"/>
      <c r="C64" s="2284">
        <v>34700</v>
      </c>
      <c r="D64" s="2283">
        <v>9</v>
      </c>
      <c r="E64" s="2283">
        <v>10.98</v>
      </c>
      <c r="F64" s="2283">
        <v>12.96</v>
      </c>
      <c r="G64" s="2283">
        <v>14.58</v>
      </c>
      <c r="H64" s="2283">
        <v>14.76</v>
      </c>
      <c r="I64" s="2283">
        <v>0</v>
      </c>
      <c r="J64" s="2283">
        <v>0</v>
      </c>
    </row>
    <row r="65" spans="2:10">
      <c r="B65" s="2283"/>
      <c r="C65" s="2284">
        <v>34161</v>
      </c>
      <c r="D65" s="2283">
        <v>9</v>
      </c>
      <c r="E65" s="2283">
        <v>10.98</v>
      </c>
      <c r="F65" s="2283">
        <v>12.24</v>
      </c>
      <c r="G65" s="2283">
        <v>13.86</v>
      </c>
      <c r="H65" s="2283">
        <v>14.04</v>
      </c>
      <c r="I65" s="2283">
        <v>0</v>
      </c>
      <c r="J65" s="2283">
        <v>0</v>
      </c>
    </row>
    <row r="66" spans="2:10">
      <c r="B66" s="2283"/>
      <c r="C66" s="2284">
        <v>34104</v>
      </c>
      <c r="D66" s="2283">
        <v>8.82</v>
      </c>
      <c r="E66" s="2283">
        <v>9.36</v>
      </c>
      <c r="F66" s="2283">
        <v>10.8</v>
      </c>
      <c r="G66" s="2283">
        <v>12.06</v>
      </c>
      <c r="H66" s="2283">
        <v>12.24</v>
      </c>
      <c r="I66" s="2283">
        <v>0</v>
      </c>
      <c r="J66" s="2283">
        <v>0</v>
      </c>
    </row>
    <row r="67" spans="2:10">
      <c r="B67" s="2283"/>
      <c r="C67" s="2284">
        <v>33349</v>
      </c>
      <c r="D67" s="2283">
        <v>8.1</v>
      </c>
      <c r="E67" s="2283">
        <v>8.64</v>
      </c>
      <c r="F67" s="2283">
        <v>9</v>
      </c>
      <c r="G67" s="2283">
        <v>9.5399999999999991</v>
      </c>
      <c r="H67" s="2283">
        <v>9.7200000000000006</v>
      </c>
      <c r="I67" s="2283">
        <v>0</v>
      </c>
      <c r="J67" s="2283">
        <v>0</v>
      </c>
    </row>
    <row r="68" spans="2:10">
      <c r="B68" s="2283"/>
      <c r="C68" s="2284">
        <v>33318</v>
      </c>
      <c r="D68" s="2283">
        <v>9</v>
      </c>
      <c r="E68" s="2283">
        <v>10.08</v>
      </c>
      <c r="F68" s="2283">
        <v>10.8</v>
      </c>
      <c r="G68" s="2283">
        <v>11.52</v>
      </c>
      <c r="H68" s="2283">
        <v>11.88</v>
      </c>
      <c r="I68" s="2283" t="s">
        <v>2095</v>
      </c>
      <c r="J68" s="2283" t="s">
        <v>2095</v>
      </c>
    </row>
    <row r="69" spans="2:10">
      <c r="B69" s="2283"/>
      <c r="C69" s="2284">
        <v>33106</v>
      </c>
      <c r="D69" s="2283">
        <v>8.64</v>
      </c>
      <c r="E69" s="2283">
        <v>9.36</v>
      </c>
      <c r="F69" s="2283">
        <v>10.08</v>
      </c>
      <c r="G69" s="2283">
        <v>10.8</v>
      </c>
      <c r="H69" s="2283">
        <v>11.16</v>
      </c>
      <c r="I69" s="2283">
        <v>0</v>
      </c>
      <c r="J69" s="2283">
        <v>0</v>
      </c>
    </row>
    <row r="70" spans="2:10">
      <c r="B70" s="2283"/>
      <c r="C70" s="2284">
        <v>32540</v>
      </c>
      <c r="D70" s="2283">
        <v>11.34</v>
      </c>
      <c r="E70" s="2283">
        <v>11.34</v>
      </c>
      <c r="F70" s="2283">
        <v>12.78</v>
      </c>
      <c r="G70" s="2283">
        <v>14.4</v>
      </c>
      <c r="H70" s="2283">
        <v>19.260000000000002</v>
      </c>
      <c r="I70" s="2283">
        <v>0</v>
      </c>
      <c r="J70" s="2283">
        <v>0</v>
      </c>
    </row>
    <row r="71" spans="2:10">
      <c r="B71" s="2283"/>
      <c r="C71" s="2284"/>
      <c r="D71" s="2283"/>
      <c r="E71" s="2283"/>
      <c r="F71" s="2283"/>
      <c r="G71" s="2283"/>
      <c r="H71" s="2283"/>
      <c r="I71" s="2283"/>
      <c r="J71" s="2283"/>
    </row>
    <row r="72" spans="2:10">
      <c r="B72" s="2286"/>
      <c r="C72" s="2287"/>
      <c r="D72" s="2286"/>
      <c r="E72" s="2286"/>
      <c r="F72" s="2286"/>
      <c r="G72" s="2286"/>
      <c r="H72" s="2286"/>
      <c r="I72" s="2286"/>
      <c r="J72" s="2286"/>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36"/>
      <c r="C75" s="2236"/>
      <c r="D75" s="2236"/>
      <c r="E75" s="2236"/>
      <c r="F75" s="2236"/>
      <c r="G75" s="2236"/>
      <c r="H75" s="2236"/>
      <c r="I75" s="2236"/>
      <c r="J75" s="2236"/>
    </row>
    <row r="76" spans="2:10">
      <c r="B76" s="2236"/>
      <c r="C76" s="2236"/>
      <c r="D76" s="2236"/>
      <c r="E76" s="2236"/>
      <c r="F76" s="2236"/>
      <c r="G76" s="2236"/>
      <c r="H76" s="2236"/>
      <c r="I76" s="2236"/>
      <c r="J76"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9" t="s">
        <v>1556</v>
      </c>
      <c r="B1" s="3419"/>
      <c r="C1" s="3419"/>
      <c r="D1" s="3419"/>
      <c r="E1" s="3419"/>
      <c r="F1" s="3419"/>
      <c r="G1" s="3419"/>
      <c r="H1" s="3419"/>
      <c r="I1" s="3419"/>
      <c r="J1" s="3419"/>
      <c r="K1" s="3419"/>
      <c r="L1" s="3419"/>
      <c r="M1" s="3419"/>
      <c r="N1" s="3419"/>
      <c r="O1" s="3419"/>
      <c r="P1" s="3419"/>
      <c r="Q1" s="3419"/>
      <c r="R1" s="3419"/>
    </row>
    <row r="2" spans="1:18">
      <c r="A2" s="1502" t="s">
        <v>1558</v>
      </c>
      <c r="B2" s="1502"/>
      <c r="C2" s="1502"/>
      <c r="D2" s="1502"/>
      <c r="E2" s="1502"/>
      <c r="F2" s="1502"/>
      <c r="G2" s="1502"/>
      <c r="H2" s="1502"/>
      <c r="I2" s="1503"/>
      <c r="J2" s="1503"/>
      <c r="K2" s="1504" t="str">
        <f>"估价期日："&amp;TEXT(项目基本情况!D3,"yyyy年m月d日;;")</f>
        <v>估价期日：2024年9月6日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0" t="s">
        <v>1547</v>
      </c>
      <c r="B3" s="3420" t="s">
        <v>2013</v>
      </c>
      <c r="C3" s="3421" t="s">
        <v>1548</v>
      </c>
      <c r="D3" s="3420" t="s">
        <v>2017</v>
      </c>
      <c r="E3" s="3415" t="s">
        <v>1549</v>
      </c>
      <c r="F3" s="3415"/>
      <c r="G3" s="3415"/>
      <c r="H3" s="3415" t="s">
        <v>1550</v>
      </c>
      <c r="I3" s="3415"/>
      <c r="J3" s="3415"/>
      <c r="K3" s="3421" t="s">
        <v>1551</v>
      </c>
      <c r="L3" s="3421" t="s">
        <v>1552</v>
      </c>
      <c r="M3" s="3420" t="s">
        <v>2014</v>
      </c>
      <c r="N3" s="3420" t="str">
        <f>"（分摊）"&amp;项目基本情况!A17&amp;"国有建设用地使用权面积/㎡"</f>
        <v>（分摊）出让国有建设用地使用权面积/㎡</v>
      </c>
      <c r="O3" s="3420" t="s">
        <v>1581</v>
      </c>
      <c r="P3" s="3421" t="s">
        <v>1561</v>
      </c>
      <c r="Q3" s="3421" t="s">
        <v>1582</v>
      </c>
      <c r="R3" s="3421" t="s">
        <v>1553</v>
      </c>
    </row>
    <row r="4" spans="1:18" ht="36.75" customHeight="1">
      <c r="A4" s="3420"/>
      <c r="B4" s="3420"/>
      <c r="C4" s="3421"/>
      <c r="D4" s="3420"/>
      <c r="E4" s="1505" t="s">
        <v>1560</v>
      </c>
      <c r="F4" s="1505" t="s">
        <v>2026</v>
      </c>
      <c r="G4" s="1505" t="s">
        <v>1554</v>
      </c>
      <c r="H4" s="1505" t="s">
        <v>1555</v>
      </c>
      <c r="I4" s="1505" t="s">
        <v>2027</v>
      </c>
      <c r="J4" s="1505" t="s">
        <v>1554</v>
      </c>
      <c r="K4" s="3421"/>
      <c r="L4" s="3421"/>
      <c r="M4" s="3420"/>
      <c r="N4" s="3420"/>
      <c r="O4" s="3420"/>
      <c r="P4" s="3421"/>
      <c r="Q4" s="3421"/>
      <c r="R4" s="3421"/>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20362.47</v>
      </c>
      <c r="O5" s="1505">
        <f>项目基本情况!C21</f>
        <v>46690.582000000002</v>
      </c>
      <c r="P5" s="1505">
        <f ca="1">结果表!E42</f>
        <v>26026</v>
      </c>
      <c r="Q5" s="1505">
        <f ca="1">结果表!D42</f>
        <v>11350</v>
      </c>
      <c r="R5" s="1506">
        <f ca="1">结果表!C42</f>
        <v>52995</v>
      </c>
    </row>
    <row r="6" spans="1:18">
      <c r="A6" s="3416" t="str">
        <f>IF(项目基本情况!B9="市场价格","——","抵押价格")</f>
        <v>抵押价格</v>
      </c>
      <c r="B6" s="3417"/>
      <c r="C6" s="3417"/>
      <c r="D6" s="3417"/>
      <c r="E6" s="3417"/>
      <c r="F6" s="3417"/>
      <c r="G6" s="3417"/>
      <c r="H6" s="3417"/>
      <c r="I6" s="3417"/>
      <c r="J6" s="3417"/>
      <c r="K6" s="3417"/>
      <c r="L6" s="3417"/>
      <c r="M6" s="3417"/>
      <c r="N6" s="3417"/>
      <c r="O6" s="3417"/>
      <c r="P6" s="3417"/>
      <c r="Q6" s="3418"/>
      <c r="R6" s="1507">
        <f ca="1">结果表!O39</f>
        <v>52451</v>
      </c>
    </row>
    <row r="7" spans="1:18">
      <c r="A7" s="3416" t="str">
        <f>IF(项目基本情况!B9="市场价格","——",IF(项目基本情况!E8="已注销及未注销","抵押担保权已注销时的抵押价格","——"))</f>
        <v>——</v>
      </c>
      <c r="B7" s="3417"/>
      <c r="C7" s="3417"/>
      <c r="D7" s="3417"/>
      <c r="E7" s="3417"/>
      <c r="F7" s="3417"/>
      <c r="G7" s="3417"/>
      <c r="H7" s="3417"/>
      <c r="I7" s="3417"/>
      <c r="J7" s="3417"/>
      <c r="K7" s="3417"/>
      <c r="L7" s="3417"/>
      <c r="M7" s="3417"/>
      <c r="N7" s="3417"/>
      <c r="O7" s="3417"/>
      <c r="P7" s="3417"/>
      <c r="Q7" s="3418"/>
      <c r="R7" s="1507" t="str">
        <f>结果表!O40</f>
        <v>——</v>
      </c>
    </row>
    <row r="8" spans="1:18">
      <c r="A8" s="3416" t="str">
        <f>IF(项目基本情况!B9="市场价格","——",项目基本情况!E9)</f>
        <v>——</v>
      </c>
      <c r="B8" s="3417"/>
      <c r="C8" s="3417"/>
      <c r="D8" s="3417"/>
      <c r="E8" s="3417"/>
      <c r="F8" s="3417"/>
      <c r="G8" s="3417"/>
      <c r="H8" s="3417"/>
      <c r="I8" s="3417"/>
      <c r="J8" s="3417"/>
      <c r="K8" s="3417"/>
      <c r="L8" s="3417"/>
      <c r="M8" s="3417"/>
      <c r="N8" s="3417"/>
      <c r="O8" s="3417"/>
      <c r="P8" s="3417"/>
      <c r="Q8" s="3418"/>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3" t="s">
        <v>1583</v>
      </c>
      <c r="B1" s="3423"/>
      <c r="C1" s="3423"/>
      <c r="D1" s="3423"/>
    </row>
    <row r="2" spans="1:4" ht="47.25" customHeight="1">
      <c r="A2" s="3424" t="str">
        <f>"1.权利限制："&amp;项目基本情况!L24&amp;"未设定租赁等其他他项权利。"</f>
        <v>1.权利限制：根据估价对象《不动产权证书》原件、《国有土地使用权》复印件，截至估价期日，估价对象抵押权未见登记。未设定租赁等其他他项权利。</v>
      </c>
      <c r="B2" s="3424"/>
      <c r="C2" s="3424"/>
      <c r="D2" s="3424"/>
    </row>
    <row r="3" spans="1:4" ht="48" customHeight="1">
      <c r="A3" s="34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3"/>
      <c r="C3" s="3423"/>
      <c r="D3" s="3423"/>
    </row>
    <row r="4" spans="1:4" ht="36.75" customHeight="1">
      <c r="A4" s="3423" t="str">
        <f>"3.估价规划限制条件：详见"&amp;项目基本情况!E21&amp;"。"</f>
        <v>3.估价规划限制条件：详见《建设工程规划许可证》[]、《出让合同》[]。</v>
      </c>
      <c r="B4" s="3423"/>
      <c r="C4" s="3423"/>
      <c r="D4" s="3423"/>
    </row>
    <row r="5" spans="1:4">
      <c r="A5" s="3422" t="s">
        <v>1584</v>
      </c>
      <c r="B5" s="3422"/>
      <c r="C5" s="3422"/>
      <c r="D5" s="3422"/>
    </row>
    <row r="6" spans="1:4">
      <c r="A6" s="3423" t="s">
        <v>1562</v>
      </c>
      <c r="B6" s="3423"/>
      <c r="C6" s="3423"/>
      <c r="D6" s="3423"/>
    </row>
    <row r="7" spans="1:4" ht="33" customHeight="1">
      <c r="A7" s="3423" t="s">
        <v>1857</v>
      </c>
      <c r="B7" s="3423"/>
      <c r="C7" s="3423"/>
      <c r="D7" s="3423"/>
    </row>
    <row r="8" spans="1:4" ht="32.25" customHeight="1">
      <c r="A8" s="34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3"/>
      <c r="C8" s="3423"/>
      <c r="D8" s="3423"/>
    </row>
    <row r="9" spans="1:4" ht="33.75" customHeight="1">
      <c r="A9" s="34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3"/>
      <c r="C9" s="3423"/>
      <c r="D9" s="3423"/>
    </row>
    <row r="10" spans="1:4">
      <c r="A10" s="3423" t="str">
        <f>IF(项目基本情况!B8="抵押","4.估价师所知悉的法定优先受偿款情况为：","——")</f>
        <v>4.估价师所知悉的法定优先受偿款情况为：</v>
      </c>
      <c r="B10" s="3423"/>
      <c r="C10" s="3423"/>
      <c r="D10" s="3423"/>
    </row>
    <row r="11" spans="1:4" ht="37.5" customHeight="1">
      <c r="A11" s="34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3"/>
      <c r="C11" s="3423"/>
      <c r="D11" s="3423"/>
    </row>
    <row r="12" spans="1:4" ht="168" customHeight="1">
      <c r="A12" s="3422" t="s">
        <v>1586</v>
      </c>
      <c r="B12" s="3422"/>
      <c r="C12" s="3422"/>
      <c r="D12" s="3422"/>
    </row>
    <row r="13" spans="1:4">
      <c r="A13" s="3425" t="s">
        <v>2028</v>
      </c>
      <c r="B13" s="3425"/>
      <c r="C13" s="3425"/>
      <c r="D13" s="3425"/>
    </row>
    <row r="14" spans="1:4">
      <c r="A14" s="3423" t="str">
        <f>IF(项目基本情况!B8="抵押","综上，"&amp;结果表!K47,"——")</f>
        <v>综上，本次评估估价师知悉的法定优先受偿款为人民币544万元整。</v>
      </c>
      <c r="B14" s="3423"/>
      <c r="C14" s="3423"/>
      <c r="D14" s="3423"/>
    </row>
    <row r="15" spans="1:4" ht="58.5" customHeight="1">
      <c r="A15" s="34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3"/>
      <c r="C15" s="3423"/>
      <c r="D15" s="3423"/>
    </row>
    <row r="16" spans="1:4" ht="70.5" customHeight="1">
      <c r="A16" s="34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3"/>
      <c r="C16" s="3423"/>
      <c r="D16" s="3423"/>
    </row>
    <row r="17" spans="1:4">
      <c r="A17" s="3423" t="s">
        <v>1984</v>
      </c>
      <c r="B17" s="3423"/>
      <c r="C17" s="3423"/>
      <c r="D17" s="3423"/>
    </row>
    <row r="18" spans="1:4">
      <c r="A18" s="3423" t="s">
        <v>1976</v>
      </c>
      <c r="B18" s="3423"/>
      <c r="C18" s="3423"/>
      <c r="D18" s="3423"/>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23" t="s">
        <v>1981</v>
      </c>
      <c r="B23" s="3423"/>
      <c r="C23" s="3423"/>
      <c r="D23" s="3423"/>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U44" sqref="U44"/>
      <selection pane="bottomLeft" activeCell="U44" sqref="U44"/>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33" t="s">
        <v>27</v>
      </c>
      <c r="B15" s="3434" t="s">
        <v>784</v>
      </c>
      <c r="C15" s="3430"/>
    </row>
    <row r="16" spans="1:7" ht="14.25">
      <c r="A16" s="3433"/>
      <c r="B16" s="3431" t="s">
        <v>28</v>
      </c>
      <c r="C16" s="1017" t="s">
        <v>27</v>
      </c>
    </row>
    <row r="17" spans="1:3" ht="14.25">
      <c r="A17" s="3433"/>
      <c r="B17" s="3431"/>
      <c r="C17" s="1017" t="s">
        <v>29</v>
      </c>
    </row>
    <row r="18" spans="1:3" ht="14.25">
      <c r="A18" s="3433"/>
      <c r="B18" s="3431"/>
      <c r="C18" s="1017" t="s">
        <v>30</v>
      </c>
    </row>
    <row r="19" spans="1:3" ht="14.25">
      <c r="A19" s="3433"/>
      <c r="B19" s="3429" t="s">
        <v>31</v>
      </c>
      <c r="C19" s="3430"/>
    </row>
    <row r="20" spans="1:3" ht="14.25">
      <c r="A20" s="1018" t="s">
        <v>32</v>
      </c>
      <c r="B20" s="1019"/>
      <c r="C20" s="1020"/>
    </row>
    <row r="21" spans="1:3" ht="14.25">
      <c r="A21" s="3432" t="s">
        <v>33</v>
      </c>
      <c r="B21" s="3429" t="s">
        <v>34</v>
      </c>
      <c r="C21" s="3430"/>
    </row>
    <row r="22" spans="1:3" ht="14.25">
      <c r="A22" s="3432"/>
      <c r="B22" s="3429" t="s">
        <v>35</v>
      </c>
      <c r="C22" s="3430"/>
    </row>
    <row r="23" spans="1:3" ht="14.25">
      <c r="A23" s="3432"/>
      <c r="B23" s="3429" t="s">
        <v>36</v>
      </c>
      <c r="C23" s="3430"/>
    </row>
    <row r="24" spans="1:3" ht="14.25">
      <c r="A24" s="3432"/>
      <c r="B24" s="3435" t="s">
        <v>37</v>
      </c>
      <c r="C24" s="1021" t="s">
        <v>775</v>
      </c>
    </row>
    <row r="25" spans="1:3" ht="14.25">
      <c r="A25" s="3432"/>
      <c r="B25" s="3436"/>
      <c r="C25" s="1021" t="s">
        <v>776</v>
      </c>
    </row>
    <row r="26" spans="1:3" ht="14.25">
      <c r="A26" s="3432"/>
      <c r="B26" s="3436"/>
      <c r="C26" s="1021" t="s">
        <v>777</v>
      </c>
    </row>
    <row r="27" spans="1:3" ht="14.25">
      <c r="A27" s="3432"/>
      <c r="B27" s="3436"/>
      <c r="C27" s="1021" t="s">
        <v>778</v>
      </c>
    </row>
    <row r="28" spans="1:3" ht="14.25">
      <c r="A28" s="3432"/>
      <c r="B28" s="3436"/>
      <c r="C28" s="1021" t="s">
        <v>779</v>
      </c>
    </row>
    <row r="29" spans="1:3" ht="14.25">
      <c r="A29" s="3432"/>
      <c r="B29" s="3436"/>
      <c r="C29" s="1021" t="s">
        <v>780</v>
      </c>
    </row>
    <row r="30" spans="1:3" ht="14.25">
      <c r="A30" s="3432"/>
      <c r="B30" s="3436"/>
      <c r="C30" s="1021" t="s">
        <v>781</v>
      </c>
    </row>
    <row r="31" spans="1:3" ht="14.25">
      <c r="A31" s="3432"/>
      <c r="B31" s="3436"/>
      <c r="C31" s="1021" t="s">
        <v>782</v>
      </c>
    </row>
    <row r="32" spans="1:3" ht="14.25">
      <c r="A32" s="3432"/>
      <c r="B32" s="3436"/>
      <c r="C32" s="1021" t="s">
        <v>1181</v>
      </c>
    </row>
    <row r="33" spans="1:3" ht="14.25">
      <c r="A33" s="3432"/>
      <c r="B33" s="3426" t="s">
        <v>1187</v>
      </c>
      <c r="C33" s="1021" t="s">
        <v>1182</v>
      </c>
    </row>
    <row r="34" spans="1:3" ht="14.25">
      <c r="A34" s="3432"/>
      <c r="B34" s="3427"/>
      <c r="C34" s="1026" t="s">
        <v>1183</v>
      </c>
    </row>
    <row r="35" spans="1:3" ht="14.25">
      <c r="A35" s="3432"/>
      <c r="B35" s="3427"/>
      <c r="C35" s="1027" t="s">
        <v>1184</v>
      </c>
    </row>
    <row r="36" spans="1:3" ht="14.25">
      <c r="A36" s="3432"/>
      <c r="B36" s="3427"/>
      <c r="C36" s="1027" t="s">
        <v>1185</v>
      </c>
    </row>
    <row r="37" spans="1:3" ht="14.25">
      <c r="A37" s="3432"/>
      <c r="B37" s="3428"/>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U44" sqref="U44"/>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45545</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2443</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40" t="s">
        <v>1448</v>
      </c>
      <c r="B18" s="3441"/>
      <c r="C18" s="3441"/>
      <c r="D18" s="3441"/>
      <c r="E18" s="3441"/>
      <c r="F18" s="3441"/>
      <c r="G18" s="2559"/>
    </row>
    <row r="19" spans="1:7" ht="20.25" customHeight="1">
      <c r="A19" s="3437" t="s">
        <v>1449</v>
      </c>
      <c r="B19" s="3437"/>
      <c r="C19" s="3438"/>
      <c r="D19" s="3439" t="s">
        <v>1450</v>
      </c>
      <c r="E19" s="3437"/>
      <c r="F19" s="3437"/>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2444</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H12" sqref="H1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2756</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2742</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2743</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2744</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2745</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2746</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2747</v>
      </c>
    </row>
    <row r="8" spans="1:23">
      <c r="A8" s="6" t="s">
        <v>75</v>
      </c>
      <c r="B8" s="6" t="s">
        <v>76</v>
      </c>
      <c r="C8" s="1294" t="s">
        <v>1244</v>
      </c>
      <c r="F8" s="7" t="s">
        <v>121</v>
      </c>
      <c r="H8" s="3080" t="s">
        <v>2741</v>
      </c>
      <c r="I8" s="7" t="s">
        <v>2748</v>
      </c>
    </row>
    <row r="9" spans="1:23">
      <c r="A9" s="6" t="s">
        <v>77</v>
      </c>
      <c r="B9" s="6" t="s">
        <v>122</v>
      </c>
      <c r="C9" s="1294" t="s">
        <v>1245</v>
      </c>
      <c r="F9" s="7" t="s">
        <v>78</v>
      </c>
      <c r="H9" s="7"/>
      <c r="I9" s="7" t="s">
        <v>2749</v>
      </c>
    </row>
    <row r="10" spans="1:23">
      <c r="A10" s="6" t="s">
        <v>79</v>
      </c>
      <c r="B10" s="6" t="s">
        <v>123</v>
      </c>
      <c r="C10" s="1294" t="s">
        <v>1246</v>
      </c>
      <c r="F10" s="3080" t="s">
        <v>2740</v>
      </c>
      <c r="I10" s="7" t="s">
        <v>2750</v>
      </c>
    </row>
    <row r="11" spans="1:23">
      <c r="A11" s="6" t="s">
        <v>80</v>
      </c>
      <c r="B11" s="6" t="s">
        <v>124</v>
      </c>
      <c r="C11" s="1294" t="s">
        <v>1247</v>
      </c>
      <c r="I11" s="7" t="s">
        <v>2751</v>
      </c>
    </row>
    <row r="12" spans="1:23">
      <c r="A12" s="6" t="s">
        <v>81</v>
      </c>
      <c r="B12" s="6" t="s">
        <v>125</v>
      </c>
      <c r="C12" s="1294" t="s">
        <v>1248</v>
      </c>
      <c r="I12" s="7" t="s">
        <v>2752</v>
      </c>
    </row>
    <row r="13" spans="1:23">
      <c r="A13" s="6" t="s">
        <v>82</v>
      </c>
      <c r="B13" s="6" t="s">
        <v>126</v>
      </c>
      <c r="C13" s="1294" t="s">
        <v>1249</v>
      </c>
      <c r="I13" s="7" t="s">
        <v>2753</v>
      </c>
    </row>
    <row r="14" spans="1:23">
      <c r="A14" s="6" t="s">
        <v>83</v>
      </c>
      <c r="B14" s="6" t="s">
        <v>127</v>
      </c>
      <c r="C14" s="1296" t="s">
        <v>1421</v>
      </c>
      <c r="I14" s="7" t="s">
        <v>2754</v>
      </c>
    </row>
    <row r="15" spans="1:23">
      <c r="A15" s="6" t="s">
        <v>84</v>
      </c>
      <c r="B15" s="6" t="s">
        <v>1214</v>
      </c>
      <c r="C15" s="1296"/>
      <c r="I15" s="7" t="s">
        <v>2755</v>
      </c>
    </row>
    <row r="16" spans="1:23">
      <c r="A16" s="6" t="s">
        <v>85</v>
      </c>
      <c r="B16" s="6" t="s">
        <v>1215</v>
      </c>
      <c r="C16" s="1296"/>
    </row>
    <row r="17" spans="1:3">
      <c r="A17" s="6" t="s">
        <v>86</v>
      </c>
      <c r="B17" s="6" t="s">
        <v>1216</v>
      </c>
      <c r="C17" s="1296"/>
    </row>
    <row r="18" spans="1:3">
      <c r="A18" s="6" t="s">
        <v>87</v>
      </c>
      <c r="B18" s="2356" t="s">
        <v>2210</v>
      </c>
      <c r="C18" s="1296"/>
    </row>
    <row r="19" spans="1:3">
      <c r="A19" s="6" t="s">
        <v>88</v>
      </c>
      <c r="B19" s="2356" t="s">
        <v>2217</v>
      </c>
      <c r="C19" s="1296"/>
    </row>
    <row r="20" spans="1:3">
      <c r="A20" s="6" t="s">
        <v>89</v>
      </c>
      <c r="B20" s="2356" t="s">
        <v>2257</v>
      </c>
      <c r="C20" s="1296"/>
    </row>
    <row r="21" spans="1:3">
      <c r="A21" s="6" t="s">
        <v>90</v>
      </c>
      <c r="B21" s="6" t="s">
        <v>2435</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2"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c r="D53" s="1469"/>
      <c r="E53" s="1469"/>
    </row>
    <row r="54" spans="1:5">
      <c r="A54" s="3442"/>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2"/>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2"/>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2"/>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2024-09-10T03:10:00Z</dcterms:modified>
</cp:coreProperties>
</file>