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2024-1-0774-顺义仁和土地\"/>
    </mc:Choice>
  </mc:AlternateContent>
  <xr:revisionPtr revIDLastSave="0" documentId="13_ncr:1_{6B70AA66-8710-4B27-99AB-B06A0BC9EFF5}" xr6:coauthVersionLast="47" xr6:coauthVersionMax="47" xr10:uidLastSave="{00000000-0000-0000-0000-000000000000}"/>
  <bookViews>
    <workbookView xWindow="-120" yWindow="-120" windowWidth="21840" windowHeight="13140" tabRatio="875" firstSheet="11"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92" i="35" l="1"/>
  <c r="F92" i="35" s="1"/>
  <c r="D92" i="35"/>
  <c r="AJ8" i="74"/>
  <c r="D119" i="39"/>
  <c r="E119" i="39" s="1"/>
  <c r="F119" i="39" s="1"/>
  <c r="G119" i="39" s="1"/>
  <c r="K15" i="21"/>
  <c r="K5" i="66"/>
  <c r="C15" i="66"/>
  <c r="B15" i="66"/>
  <c r="D15" i="66" l="1"/>
  <c r="G15" i="66" l="1"/>
  <c r="AH7" i="1" l="1"/>
  <c r="E39" i="9"/>
  <c r="G35" i="9" s="1"/>
  <c r="E37" i="9"/>
  <c r="C37" i="9"/>
  <c r="B37" i="9"/>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 i="4"/>
  <c r="D31" i="73" l="1"/>
  <c r="R39" i="72"/>
  <c r="Q39" i="72"/>
  <c r="P39" i="72"/>
  <c r="O39" i="72"/>
  <c r="L39" i="72"/>
  <c r="J39" i="72"/>
  <c r="I39" i="72"/>
  <c r="H39" i="72"/>
  <c r="G39" i="72"/>
  <c r="F39" i="72"/>
  <c r="E39" i="72"/>
  <c r="P38" i="72"/>
  <c r="M38" i="72"/>
  <c r="M39" i="72" s="1"/>
  <c r="M41" i="72" s="1"/>
  <c r="K38" i="72"/>
  <c r="D38" i="72"/>
  <c r="C38" i="72" s="1"/>
  <c r="K37" i="72"/>
  <c r="D37" i="72"/>
  <c r="N36" i="72"/>
  <c r="N39" i="72" s="1"/>
  <c r="K36" i="72"/>
  <c r="D36" i="72"/>
  <c r="K35" i="72"/>
  <c r="D35" i="72"/>
  <c r="K34" i="72"/>
  <c r="D34" i="72"/>
  <c r="K33" i="72"/>
  <c r="C33" i="72" s="1"/>
  <c r="D33" i="72"/>
  <c r="K32" i="72"/>
  <c r="D32" i="72"/>
  <c r="C32" i="72" s="1"/>
  <c r="K31" i="72"/>
  <c r="D31" i="72"/>
  <c r="C31" i="72"/>
  <c r="K30" i="72"/>
  <c r="D30" i="72"/>
  <c r="C30" i="72" s="1"/>
  <c r="K29" i="72"/>
  <c r="D29" i="72"/>
  <c r="C29" i="72" s="1"/>
  <c r="K28" i="72"/>
  <c r="D28" i="72"/>
  <c r="C28" i="72"/>
  <c r="K27" i="72"/>
  <c r="D27" i="72"/>
  <c r="K26" i="72"/>
  <c r="D26" i="72"/>
  <c r="C26" i="72"/>
  <c r="K25" i="72"/>
  <c r="D25" i="72"/>
  <c r="C25" i="72"/>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c r="K13" i="72"/>
  <c r="D13" i="72"/>
  <c r="C13" i="72"/>
  <c r="K12" i="72"/>
  <c r="D12" i="72"/>
  <c r="C12" i="72" s="1"/>
  <c r="K11" i="72"/>
  <c r="D11" i="72"/>
  <c r="C11" i="72" s="1"/>
  <c r="K10" i="72"/>
  <c r="D10" i="72"/>
  <c r="K9" i="72"/>
  <c r="D9" i="72"/>
  <c r="C9" i="72" s="1"/>
  <c r="K8" i="72"/>
  <c r="D8" i="72"/>
  <c r="C8" i="72" s="1"/>
  <c r="K7" i="72"/>
  <c r="D7" i="72"/>
  <c r="C7" i="72" s="1"/>
  <c r="K6" i="72"/>
  <c r="D6" i="72"/>
  <c r="C6" i="72" s="1"/>
  <c r="K5" i="72"/>
  <c r="D5" i="72"/>
  <c r="C5" i="72"/>
  <c r="K4" i="72"/>
  <c r="D4" i="72"/>
  <c r="C4" i="72"/>
  <c r="C37" i="72" l="1"/>
  <c r="K39" i="72"/>
  <c r="K17" i="72"/>
  <c r="D17" i="72"/>
  <c r="C10" i="72"/>
  <c r="C24" i="72"/>
  <c r="C34" i="72"/>
  <c r="C39" i="72" s="1"/>
  <c r="C36" i="72"/>
  <c r="K16" i="72"/>
  <c r="C16" i="72" s="1"/>
  <c r="C17" i="72" s="1"/>
  <c r="AT13" i="3"/>
  <c r="D39" i="72"/>
  <c r="C27" i="72"/>
  <c r="C35" i="72"/>
  <c r="M13" i="3"/>
  <c r="M19" i="72"/>
  <c r="Q19" i="72"/>
  <c r="G14" i="65"/>
  <c r="F14" i="65"/>
  <c r="E14" i="65"/>
  <c r="G13" i="65"/>
  <c r="F13" i="65"/>
  <c r="E13" i="65"/>
  <c r="G15" i="65"/>
  <c r="F15" i="65"/>
  <c r="E15" i="65"/>
  <c r="C41"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s="1"/>
  <c r="C85" i="59"/>
  <c r="C84" i="59" s="1"/>
  <c r="B85" i="59"/>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AB37" i="59" s="1"/>
  <c r="P37" i="59"/>
  <c r="O37" i="59"/>
  <c r="N37" i="59"/>
  <c r="Q36" i="59"/>
  <c r="P36" i="59"/>
  <c r="O36" i="59"/>
  <c r="N36" i="59"/>
  <c r="Q35" i="59"/>
  <c r="AB35" i="59" s="1"/>
  <c r="P35" i="59"/>
  <c r="O35" i="59"/>
  <c r="N35" i="59"/>
  <c r="Q34" i="59"/>
  <c r="P34" i="59"/>
  <c r="O34" i="59"/>
  <c r="N34" i="59"/>
  <c r="D34" i="59"/>
  <c r="Q33" i="59"/>
  <c r="P33" i="59"/>
  <c r="O33" i="59"/>
  <c r="N33" i="59"/>
  <c r="Q32" i="59"/>
  <c r="P32" i="59"/>
  <c r="O32" i="59"/>
  <c r="N32" i="59"/>
  <c r="Q31" i="59"/>
  <c r="P31" i="59"/>
  <c r="O31" i="59"/>
  <c r="N31" i="59"/>
  <c r="Q30" i="59"/>
  <c r="F31" i="59"/>
  <c r="P30" i="59"/>
  <c r="O30" i="59"/>
  <c r="N30" i="59"/>
  <c r="D30" i="59"/>
  <c r="E31" i="59"/>
  <c r="S69" i="59"/>
  <c r="D47" i="59"/>
  <c r="Q68" i="59"/>
  <c r="C68" i="59"/>
  <c r="D68" i="59" s="1"/>
  <c r="C72" i="59"/>
  <c r="C71" i="59" s="1"/>
  <c r="D71" i="59" s="1"/>
  <c r="C80" i="59"/>
  <c r="D80" i="59" s="1"/>
  <c r="D81" i="59"/>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A381" i="3" s="1"/>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G337" i="3" s="1"/>
  <c r="H337" i="3"/>
  <c r="BT336" i="3"/>
  <c r="BS336" i="3"/>
  <c r="BR336" i="3"/>
  <c r="BQ336" i="3"/>
  <c r="BP336" i="3"/>
  <c r="BO336" i="3"/>
  <c r="BN336" i="3"/>
  <c r="BM336" i="3"/>
  <c r="BK336" i="3"/>
  <c r="BJ336" i="3"/>
  <c r="BI336" i="3"/>
  <c r="BH336" i="3"/>
  <c r="BG336" i="3"/>
  <c r="BF336" i="3"/>
  <c r="BE336" i="3"/>
  <c r="BA336" i="3" s="1"/>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L313" i="3" s="1"/>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A310" i="3" s="1"/>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L303" i="3" s="1"/>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c r="R43" i="3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s="1"/>
  <c r="R119" i="31"/>
  <c r="S119" i="31" s="1"/>
  <c r="R120" i="31"/>
  <c r="S120" i="31" s="1"/>
  <c r="R121" i="31"/>
  <c r="R122" i="31"/>
  <c r="S122" i="31" s="1"/>
  <c r="R123" i="31"/>
  <c r="R124" i="31"/>
  <c r="S124" i="31" s="1"/>
  <c r="R125" i="31"/>
  <c r="S125" i="31" s="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R372" i="31"/>
  <c r="R373" i="31"/>
  <c r="R374" i="31"/>
  <c r="R375" i="3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R404" i="31"/>
  <c r="R405" i="31"/>
  <c r="R406" i="31"/>
  <c r="R407" i="3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S477" i="31" s="1"/>
  <c r="R478" i="31"/>
  <c r="R479" i="31"/>
  <c r="R480" i="31"/>
  <c r="R481" i="31"/>
  <c r="R482" i="31"/>
  <c r="R483" i="31"/>
  <c r="R484" i="31"/>
  <c r="R485" i="31"/>
  <c r="S485" i="31" s="1"/>
  <c r="R486" i="31"/>
  <c r="R487" i="31"/>
  <c r="R488" i="31"/>
  <c r="R489" i="31"/>
  <c r="R490" i="31"/>
  <c r="R491" i="31"/>
  <c r="R492" i="31"/>
  <c r="S492" i="31" s="1"/>
  <c r="R493" i="31"/>
  <c r="S493" i="31" s="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7" i="31"/>
  <c r="S406" i="31"/>
  <c r="S405" i="31"/>
  <c r="S404" i="31"/>
  <c r="S403"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5" i="31"/>
  <c r="S374" i="31"/>
  <c r="S373" i="31"/>
  <c r="S372" i="31"/>
  <c r="S371"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3" i="31"/>
  <c r="S497" i="31"/>
  <c r="S496" i="31"/>
  <c r="S495" i="31"/>
  <c r="S494" i="31"/>
  <c r="S491" i="31"/>
  <c r="S490" i="31"/>
  <c r="S489" i="31"/>
  <c r="S488" i="31"/>
  <c r="S487" i="31"/>
  <c r="S486" i="31"/>
  <c r="S484" i="31"/>
  <c r="S483" i="31"/>
  <c r="S482" i="31"/>
  <c r="S481" i="31"/>
  <c r="S480" i="31"/>
  <c r="S479" i="31"/>
  <c r="S478" i="31"/>
  <c r="S476" i="31"/>
  <c r="S475" i="31"/>
  <c r="S474"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7" i="31"/>
  <c r="S45" i="31"/>
  <c r="S43" i="31"/>
  <c r="S41" i="31"/>
  <c r="S39"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A513" i="3" s="1"/>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BL517" i="3" s="1"/>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A520" i="3" s="1"/>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A522" i="3" s="1"/>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L537" i="3" s="1"/>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0" i="36"/>
  <c r="W30" i="36" s="1"/>
  <c r="H30" i="36"/>
  <c r="U30" i="36" s="1"/>
  <c r="F30" i="36"/>
  <c r="C26" i="35"/>
  <c r="J31" i="35"/>
  <c r="H31" i="35"/>
  <c r="F31" i="35"/>
  <c r="AA31" i="35" s="1"/>
  <c r="D87" i="35"/>
  <c r="E87" i="35" s="1"/>
  <c r="F87" i="35" s="1"/>
  <c r="G87" i="35" s="1"/>
  <c r="H87" i="35" s="1"/>
  <c r="H34" i="37"/>
  <c r="AB34" i="37" s="1"/>
  <c r="D101" i="37"/>
  <c r="F34" i="37"/>
  <c r="AA34" i="37" s="1"/>
  <c r="D99" i="37"/>
  <c r="E99" i="37" s="1"/>
  <c r="F99" i="37" s="1"/>
  <c r="G99" i="37" s="1"/>
  <c r="H99" i="37" s="1"/>
  <c r="I99" i="37" s="1"/>
  <c r="J99" i="37" s="1"/>
  <c r="K99" i="37" s="1"/>
  <c r="L99" i="37" s="1"/>
  <c r="M99" i="37" s="1"/>
  <c r="H42" i="34"/>
  <c r="AB42" i="34" s="1"/>
  <c r="J42" i="34"/>
  <c r="F42" i="34"/>
  <c r="J38" i="34"/>
  <c r="AC38" i="34" s="1"/>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D89" i="40"/>
  <c r="E89" i="40" s="1"/>
  <c r="F89" i="40" s="1"/>
  <c r="G89" i="40" s="1"/>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D64" i="36"/>
  <c r="E64" i="36" s="1"/>
  <c r="F64" i="36" s="1"/>
  <c r="G64" i="36" s="1"/>
  <c r="J16" i="36"/>
  <c r="D62" i="36"/>
  <c r="E62" i="36" s="1"/>
  <c r="B59" i="36"/>
  <c r="B57" i="36"/>
  <c r="J12" i="36" s="1"/>
  <c r="AC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J25" i="35" s="1"/>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c r="B96" i="33"/>
  <c r="B94" i="33"/>
  <c r="J29" i="33" s="1"/>
  <c r="B74" i="33"/>
  <c r="B72" i="33"/>
  <c r="H13" i="33" s="1"/>
  <c r="U13" i="33" s="1"/>
  <c r="B70" i="33"/>
  <c r="D96" i="35"/>
  <c r="E96" i="35" s="1"/>
  <c r="F96" i="35" s="1"/>
  <c r="G96" i="35" s="1"/>
  <c r="D94" i="35"/>
  <c r="D84" i="35"/>
  <c r="D80" i="35"/>
  <c r="D72" i="35"/>
  <c r="D70" i="35"/>
  <c r="E70" i="35" s="1"/>
  <c r="F70" i="35" s="1"/>
  <c r="G70" i="35" s="1"/>
  <c r="D66" i="35"/>
  <c r="E66" i="35" s="1"/>
  <c r="D64" i="35"/>
  <c r="E64" i="35" s="1"/>
  <c r="F64" i="35" s="1"/>
  <c r="G64" i="35" s="1"/>
  <c r="C53" i="35"/>
  <c r="H9" i="35" s="1"/>
  <c r="AB9" i="35" s="1"/>
  <c r="P39" i="35"/>
  <c r="P38" i="35"/>
  <c r="V37" i="35"/>
  <c r="T37" i="35"/>
  <c r="R37" i="35"/>
  <c r="P37" i="35"/>
  <c r="Q36" i="35"/>
  <c r="Z36" i="35"/>
  <c r="Q35" i="35"/>
  <c r="Z35" i="35" s="1"/>
  <c r="Q34" i="35"/>
  <c r="Z34" i="35"/>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W40" i="33" s="1"/>
  <c r="AC40" i="33"/>
  <c r="H40" i="33"/>
  <c r="Q39" i="33"/>
  <c r="Z39" i="33" s="1"/>
  <c r="J39" i="33"/>
  <c r="W39" i="33" s="1"/>
  <c r="Q38" i="33"/>
  <c r="Z38" i="33" s="1"/>
  <c r="J38" i="33"/>
  <c r="AC38" i="33"/>
  <c r="H38" i="33"/>
  <c r="F38" i="33"/>
  <c r="AA38" i="33"/>
  <c r="Q37" i="33"/>
  <c r="Z37" i="33" s="1"/>
  <c r="Q36" i="33"/>
  <c r="Z36" i="33" s="1"/>
  <c r="Q35" i="33"/>
  <c r="Z35" i="33" s="1"/>
  <c r="H35" i="33"/>
  <c r="AB35" i="33"/>
  <c r="Q34" i="33"/>
  <c r="Z34" i="33" s="1"/>
  <c r="Q33" i="33"/>
  <c r="Z33" i="33"/>
  <c r="J33" i="33"/>
  <c r="H33" i="33"/>
  <c r="AB33" i="33"/>
  <c r="F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AC8" i="33" s="1"/>
  <c r="W8" i="33"/>
  <c r="H8" i="33"/>
  <c r="F8" i="33"/>
  <c r="S8" i="33" s="1"/>
  <c r="M102" i="21"/>
  <c r="D102" i="21"/>
  <c r="E102" i="21"/>
  <c r="F102" i="21"/>
  <c r="G102" i="21"/>
  <c r="H102" i="21"/>
  <c r="I102" i="21"/>
  <c r="J102" i="21"/>
  <c r="K102" i="21"/>
  <c r="L102" i="21"/>
  <c r="C102" i="21"/>
  <c r="C63" i="21"/>
  <c r="F9" i="21" s="1"/>
  <c r="S9" i="21" s="1"/>
  <c r="G18" i="20"/>
  <c r="B90" i="46"/>
  <c r="C25" i="40"/>
  <c r="G16" i="20"/>
  <c r="G15" i="20"/>
  <c r="C17" i="40" s="1"/>
  <c r="B83" i="46"/>
  <c r="C24" i="20"/>
  <c r="B75" i="46" s="1"/>
  <c r="C21" i="20"/>
  <c r="B76" i="46" s="1"/>
  <c r="C20" i="20"/>
  <c r="B69" i="46" s="1"/>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B98" i="21"/>
  <c r="B96" i="21"/>
  <c r="B94" i="21"/>
  <c r="H29" i="21" s="1"/>
  <c r="B92" i="21"/>
  <c r="B90" i="21"/>
  <c r="J27" i="21" s="1"/>
  <c r="W27" i="21" s="1"/>
  <c r="B74" i="21"/>
  <c r="H14" i="21" s="1"/>
  <c r="B72" i="21"/>
  <c r="B70" i="21"/>
  <c r="F12" i="21"/>
  <c r="F10" i="2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c r="Q42" i="21"/>
  <c r="Z42" i="21" s="1"/>
  <c r="Q43" i="21"/>
  <c r="Z43" i="21" s="1"/>
  <c r="Q44" i="21"/>
  <c r="Z44" i="21" s="1"/>
  <c r="Q45" i="21"/>
  <c r="Z45" i="21" s="1"/>
  <c r="Q46" i="21"/>
  <c r="Z46" i="2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N5" i="3"/>
  <c r="O5" i="3"/>
  <c r="P5" i="3"/>
  <c r="Q5" i="3"/>
  <c r="R5" i="3"/>
  <c r="S5" i="3"/>
  <c r="T5" i="3"/>
  <c r="U5" i="3"/>
  <c r="V5" i="3"/>
  <c r="W5" i="3"/>
  <c r="X5" i="3"/>
  <c r="Y5" i="3"/>
  <c r="Z5" i="3"/>
  <c r="AA5" i="3"/>
  <c r="AB5" i="3"/>
  <c r="H570" i="3"/>
  <c r="H571" i="3"/>
  <c r="G571" i="3" s="1"/>
  <c r="H572" i="3"/>
  <c r="G572" i="3" s="1"/>
  <c r="F5" i="3"/>
  <c r="F34" i="21"/>
  <c r="AA34" i="21" s="1"/>
  <c r="H34" i="21"/>
  <c r="F43" i="21"/>
  <c r="AA43" i="21" s="1"/>
  <c r="H38" i="21"/>
  <c r="AB38" i="21" s="1"/>
  <c r="H43" i="21"/>
  <c r="F38" i="21"/>
  <c r="F39" i="21"/>
  <c r="AA39" i="21" s="1"/>
  <c r="J40" i="21"/>
  <c r="W40" i="21" s="1"/>
  <c r="J8" i="21"/>
  <c r="AC8" i="21" s="1"/>
  <c r="J9" i="21"/>
  <c r="AC9" i="21" s="1"/>
  <c r="H8" i="21"/>
  <c r="U8" i="21" s="1"/>
  <c r="H9" i="21"/>
  <c r="H10" i="21"/>
  <c r="U10" i="21" s="1"/>
  <c r="H39" i="21"/>
  <c r="AB39" i="21" s="1"/>
  <c r="J34" i="21"/>
  <c r="W34" i="21" s="1"/>
  <c r="H36" i="21"/>
  <c r="U36" i="21" s="1"/>
  <c r="F35" i="21"/>
  <c r="AA35" i="21" s="1"/>
  <c r="J33" i="21"/>
  <c r="W33" i="21" s="1"/>
  <c r="H33" i="21"/>
  <c r="U33" i="21" s="1"/>
  <c r="F33" i="21"/>
  <c r="AA33" i="21" s="1"/>
  <c r="J10" i="21"/>
  <c r="W10" i="21" s="1"/>
  <c r="H26" i="21"/>
  <c r="AB26" i="21" s="1"/>
  <c r="J12" i="21"/>
  <c r="H12" i="21"/>
  <c r="J26" i="21"/>
  <c r="F26" i="21"/>
  <c r="AB41" i="21"/>
  <c r="AA41" i="21"/>
  <c r="W41" i="21"/>
  <c r="S10" i="39"/>
  <c r="E103" i="37"/>
  <c r="F103" i="37" s="1"/>
  <c r="G103" i="37" s="1"/>
  <c r="H103" i="37" s="1"/>
  <c r="I103" i="37" s="1"/>
  <c r="J103" i="37" s="1"/>
  <c r="K103" i="37" s="1"/>
  <c r="L103" i="37" s="1"/>
  <c r="M103" i="37" s="1"/>
  <c r="F29" i="36"/>
  <c r="AA29" i="36" s="1"/>
  <c r="F16" i="36"/>
  <c r="AA16" i="36" s="1"/>
  <c r="U26" i="36"/>
  <c r="S31" i="35"/>
  <c r="F36" i="34"/>
  <c r="S36" i="34" s="1"/>
  <c r="H39" i="33"/>
  <c r="U33" i="33"/>
  <c r="W38" i="33"/>
  <c r="W10" i="40"/>
  <c r="U11" i="40"/>
  <c r="U36" i="40"/>
  <c r="U36" i="39"/>
  <c r="H32" i="33"/>
  <c r="AB32" i="33" s="1"/>
  <c r="J27" i="36"/>
  <c r="W27" i="36" s="1"/>
  <c r="J30" i="35"/>
  <c r="W30" i="35" s="1"/>
  <c r="F22" i="35"/>
  <c r="H10" i="35"/>
  <c r="U10" i="35" s="1"/>
  <c r="J29" i="36"/>
  <c r="AC29" i="36" s="1"/>
  <c r="H33" i="35"/>
  <c r="AB33" i="35" s="1"/>
  <c r="F35" i="37"/>
  <c r="E101" i="37"/>
  <c r="F101" i="37" s="1"/>
  <c r="G101" i="37" s="1"/>
  <c r="H101" i="37" s="1"/>
  <c r="I101" i="37" s="1"/>
  <c r="J101" i="37" s="1"/>
  <c r="K101" i="37" s="1"/>
  <c r="L101" i="37" s="1"/>
  <c r="M101" i="37" s="1"/>
  <c r="J34" i="37"/>
  <c r="H43" i="34"/>
  <c r="U42" i="34"/>
  <c r="H36" i="34"/>
  <c r="F37" i="34"/>
  <c r="AA37" i="34"/>
  <c r="F33" i="34"/>
  <c r="S33" i="34" s="1"/>
  <c r="F19" i="34"/>
  <c r="AA19" i="34" s="1"/>
  <c r="J10" i="34"/>
  <c r="AC10" i="34" s="1"/>
  <c r="J28" i="34"/>
  <c r="W28" i="34" s="1"/>
  <c r="S38" i="33"/>
  <c r="F36" i="33"/>
  <c r="S36" i="33" s="1"/>
  <c r="F19" i="33"/>
  <c r="S19" i="33" s="1"/>
  <c r="J19" i="33"/>
  <c r="AC19" i="33" s="1"/>
  <c r="F125" i="21"/>
  <c r="G125" i="21" s="1"/>
  <c r="AB30" i="36"/>
  <c r="H29" i="35"/>
  <c r="S34" i="37"/>
  <c r="AB40" i="34"/>
  <c r="W36" i="34"/>
  <c r="J19" i="34"/>
  <c r="AC19" i="34" s="1"/>
  <c r="H37" i="33"/>
  <c r="AB37" i="33" s="1"/>
  <c r="W38" i="34"/>
  <c r="S38" i="34"/>
  <c r="J37" i="33"/>
  <c r="J42" i="21"/>
  <c r="AC42" i="21" s="1"/>
  <c r="J44" i="34"/>
  <c r="F44" i="34"/>
  <c r="J10" i="35"/>
  <c r="W10" i="35" s="1"/>
  <c r="AL5" i="3"/>
  <c r="BQ13" i="3"/>
  <c r="H28" i="21"/>
  <c r="AB28" i="21"/>
  <c r="F28" i="21"/>
  <c r="J28" i="21"/>
  <c r="AC28" i="21" s="1"/>
  <c r="J44" i="21"/>
  <c r="AC44" i="21" s="1"/>
  <c r="H44" i="21"/>
  <c r="AB44" i="21" s="1"/>
  <c r="U44" i="21"/>
  <c r="F44" i="21"/>
  <c r="AA44" i="21" s="1"/>
  <c r="H28" i="33"/>
  <c r="F28" i="33"/>
  <c r="AA28" i="33" s="1"/>
  <c r="J28" i="33"/>
  <c r="W28" i="33" s="1"/>
  <c r="F33" i="35"/>
  <c r="S33" i="35" s="1"/>
  <c r="J33" i="35"/>
  <c r="F30" i="35"/>
  <c r="H10" i="36"/>
  <c r="AB10" i="36" s="1"/>
  <c r="F28" i="36"/>
  <c r="F27" i="36"/>
  <c r="F27" i="21"/>
  <c r="AA27" i="21" s="1"/>
  <c r="J31" i="33"/>
  <c r="AC31" i="33" s="1"/>
  <c r="H31" i="33"/>
  <c r="U31" i="33" s="1"/>
  <c r="F11" i="35"/>
  <c r="H28" i="36"/>
  <c r="H13" i="36"/>
  <c r="AB13" i="36" s="1"/>
  <c r="J13" i="36"/>
  <c r="W13" i="36" s="1"/>
  <c r="F13" i="36"/>
  <c r="S13" i="36" s="1"/>
  <c r="E89" i="37"/>
  <c r="F89" i="37" s="1"/>
  <c r="G89" i="37" s="1"/>
  <c r="H89" i="37" s="1"/>
  <c r="I89" i="37" s="1"/>
  <c r="J89" i="37" s="1"/>
  <c r="K89" i="37" s="1"/>
  <c r="L89" i="37" s="1"/>
  <c r="M89" i="37" s="1"/>
  <c r="J29" i="37"/>
  <c r="F29" i="37"/>
  <c r="AA29" i="37" s="1"/>
  <c r="AB36" i="37"/>
  <c r="J37" i="37"/>
  <c r="AC37" i="37" s="1"/>
  <c r="H37" i="37"/>
  <c r="H40" i="37"/>
  <c r="U40" i="37" s="1"/>
  <c r="J40" i="37"/>
  <c r="F40" i="37"/>
  <c r="AA40" i="37"/>
  <c r="H14" i="33"/>
  <c r="U14" i="33" s="1"/>
  <c r="F14" i="33"/>
  <c r="AA14" i="33" s="1"/>
  <c r="J14" i="33"/>
  <c r="AC14" i="33" s="1"/>
  <c r="F30" i="33"/>
  <c r="F13" i="34"/>
  <c r="J29" i="34"/>
  <c r="AC29" i="34" s="1"/>
  <c r="F45" i="34"/>
  <c r="H25" i="35"/>
  <c r="AB25" i="35" s="1"/>
  <c r="H25" i="36"/>
  <c r="F28" i="37"/>
  <c r="AA28" i="37" s="1"/>
  <c r="J28" i="37"/>
  <c r="AC28" i="37" s="1"/>
  <c r="H28" i="37"/>
  <c r="U28" i="37" s="1"/>
  <c r="H38" i="37"/>
  <c r="AB38" i="37" s="1"/>
  <c r="J38" i="37"/>
  <c r="AC38" i="37" s="1"/>
  <c r="F38" i="37"/>
  <c r="S38" i="37" s="1"/>
  <c r="J14" i="37"/>
  <c r="J36" i="37"/>
  <c r="AC36" i="37" s="1"/>
  <c r="U36" i="37"/>
  <c r="U28" i="21"/>
  <c r="G17" i="3"/>
  <c r="G557" i="3"/>
  <c r="G539" i="3"/>
  <c r="BL557" i="3"/>
  <c r="G514" i="3"/>
  <c r="G510" i="3"/>
  <c r="BA487" i="3"/>
  <c r="BA516" i="3"/>
  <c r="AC542" i="3"/>
  <c r="G542" i="3" s="1"/>
  <c r="BQ542" i="3"/>
  <c r="BQ568" i="3"/>
  <c r="BQ566" i="3"/>
  <c r="BQ564" i="3"/>
  <c r="BQ562" i="3"/>
  <c r="BQ560" i="3"/>
  <c r="BQ558" i="3"/>
  <c r="BQ556" i="3"/>
  <c r="BQ554" i="3"/>
  <c r="BQ552" i="3"/>
  <c r="BQ550" i="3"/>
  <c r="BQ548" i="3"/>
  <c r="BQ546" i="3"/>
  <c r="BQ544" i="3"/>
  <c r="G534" i="3"/>
  <c r="G526" i="3"/>
  <c r="BQ540" i="3"/>
  <c r="BQ538" i="3"/>
  <c r="BQ536" i="3"/>
  <c r="BQ534" i="3"/>
  <c r="BQ532" i="3"/>
  <c r="BQ530" i="3"/>
  <c r="BQ528" i="3"/>
  <c r="BQ526" i="3"/>
  <c r="BQ524" i="3"/>
  <c r="BQ522" i="3"/>
  <c r="BQ520" i="3"/>
  <c r="BQ518" i="3"/>
  <c r="BQ516" i="3"/>
  <c r="BQ514" i="3"/>
  <c r="BQ512" i="3"/>
  <c r="BL512" i="3" s="1"/>
  <c r="BQ510" i="3"/>
  <c r="BQ508" i="3"/>
  <c r="AC506" i="3"/>
  <c r="G506" i="3" s="1"/>
  <c r="BQ506" i="3"/>
  <c r="BQ504" i="3"/>
  <c r="BQ502" i="3"/>
  <c r="BQ500" i="3"/>
  <c r="BL500" i="3" s="1"/>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S36" i="37" s="1"/>
  <c r="F37" i="37"/>
  <c r="H42" i="33"/>
  <c r="U42" i="33" s="1"/>
  <c r="J43" i="33"/>
  <c r="AC43" i="33" s="1"/>
  <c r="J23" i="37"/>
  <c r="W23" i="37" s="1"/>
  <c r="F17" i="37"/>
  <c r="AA17" i="37" s="1"/>
  <c r="AC36" i="34"/>
  <c r="F43" i="33"/>
  <c r="AA43" i="33"/>
  <c r="H19" i="34"/>
  <c r="U19" i="34" s="1"/>
  <c r="AB19" i="34"/>
  <c r="J10" i="37"/>
  <c r="AC10" i="37" s="1"/>
  <c r="F11" i="37"/>
  <c r="S11" i="37" s="1"/>
  <c r="H12" i="37"/>
  <c r="H15" i="37"/>
  <c r="E94" i="37"/>
  <c r="F94" i="37" s="1"/>
  <c r="G94" i="37" s="1"/>
  <c r="H94" i="37" s="1"/>
  <c r="I94" i="37" s="1"/>
  <c r="J94" i="37" s="1"/>
  <c r="K94" i="37" s="1"/>
  <c r="L94" i="37" s="1"/>
  <c r="M94" i="37" s="1"/>
  <c r="F31" i="37"/>
  <c r="H31" i="37"/>
  <c r="J15" i="37"/>
  <c r="W15" i="37" s="1"/>
  <c r="J11" i="37"/>
  <c r="F21" i="40"/>
  <c r="S21" i="40" s="1"/>
  <c r="J21" i="40"/>
  <c r="S27" i="31"/>
  <c r="G483" i="3"/>
  <c r="G501" i="3"/>
  <c r="BA15" i="3"/>
  <c r="BL17" i="3"/>
  <c r="J57" i="39"/>
  <c r="H13" i="40"/>
  <c r="U13" i="40" s="1"/>
  <c r="I4" i="4"/>
  <c r="K141" i="21"/>
  <c r="K143" i="21"/>
  <c r="K144" i="21"/>
  <c r="I58" i="40"/>
  <c r="C58" i="40" s="1"/>
  <c r="I59" i="40"/>
  <c r="C59" i="40" s="1"/>
  <c r="G297" i="3"/>
  <c r="BL298" i="3"/>
  <c r="G299" i="3"/>
  <c r="BL300" i="3"/>
  <c r="BA302" i="3"/>
  <c r="BA303" i="3"/>
  <c r="BA305" i="3"/>
  <c r="G321" i="3"/>
  <c r="G323" i="3"/>
  <c r="BL324" i="3"/>
  <c r="BA326" i="3"/>
  <c r="BL338" i="3"/>
  <c r="G339"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491" i="3"/>
  <c r="BA298" i="3"/>
  <c r="BA299" i="3"/>
  <c r="BL299" i="3"/>
  <c r="G300" i="3"/>
  <c r="BL307" i="3"/>
  <c r="G308" i="3"/>
  <c r="BL320" i="3"/>
  <c r="BA322" i="3"/>
  <c r="G324" i="3"/>
  <c r="G327" i="3"/>
  <c r="G332" i="3"/>
  <c r="G335" i="3"/>
  <c r="BL336" i="3"/>
  <c r="BA338" i="3"/>
  <c r="BA339" i="3"/>
  <c r="BL339" i="3"/>
  <c r="G340" i="3"/>
  <c r="G343"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G374" i="3"/>
  <c r="G377" i="3"/>
  <c r="BL378" i="3"/>
  <c r="BL381" i="3"/>
  <c r="G385" i="3"/>
  <c r="G523" i="3"/>
  <c r="BL297" i="3"/>
  <c r="G298" i="3"/>
  <c r="BA300" i="3"/>
  <c r="BL301" i="3"/>
  <c r="G302" i="3"/>
  <c r="BL305" i="3"/>
  <c r="G306" i="3"/>
  <c r="BA308" i="3"/>
  <c r="G310" i="3"/>
  <c r="G312" i="3"/>
  <c r="BA312" i="3"/>
  <c r="G314" i="3"/>
  <c r="BA314" i="3"/>
  <c r="BL315" i="3"/>
  <c r="G316" i="3"/>
  <c r="G318" i="3"/>
  <c r="BA320" i="3"/>
  <c r="G322" i="3"/>
  <c r="BA324" i="3"/>
  <c r="G326" i="3"/>
  <c r="G330" i="3"/>
  <c r="G334" i="3"/>
  <c r="G338" i="3"/>
  <c r="BA340" i="3"/>
  <c r="BL341" i="3"/>
  <c r="G342" i="3"/>
  <c r="BA344" i="3"/>
  <c r="BL345" i="3"/>
  <c r="BL349" i="3"/>
  <c r="G350" i="3"/>
  <c r="BA352" i="3"/>
  <c r="BL353" i="3"/>
  <c r="G354" i="3"/>
  <c r="BA356" i="3"/>
  <c r="AZ356" i="3" s="1"/>
  <c r="BL357" i="3"/>
  <c r="G358" i="3"/>
  <c r="BA362" i="3"/>
  <c r="BL363" i="3"/>
  <c r="G364" i="3"/>
  <c r="BA366" i="3"/>
  <c r="BL367" i="3"/>
  <c r="G368" i="3"/>
  <c r="BA370" i="3"/>
  <c r="BL371" i="3"/>
  <c r="G372" i="3"/>
  <c r="BA374" i="3"/>
  <c r="BL375" i="3"/>
  <c r="G376" i="3"/>
  <c r="BA378" i="3"/>
  <c r="G380" i="3"/>
  <c r="BA382" i="3"/>
  <c r="G384" i="3"/>
  <c r="F37" i="46"/>
  <c r="F77" i="40"/>
  <c r="G77" i="40" s="1"/>
  <c r="H77" i="40" s="1"/>
  <c r="I77" i="40" s="1"/>
  <c r="J77" i="40" s="1"/>
  <c r="K77" i="40" s="1"/>
  <c r="L77" i="40" s="1"/>
  <c r="M77" i="40" s="1"/>
  <c r="BH5" i="3"/>
  <c r="R16" i="4"/>
  <c r="D3" i="35"/>
  <c r="G4" i="4"/>
  <c r="S37" i="34"/>
  <c r="AZ354" i="3"/>
  <c r="H11" i="37"/>
  <c r="W37" i="37"/>
  <c r="AA36" i="37"/>
  <c r="U32" i="33"/>
  <c r="J33" i="34"/>
  <c r="J40" i="34"/>
  <c r="W42" i="33"/>
  <c r="J35" i="34"/>
  <c r="F107" i="34"/>
  <c r="G107" i="34" s="1"/>
  <c r="H107" i="34" s="1"/>
  <c r="I107" i="34" s="1"/>
  <c r="J107" i="34" s="1"/>
  <c r="K107" i="34" s="1"/>
  <c r="L107" i="34" s="1"/>
  <c r="M107" i="34" s="1"/>
  <c r="H16" i="36"/>
  <c r="AB16" i="36" s="1"/>
  <c r="H35" i="37"/>
  <c r="AB35" i="37" s="1"/>
  <c r="H32" i="21"/>
  <c r="U32" i="21" s="1"/>
  <c r="F40" i="21"/>
  <c r="S40" i="21" s="1"/>
  <c r="H40" i="21"/>
  <c r="AA8" i="33"/>
  <c r="F10" i="33"/>
  <c r="AA10" i="33" s="1"/>
  <c r="F11" i="33"/>
  <c r="S11" i="33" s="1"/>
  <c r="J15" i="33"/>
  <c r="W15" i="33" s="1"/>
  <c r="H19" i="33"/>
  <c r="AB19" i="33" s="1"/>
  <c r="F32" i="33"/>
  <c r="AA32" i="33"/>
  <c r="J32" i="33"/>
  <c r="F35" i="33"/>
  <c r="F11" i="34"/>
  <c r="H17" i="34"/>
  <c r="AC27" i="34"/>
  <c r="W27" i="34"/>
  <c r="J13" i="33"/>
  <c r="J12" i="34"/>
  <c r="H12" i="34"/>
  <c r="F12" i="34"/>
  <c r="S12" i="34" s="1"/>
  <c r="H30" i="34"/>
  <c r="AB30" i="34" s="1"/>
  <c r="F30" i="34"/>
  <c r="AA30" i="34" s="1"/>
  <c r="J30" i="34"/>
  <c r="W30" i="34" s="1"/>
  <c r="H46" i="34"/>
  <c r="AB46" i="34" s="1"/>
  <c r="F46" i="34"/>
  <c r="AA46" i="34" s="1"/>
  <c r="J46" i="34"/>
  <c r="AC46" i="34" s="1"/>
  <c r="H11" i="35"/>
  <c r="J11" i="35"/>
  <c r="AC11" i="35" s="1"/>
  <c r="H32" i="37"/>
  <c r="F19" i="39"/>
  <c r="S19" i="39" s="1"/>
  <c r="H19" i="39"/>
  <c r="J19" i="39"/>
  <c r="W19" i="39" s="1"/>
  <c r="F43" i="39"/>
  <c r="AA43" i="39" s="1"/>
  <c r="H43" i="39"/>
  <c r="U43" i="39" s="1"/>
  <c r="J43" i="39"/>
  <c r="W43" i="39" s="1"/>
  <c r="U25" i="35"/>
  <c r="AC40" i="37"/>
  <c r="W40" i="37"/>
  <c r="S28" i="33"/>
  <c r="W19" i="33"/>
  <c r="U43" i="34"/>
  <c r="AB43" i="34"/>
  <c r="F42" i="21"/>
  <c r="AA42" i="21" s="1"/>
  <c r="AB40" i="33"/>
  <c r="U40" i="33"/>
  <c r="S35" i="34"/>
  <c r="H27" i="34"/>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B27" i="36" s="1"/>
  <c r="AC26" i="37"/>
  <c r="W26" i="37"/>
  <c r="AB29" i="37"/>
  <c r="W31" i="37"/>
  <c r="F17" i="39"/>
  <c r="AA17" i="39" s="1"/>
  <c r="H17" i="39"/>
  <c r="U17" i="39" s="1"/>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F39" i="39"/>
  <c r="S39" i="39" s="1"/>
  <c r="H39" i="39"/>
  <c r="AB39" i="39" s="1"/>
  <c r="J39" i="39"/>
  <c r="J29" i="35"/>
  <c r="H37" i="39"/>
  <c r="AB37" i="39" s="1"/>
  <c r="J37" i="39"/>
  <c r="W37" i="39" s="1"/>
  <c r="BA533" i="3"/>
  <c r="BL523" i="3"/>
  <c r="BL515" i="3"/>
  <c r="BA499" i="3"/>
  <c r="BL498" i="3"/>
  <c r="F114" i="34"/>
  <c r="G114" i="34" s="1"/>
  <c r="H114" i="34" s="1"/>
  <c r="I114" i="34" s="1"/>
  <c r="J114" i="34" s="1"/>
  <c r="K114" i="34" s="1"/>
  <c r="L114" i="34" s="1"/>
  <c r="M114" i="34" s="1"/>
  <c r="H38" i="34"/>
  <c r="H30" i="40"/>
  <c r="AB30" i="40" s="1"/>
  <c r="J30" i="40"/>
  <c r="AC30" i="40" s="1"/>
  <c r="F38" i="40"/>
  <c r="AC12" i="21"/>
  <c r="W12" i="21"/>
  <c r="AB33" i="21"/>
  <c r="E106" i="33"/>
  <c r="F106" i="33" s="1"/>
  <c r="G106" i="33" s="1"/>
  <c r="H106" i="33" s="1"/>
  <c r="I106" i="33" s="1"/>
  <c r="J106" i="33" s="1"/>
  <c r="K106" i="33" s="1"/>
  <c r="L106" i="33" s="1"/>
  <c r="M106" i="33" s="1"/>
  <c r="H34" i="33"/>
  <c r="U34" i="33" s="1"/>
  <c r="F34" i="33"/>
  <c r="F41" i="33"/>
  <c r="S41" i="33" s="1"/>
  <c r="AC34" i="34"/>
  <c r="W34" i="34"/>
  <c r="S39" i="34"/>
  <c r="F15" i="34"/>
  <c r="S15" i="34" s="1"/>
  <c r="J20" i="35"/>
  <c r="AC20" i="35" s="1"/>
  <c r="E72" i="35"/>
  <c r="F72" i="35" s="1"/>
  <c r="G72" i="35" s="1"/>
  <c r="H22" i="35"/>
  <c r="AB22" i="35" s="1"/>
  <c r="H23" i="35"/>
  <c r="AB23" i="35" s="1"/>
  <c r="F23" i="35"/>
  <c r="AA23" i="35" s="1"/>
  <c r="W12" i="36"/>
  <c r="AA8" i="37"/>
  <c r="F16" i="39"/>
  <c r="H16" i="39"/>
  <c r="U16" i="39" s="1"/>
  <c r="J16" i="39"/>
  <c r="AC16" i="39" s="1"/>
  <c r="F15" i="40"/>
  <c r="AA15" i="40" s="1"/>
  <c r="J15" i="40"/>
  <c r="W15" i="40" s="1"/>
  <c r="H15" i="40"/>
  <c r="AB15" i="40" s="1"/>
  <c r="E91" i="40"/>
  <c r="F91" i="40" s="1"/>
  <c r="G91" i="40" s="1"/>
  <c r="H23" i="40"/>
  <c r="AB23" i="40" s="1"/>
  <c r="U23" i="40"/>
  <c r="H41" i="40"/>
  <c r="AB41" i="40" s="1"/>
  <c r="F41" i="40"/>
  <c r="S41" i="40" s="1"/>
  <c r="AA41" i="40"/>
  <c r="J41" i="40"/>
  <c r="H36" i="33"/>
  <c r="AB36" i="33" s="1"/>
  <c r="H37" i="34"/>
  <c r="U37" i="34" s="1"/>
  <c r="F15" i="39"/>
  <c r="AA15" i="39" s="1"/>
  <c r="H15" i="39"/>
  <c r="U15" i="39" s="1"/>
  <c r="J15" i="39"/>
  <c r="AC15" i="39" s="1"/>
  <c r="H25" i="39"/>
  <c r="U25" i="39" s="1"/>
  <c r="J25" i="39"/>
  <c r="AC25" i="39" s="1"/>
  <c r="F25" i="39"/>
  <c r="AA25" i="39" s="1"/>
  <c r="F47" i="39"/>
  <c r="AA47" i="39" s="1"/>
  <c r="H47" i="39"/>
  <c r="J47" i="39"/>
  <c r="W47" i="39" s="1"/>
  <c r="F41" i="39"/>
  <c r="AA41" i="39" s="1"/>
  <c r="H41" i="39"/>
  <c r="AB41" i="39" s="1"/>
  <c r="J41" i="39"/>
  <c r="AC41" i="39" s="1"/>
  <c r="J25" i="40"/>
  <c r="AC25" i="40" s="1"/>
  <c r="J32" i="40"/>
  <c r="AC32" i="40" s="1"/>
  <c r="H32" i="40"/>
  <c r="U32" i="40" s="1"/>
  <c r="H33" i="40"/>
  <c r="AB33" i="40" s="1"/>
  <c r="F33" i="40"/>
  <c r="AA33" i="40" s="1"/>
  <c r="J33" i="40"/>
  <c r="AC33" i="40" s="1"/>
  <c r="J35" i="40"/>
  <c r="AC35" i="40" s="1"/>
  <c r="J38" i="39"/>
  <c r="W38" i="39" s="1"/>
  <c r="J14" i="40"/>
  <c r="H42" i="40"/>
  <c r="AB42" i="40" s="1"/>
  <c r="H34" i="40"/>
  <c r="AB34" i="40" s="1"/>
  <c r="U34" i="40"/>
  <c r="B41" i="1"/>
  <c r="F72" i="9" s="1"/>
  <c r="J42" i="40"/>
  <c r="AC42" i="40" s="1"/>
  <c r="H16" i="40"/>
  <c r="AB16" i="40" s="1"/>
  <c r="H14" i="40"/>
  <c r="F32" i="40"/>
  <c r="AA32" i="40" s="1"/>
  <c r="F61" i="46"/>
  <c r="H61" i="46" s="1"/>
  <c r="F72" i="46"/>
  <c r="H74" i="46" s="1"/>
  <c r="J13" i="40"/>
  <c r="W13" i="40" s="1"/>
  <c r="S47" i="39"/>
  <c r="J23" i="40"/>
  <c r="AC23" i="40" s="1"/>
  <c r="F23" i="40"/>
  <c r="S23" i="40" s="1"/>
  <c r="AB16" i="39"/>
  <c r="H20" i="35"/>
  <c r="U20" i="35" s="1"/>
  <c r="F20" i="35"/>
  <c r="S20" i="35" s="1"/>
  <c r="H15" i="34"/>
  <c r="AB15" i="34" s="1"/>
  <c r="J15" i="34"/>
  <c r="H41" i="33"/>
  <c r="U41" i="33" s="1"/>
  <c r="F30" i="40"/>
  <c r="U39" i="39"/>
  <c r="F33" i="37"/>
  <c r="AA33" i="37" s="1"/>
  <c r="AB19" i="39"/>
  <c r="U19" i="39"/>
  <c r="U46" i="34"/>
  <c r="H15" i="33"/>
  <c r="U15" i="33" s="1"/>
  <c r="AA11" i="33"/>
  <c r="H25" i="40"/>
  <c r="AB25" i="40" s="1"/>
  <c r="F93" i="40"/>
  <c r="G93" i="40" s="1"/>
  <c r="J37" i="34"/>
  <c r="W37" i="34" s="1"/>
  <c r="J36" i="33"/>
  <c r="J34" i="33"/>
  <c r="AC34" i="33" s="1"/>
  <c r="U30" i="40"/>
  <c r="U34" i="39"/>
  <c r="F27" i="34"/>
  <c r="S27" i="34" s="1"/>
  <c r="AA19" i="39"/>
  <c r="F32" i="37"/>
  <c r="U11" i="35"/>
  <c r="AB11" i="35"/>
  <c r="G80" i="34"/>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K7" i="1"/>
  <c r="M7" i="1" s="1"/>
  <c r="AP6" i="1"/>
  <c r="M20" i="44"/>
  <c r="S8" i="36"/>
  <c r="H20" i="36"/>
  <c r="U20" i="36" s="1"/>
  <c r="F68" i="36"/>
  <c r="G68" i="36" s="1"/>
  <c r="J20" i="36"/>
  <c r="AC20" i="36" s="1"/>
  <c r="F20" i="36"/>
  <c r="S20" i="36"/>
  <c r="F62" i="36"/>
  <c r="G62" i="36" s="1"/>
  <c r="J14" i="36"/>
  <c r="H14" i="36"/>
  <c r="F14" i="36"/>
  <c r="AA14" i="36" s="1"/>
  <c r="U27" i="36"/>
  <c r="U9" i="36"/>
  <c r="U22" i="35"/>
  <c r="AC18" i="35"/>
  <c r="W18" i="35"/>
  <c r="AA9" i="37"/>
  <c r="W28" i="37"/>
  <c r="J33" i="37"/>
  <c r="W33" i="37" s="1"/>
  <c r="J19" i="37"/>
  <c r="AC19" i="37" s="1"/>
  <c r="G75" i="37"/>
  <c r="F19" i="37"/>
  <c r="AA19" i="37" s="1"/>
  <c r="H19" i="37"/>
  <c r="J17" i="37"/>
  <c r="AC17" i="37" s="1"/>
  <c r="S15" i="37"/>
  <c r="AC21" i="37"/>
  <c r="W21" i="37"/>
  <c r="W32" i="37"/>
  <c r="AB21" i="37"/>
  <c r="U21" i="37"/>
  <c r="S40" i="37"/>
  <c r="AA11" i="37"/>
  <c r="W46" i="34"/>
  <c r="AA40" i="34"/>
  <c r="AB33" i="34"/>
  <c r="AA12" i="34"/>
  <c r="U34" i="34"/>
  <c r="J25" i="34"/>
  <c r="W25" i="34" s="1"/>
  <c r="H25" i="34"/>
  <c r="U25" i="34" s="1"/>
  <c r="F25" i="34"/>
  <c r="J23" i="34"/>
  <c r="F23" i="34"/>
  <c r="AA23" i="34" s="1"/>
  <c r="H23" i="34"/>
  <c r="U23" i="34" s="1"/>
  <c r="U11" i="34"/>
  <c r="W29" i="34"/>
  <c r="AC21" i="34"/>
  <c r="W21" i="34"/>
  <c r="AB21" i="34"/>
  <c r="U21" i="34"/>
  <c r="AA41" i="34"/>
  <c r="AB41" i="33"/>
  <c r="U36" i="33"/>
  <c r="AC35" i="33"/>
  <c r="W31" i="33"/>
  <c r="W43" i="33"/>
  <c r="U35" i="33"/>
  <c r="H25" i="33"/>
  <c r="J25" i="33"/>
  <c r="F25" i="33"/>
  <c r="AA25" i="33" s="1"/>
  <c r="F85" i="33"/>
  <c r="G85" i="33" s="1"/>
  <c r="J23" i="33"/>
  <c r="F23" i="33"/>
  <c r="H23" i="33"/>
  <c r="AB23" i="33" s="1"/>
  <c r="U19" i="33"/>
  <c r="F17" i="33"/>
  <c r="S17" i="33" s="1"/>
  <c r="H17" i="33"/>
  <c r="U17" i="33" s="1"/>
  <c r="J17" i="33"/>
  <c r="AC17" i="33" s="1"/>
  <c r="AC11" i="33"/>
  <c r="S14" i="33"/>
  <c r="AC21" i="33"/>
  <c r="W21" i="33"/>
  <c r="W14" i="33"/>
  <c r="AB21" i="33"/>
  <c r="U21" i="33"/>
  <c r="AA21" i="33"/>
  <c r="S21" i="33"/>
  <c r="AA44" i="33"/>
  <c r="AA36" i="33"/>
  <c r="S44" i="21"/>
  <c r="AC21" i="21"/>
  <c r="W21" i="21"/>
  <c r="W44" i="21"/>
  <c r="AB21" i="21"/>
  <c r="U21" i="21"/>
  <c r="U15" i="40"/>
  <c r="S14" i="40"/>
  <c r="S15" i="40"/>
  <c r="AB13" i="40"/>
  <c r="S16" i="40"/>
  <c r="W11" i="40"/>
  <c r="U35" i="40"/>
  <c r="F37" i="40"/>
  <c r="AA37" i="40" s="1"/>
  <c r="J37" i="40"/>
  <c r="AC37" i="40" s="1"/>
  <c r="H37" i="40"/>
  <c r="U37" i="40" s="1"/>
  <c r="G112" i="40"/>
  <c r="H112" i="40" s="1"/>
  <c r="I112" i="40" s="1"/>
  <c r="J112" i="40" s="1"/>
  <c r="K112" i="40" s="1"/>
  <c r="L112" i="40" s="1"/>
  <c r="M112" i="40" s="1"/>
  <c r="F39" i="40"/>
  <c r="S39" i="40" s="1"/>
  <c r="H39" i="40"/>
  <c r="U39" i="40" s="1"/>
  <c r="J39" i="40"/>
  <c r="W38" i="40"/>
  <c r="F29" i="40"/>
  <c r="AA29" i="40" s="1"/>
  <c r="AA23" i="40"/>
  <c r="F87" i="40"/>
  <c r="G87" i="40" s="1"/>
  <c r="F19" i="40"/>
  <c r="AA19" i="40" s="1"/>
  <c r="H19" i="40"/>
  <c r="U19" i="40" s="1"/>
  <c r="J19" i="40"/>
  <c r="W19" i="40" s="1"/>
  <c r="W17" i="40"/>
  <c r="F17" i="40"/>
  <c r="AA17" i="40" s="1"/>
  <c r="H17" i="40"/>
  <c r="U17" i="40" s="1"/>
  <c r="U10" i="40"/>
  <c r="U27" i="40"/>
  <c r="AB27" i="40"/>
  <c r="S11" i="39"/>
  <c r="AA21" i="39"/>
  <c r="AC38" i="39"/>
  <c r="AC21" i="39"/>
  <c r="U11" i="39"/>
  <c r="U31" i="39"/>
  <c r="AB31" i="39"/>
  <c r="D96" i="9"/>
  <c r="A18" i="64"/>
  <c r="B74" i="63" s="1"/>
  <c r="C53" i="10"/>
  <c r="A25" i="64" s="1"/>
  <c r="A18" i="51"/>
  <c r="B14" i="63" s="1"/>
  <c r="BA16" i="3"/>
  <c r="BA17" i="3"/>
  <c r="AZ17" i="3" s="1"/>
  <c r="BL16" i="3"/>
  <c r="G28" i="12"/>
  <c r="D24" i="44"/>
  <c r="D26" i="44"/>
  <c r="F50" i="46"/>
  <c r="H52" i="46" s="1"/>
  <c r="C6" i="46"/>
  <c r="I5" i="48"/>
  <c r="K21" i="46"/>
  <c r="F42" i="46"/>
  <c r="D74" i="46"/>
  <c r="D87" i="46"/>
  <c r="D72" i="46"/>
  <c r="A4" i="64"/>
  <c r="A4" i="51"/>
  <c r="B6" i="63" s="1"/>
  <c r="C51" i="10"/>
  <c r="A9" i="64" s="1"/>
  <c r="H83" i="46"/>
  <c r="H87" i="46"/>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AC27" i="36"/>
  <c r="W28" i="36"/>
  <c r="U13" i="36"/>
  <c r="AA22" i="36"/>
  <c r="AA13" i="36"/>
  <c r="W9" i="36"/>
  <c r="W8" i="36"/>
  <c r="W35" i="37"/>
  <c r="AC33" i="37"/>
  <c r="W38" i="37"/>
  <c r="AB28" i="37"/>
  <c r="AB35" i="34"/>
  <c r="S19" i="34"/>
  <c r="S43" i="33"/>
  <c r="AB42" i="33"/>
  <c r="S15" i="33"/>
  <c r="W25" i="21"/>
  <c r="AA25" i="21"/>
  <c r="S27" i="21"/>
  <c r="AC27" i="21"/>
  <c r="G95" i="40"/>
  <c r="J27" i="40"/>
  <c r="W27" i="40" s="1"/>
  <c r="W37" i="40"/>
  <c r="W30" i="40"/>
  <c r="U38" i="40"/>
  <c r="S42" i="40"/>
  <c r="G104" i="39"/>
  <c r="J31" i="39"/>
  <c r="W31" i="39" s="1"/>
  <c r="AC46" i="39"/>
  <c r="S34" i="39"/>
  <c r="W42" i="39"/>
  <c r="W36" i="39"/>
  <c r="AC37" i="39"/>
  <c r="S15" i="39"/>
  <c r="W10" i="39"/>
  <c r="U42" i="39"/>
  <c r="S32" i="40"/>
  <c r="C19" i="40"/>
  <c r="C17" i="39"/>
  <c r="C21" i="39"/>
  <c r="C23" i="40"/>
  <c r="B54" i="46"/>
  <c r="B62" i="46"/>
  <c r="B65" i="46"/>
  <c r="B56" i="46"/>
  <c r="B67" i="46"/>
  <c r="D24" i="15"/>
  <c r="AA20" i="36"/>
  <c r="AC14" i="36"/>
  <c r="W14" i="36"/>
  <c r="U14" i="36"/>
  <c r="AB14" i="36"/>
  <c r="S19" i="37"/>
  <c r="W19" i="37"/>
  <c r="AB19" i="37"/>
  <c r="U19" i="37"/>
  <c r="AA25" i="34"/>
  <c r="S25" i="34"/>
  <c r="AB23" i="34"/>
  <c r="S23" i="34"/>
  <c r="AC23" i="34"/>
  <c r="W23" i="34"/>
  <c r="U23" i="33"/>
  <c r="W23" i="33"/>
  <c r="AC23" i="33"/>
  <c r="S23" i="33"/>
  <c r="AA23" i="33"/>
  <c r="AB39" i="40"/>
  <c r="AC39" i="40"/>
  <c r="W39" i="40"/>
  <c r="AA39" i="40"/>
  <c r="AB37" i="40"/>
  <c r="S29" i="40"/>
  <c r="AT6" i="3"/>
  <c r="AZ16" i="3"/>
  <c r="E4" i="4"/>
  <c r="B21" i="55" s="1"/>
  <c r="B72" i="63" s="1"/>
  <c r="C4" i="4"/>
  <c r="B20" i="55" s="1"/>
  <c r="B70" i="63" s="1"/>
  <c r="J18" i="36"/>
  <c r="W18" i="36" s="1"/>
  <c r="AC18" i="36"/>
  <c r="L20" i="6"/>
  <c r="C45" i="9"/>
  <c r="B7" i="66" s="1"/>
  <c r="N76" i="9"/>
  <c r="C46" i="9"/>
  <c r="O41" i="9" s="1"/>
  <c r="R8" i="54" s="1"/>
  <c r="B54" i="63" s="1"/>
  <c r="K33" i="9"/>
  <c r="K34" i="9" s="1"/>
  <c r="B8" i="6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N3" i="65"/>
  <c r="N4" i="65"/>
  <c r="N6" i="65"/>
  <c r="F14" i="67"/>
  <c r="E14" i="67"/>
  <c r="B10" i="67"/>
  <c r="J6" i="65"/>
  <c r="E8" i="67"/>
  <c r="I5" i="65"/>
  <c r="B13" i="67"/>
  <c r="E9" i="67"/>
  <c r="F9" i="67"/>
  <c r="E10" i="67"/>
  <c r="F13" i="67"/>
  <c r="N7" i="65"/>
  <c r="B9" i="67"/>
  <c r="F8" i="67"/>
  <c r="E12" i="67"/>
  <c r="B11" i="67"/>
  <c r="F11" i="67"/>
  <c r="E13" i="67"/>
  <c r="B8" i="67"/>
  <c r="B12" i="67"/>
  <c r="I3" i="65"/>
  <c r="E11" i="67"/>
  <c r="B14" i="67"/>
  <c r="F10" i="67"/>
  <c r="N5" i="65"/>
  <c r="J4" i="65"/>
  <c r="F12" i="67"/>
  <c r="S27" i="35" l="1"/>
  <c r="W11" i="37"/>
  <c r="AC11" i="37"/>
  <c r="AA35" i="37"/>
  <c r="S35" i="37"/>
  <c r="E108" i="21"/>
  <c r="F108" i="21" s="1"/>
  <c r="G108" i="21" s="1"/>
  <c r="H108" i="21" s="1"/>
  <c r="I108" i="21" s="1"/>
  <c r="J108" i="21" s="1"/>
  <c r="K108" i="21" s="1"/>
  <c r="L108" i="21" s="1"/>
  <c r="M108" i="21" s="1"/>
  <c r="H35" i="21"/>
  <c r="AB35" i="21" s="1"/>
  <c r="U38" i="33"/>
  <c r="AB38" i="33"/>
  <c r="AC39" i="33"/>
  <c r="J36" i="35"/>
  <c r="H36" i="35"/>
  <c r="F36" i="35"/>
  <c r="S36" i="35" s="1"/>
  <c r="U27" i="35"/>
  <c r="AB27" i="35"/>
  <c r="U8" i="36"/>
  <c r="AB22" i="36"/>
  <c r="AB31" i="36"/>
  <c r="U31" i="36"/>
  <c r="F33" i="39"/>
  <c r="H33" i="39"/>
  <c r="U33" i="39" s="1"/>
  <c r="E100" i="39"/>
  <c r="J27" i="39"/>
  <c r="AC27" i="39" s="1"/>
  <c r="AB27" i="34"/>
  <c r="U27" i="34"/>
  <c r="W33" i="33"/>
  <c r="AC33" i="33"/>
  <c r="J11" i="36"/>
  <c r="F11" i="36"/>
  <c r="AC12" i="34"/>
  <c r="W12" i="34"/>
  <c r="AA37" i="37"/>
  <c r="S37" i="37"/>
  <c r="U21" i="39"/>
  <c r="W14" i="40"/>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AB13" i="33"/>
  <c r="S32" i="37"/>
  <c r="AA32" i="37"/>
  <c r="AC37" i="34"/>
  <c r="AC15" i="40"/>
  <c r="U14" i="40"/>
  <c r="AB14" i="40"/>
  <c r="H27" i="39"/>
  <c r="AB27" i="39" s="1"/>
  <c r="AA16" i="39"/>
  <c r="S16" i="39"/>
  <c r="AC39" i="39"/>
  <c r="W39" i="39"/>
  <c r="F102" i="39"/>
  <c r="G102" i="39" s="1"/>
  <c r="J29" i="39"/>
  <c r="AC29" i="39" s="1"/>
  <c r="F29" i="39"/>
  <c r="AA29" i="39" s="1"/>
  <c r="F33" i="36"/>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AZ567" i="3" s="1"/>
  <c r="BL547" i="3"/>
  <c r="BA538" i="3"/>
  <c r="BL536" i="3"/>
  <c r="BA536" i="3"/>
  <c r="AZ536" i="3" s="1"/>
  <c r="BA535" i="3"/>
  <c r="BA534" i="3"/>
  <c r="BL533" i="3"/>
  <c r="AZ533" i="3" s="1"/>
  <c r="BA532" i="3"/>
  <c r="AZ532" i="3" s="1"/>
  <c r="BL531" i="3"/>
  <c r="BA530" i="3"/>
  <c r="BL529" i="3"/>
  <c r="BA529" i="3"/>
  <c r="AZ529" i="3" s="1"/>
  <c r="BL528" i="3"/>
  <c r="BL527" i="3"/>
  <c r="BA527" i="3"/>
  <c r="BL525" i="3"/>
  <c r="BA525" i="3"/>
  <c r="BA524" i="3"/>
  <c r="BA523" i="3"/>
  <c r="BL521" i="3"/>
  <c r="BL519" i="3"/>
  <c r="BA519" i="3"/>
  <c r="AZ519" i="3" s="1"/>
  <c r="BA518" i="3"/>
  <c r="BA517" i="3"/>
  <c r="AZ517" i="3" s="1"/>
  <c r="BA515" i="3"/>
  <c r="AZ515" i="3" s="1"/>
  <c r="BA514" i="3"/>
  <c r="BL507" i="3"/>
  <c r="BA507" i="3"/>
  <c r="AZ507" i="3" s="1"/>
  <c r="BA493" i="3"/>
  <c r="BA491" i="3"/>
  <c r="BL489" i="3"/>
  <c r="BA484" i="3"/>
  <c r="AZ484" i="3" s="1"/>
  <c r="AB17" i="34"/>
  <c r="U17" i="34"/>
  <c r="AA42" i="33"/>
  <c r="S42" i="33"/>
  <c r="W42" i="40"/>
  <c r="W33" i="40"/>
  <c r="S28" i="36"/>
  <c r="AA28" i="36"/>
  <c r="F66" i="35"/>
  <c r="G66" i="35" s="1"/>
  <c r="H16" i="35"/>
  <c r="AB16" i="35" s="1"/>
  <c r="J16" i="35"/>
  <c r="W16" i="35" s="1"/>
  <c r="F16" i="35"/>
  <c r="AA16" i="35" s="1"/>
  <c r="F46" i="33"/>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AZ563" i="3" s="1"/>
  <c r="BL561" i="3"/>
  <c r="G560" i="3"/>
  <c r="BL559" i="3"/>
  <c r="G559" i="3"/>
  <c r="BA555" i="3"/>
  <c r="G552" i="3"/>
  <c r="BA550" i="3"/>
  <c r="BL549" i="3"/>
  <c r="AZ549" i="3" s="1"/>
  <c r="BA549" i="3"/>
  <c r="BL548" i="3"/>
  <c r="BA547" i="3"/>
  <c r="BA546" i="3"/>
  <c r="AZ546" i="3" s="1"/>
  <c r="BL545" i="3"/>
  <c r="BA545" i="3"/>
  <c r="AZ545" i="3" s="1"/>
  <c r="G544" i="3"/>
  <c r="BL543" i="3"/>
  <c r="AZ543" i="3" s="1"/>
  <c r="BA543" i="3"/>
  <c r="G543" i="3"/>
  <c r="BL542" i="3"/>
  <c r="BL539" i="3"/>
  <c r="AZ539" i="3" s="1"/>
  <c r="BA537" i="3"/>
  <c r="BL530" i="3"/>
  <c r="BL511" i="3"/>
  <c r="BA511" i="3"/>
  <c r="AZ511" i="3" s="1"/>
  <c r="BL509" i="3"/>
  <c r="BL508" i="3"/>
  <c r="BL506" i="3"/>
  <c r="BA506" i="3"/>
  <c r="AZ506" i="3" s="1"/>
  <c r="BL505" i="3"/>
  <c r="BA505" i="3"/>
  <c r="BA504" i="3"/>
  <c r="BL503" i="3"/>
  <c r="BA503" i="3"/>
  <c r="BL501" i="3"/>
  <c r="BA500" i="3"/>
  <c r="BL499" i="3"/>
  <c r="AZ499" i="3" s="1"/>
  <c r="G499" i="3"/>
  <c r="BA497" i="3"/>
  <c r="BL496" i="3"/>
  <c r="BA496" i="3"/>
  <c r="AZ496" i="3" s="1"/>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G545" i="3"/>
  <c r="BL541" i="3"/>
  <c r="G515" i="3"/>
  <c r="BA14" i="3"/>
  <c r="BA304" i="3"/>
  <c r="BA306" i="3"/>
  <c r="BA307" i="3"/>
  <c r="AZ307" i="3" s="1"/>
  <c r="BL309" i="3"/>
  <c r="BL317" i="3"/>
  <c r="BL322" i="3"/>
  <c r="BA323" i="3"/>
  <c r="AZ323" i="3" s="1"/>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BL340" i="3"/>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BL327" i="3"/>
  <c r="G328" i="3"/>
  <c r="BA328" i="3"/>
  <c r="BL328" i="3"/>
  <c r="BA329" i="3"/>
  <c r="AZ329" i="3" s="1"/>
  <c r="BL329" i="3"/>
  <c r="BA330" i="3"/>
  <c r="BA331" i="3"/>
  <c r="BL331" i="3"/>
  <c r="BA332" i="3"/>
  <c r="BL333" i="3"/>
  <c r="G336" i="3"/>
  <c r="BL379" i="3"/>
  <c r="AZ379" i="3" s="1"/>
  <c r="BA380" i="3"/>
  <c r="BL380" i="3"/>
  <c r="BL383" i="3"/>
  <c r="BA388" i="3"/>
  <c r="BA208" i="3"/>
  <c r="BP5" i="3"/>
  <c r="BO5" i="3"/>
  <c r="BA27" i="3"/>
  <c r="D73" i="59"/>
  <c r="D59" i="59"/>
  <c r="E32" i="59"/>
  <c r="A26" i="64"/>
  <c r="AB3" i="59"/>
  <c r="AC30" i="35"/>
  <c r="AA33" i="35"/>
  <c r="U33" i="35"/>
  <c r="U8" i="35"/>
  <c r="S8" i="35"/>
  <c r="S18" i="35"/>
  <c r="AB18" i="35"/>
  <c r="AB20" i="35"/>
  <c r="W20" i="35"/>
  <c r="AA20" i="35"/>
  <c r="AC16" i="35"/>
  <c r="U16" i="35"/>
  <c r="W14" i="35"/>
  <c r="AB14" i="35"/>
  <c r="W32" i="35"/>
  <c r="AA32" i="35"/>
  <c r="U32" i="35"/>
  <c r="AB30" i="35"/>
  <c r="S28" i="35"/>
  <c r="AC28"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J32" i="21"/>
  <c r="AC32" i="21" s="1"/>
  <c r="F32" i="21"/>
  <c r="AA32" i="21" s="1"/>
  <c r="AA37" i="21"/>
  <c r="AA40" i="21"/>
  <c r="S34" i="21"/>
  <c r="S43" i="21"/>
  <c r="AB8" i="21"/>
  <c r="W9" i="21"/>
  <c r="S8" i="21"/>
  <c r="AA9" i="21"/>
  <c r="W42" i="21"/>
  <c r="U39" i="21"/>
  <c r="S39" i="21"/>
  <c r="AC38" i="21"/>
  <c r="U38" i="21"/>
  <c r="AA36" i="21"/>
  <c r="AB36" i="21"/>
  <c r="AC35" i="21"/>
  <c r="U35" i="21"/>
  <c r="S35" i="21"/>
  <c r="AC34" i="21"/>
  <c r="S33" i="21"/>
  <c r="AB32" i="21"/>
  <c r="F23" i="39"/>
  <c r="AA23" i="39" s="1"/>
  <c r="E96" i="39"/>
  <c r="AB17" i="39"/>
  <c r="AA44" i="39"/>
  <c r="W25" i="39"/>
  <c r="S25" i="39"/>
  <c r="S17" i="39"/>
  <c r="AC44" i="39"/>
  <c r="AB43" i="39"/>
  <c r="S43" i="39"/>
  <c r="S41" i="39"/>
  <c r="W41" i="39"/>
  <c r="W11" i="39"/>
  <c r="C27" i="39"/>
  <c r="C31" i="39"/>
  <c r="B58" i="46"/>
  <c r="B77" i="46"/>
  <c r="AZ527" i="3"/>
  <c r="AA45" i="39"/>
  <c r="S45" i="39"/>
  <c r="AC47" i="34"/>
  <c r="W47" i="34"/>
  <c r="AZ553" i="3"/>
  <c r="U29" i="21"/>
  <c r="AB29" i="21"/>
  <c r="U29" i="40"/>
  <c r="AB29" i="40"/>
  <c r="AC23" i="35"/>
  <c r="W23" i="35"/>
  <c r="U29" i="39"/>
  <c r="AB29" i="39"/>
  <c r="W13" i="33"/>
  <c r="AC13" i="33"/>
  <c r="U26" i="21"/>
  <c r="S13" i="35"/>
  <c r="AA13" i="35"/>
  <c r="BA566" i="3"/>
  <c r="AZ566" i="3" s="1"/>
  <c r="BL565" i="3"/>
  <c r="AZ565" i="3" s="1"/>
  <c r="BL563" i="3"/>
  <c r="BA559" i="3"/>
  <c r="BA557" i="3"/>
  <c r="AZ557" i="3" s="1"/>
  <c r="BL554" i="3"/>
  <c r="U37" i="33"/>
  <c r="J16" i="40"/>
  <c r="W16" i="40" s="1"/>
  <c r="J45" i="39"/>
  <c r="S34" i="33"/>
  <c r="AA34" i="33"/>
  <c r="AA13" i="40"/>
  <c r="U12" i="37"/>
  <c r="AB12" i="37"/>
  <c r="W34" i="37"/>
  <c r="AC34" i="37"/>
  <c r="AA12" i="21"/>
  <c r="S12" i="21"/>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AA33" i="36"/>
  <c r="S33" i="36"/>
  <c r="W40" i="34"/>
  <c r="AC40" i="34"/>
  <c r="AZ320" i="3"/>
  <c r="AZ365" i="3"/>
  <c r="BL492" i="3"/>
  <c r="AZ492" i="3" s="1"/>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G29" i="6" s="1"/>
  <c r="U21" i="40"/>
  <c r="S42" i="21"/>
  <c r="S29" i="36"/>
  <c r="F35" i="40"/>
  <c r="U45" i="34"/>
  <c r="AB45" i="34"/>
  <c r="H45" i="21"/>
  <c r="AB45" i="21" s="1"/>
  <c r="W26" i="36"/>
  <c r="AC26" i="36"/>
  <c r="F40" i="40"/>
  <c r="H40" i="40"/>
  <c r="BL569" i="3"/>
  <c r="AZ569" i="3" s="1"/>
  <c r="G561" i="3"/>
  <c r="BL553" i="3"/>
  <c r="BA551" i="3"/>
  <c r="AZ551" i="3" s="1"/>
  <c r="BA544" i="3"/>
  <c r="BA542" i="3"/>
  <c r="BA528" i="3"/>
  <c r="AZ528" i="3" s="1"/>
  <c r="BA526" i="3"/>
  <c r="BA510" i="3"/>
  <c r="BL493" i="3"/>
  <c r="AZ493" i="3" s="1"/>
  <c r="BA19" i="3"/>
  <c r="BA541" i="3"/>
  <c r="AZ541" i="3" s="1"/>
  <c r="BL540" i="3"/>
  <c r="BA539" i="3"/>
  <c r="W36" i="33"/>
  <c r="AC36" i="33"/>
  <c r="BA568" i="3"/>
  <c r="BA509" i="3"/>
  <c r="AZ509" i="3" s="1"/>
  <c r="S22" i="35"/>
  <c r="AA22" i="35"/>
  <c r="BM5" i="3"/>
  <c r="F29" i="6" s="1"/>
  <c r="E29" i="6" s="1"/>
  <c r="BA556" i="3"/>
  <c r="U44" i="34"/>
  <c r="AC41" i="40"/>
  <c r="W41" i="40"/>
  <c r="F46" i="39"/>
  <c r="S25" i="33"/>
  <c r="AC37" i="21"/>
  <c r="W29" i="36"/>
  <c r="W29" i="39"/>
  <c r="J29" i="40"/>
  <c r="AC29" i="40" s="1"/>
  <c r="AA21" i="40"/>
  <c r="U33" i="40"/>
  <c r="AB41" i="34"/>
  <c r="S16" i="36"/>
  <c r="U42" i="40"/>
  <c r="AB33" i="36"/>
  <c r="U41" i="40"/>
  <c r="AC30" i="36"/>
  <c r="S30" i="37"/>
  <c r="H29" i="33"/>
  <c r="AB29" i="33" s="1"/>
  <c r="G494" i="3"/>
  <c r="H31" i="34"/>
  <c r="J44" i="33"/>
  <c r="F31" i="21"/>
  <c r="AA30" i="35"/>
  <c r="S30" i="35"/>
  <c r="U34" i="37"/>
  <c r="AB43" i="21"/>
  <c r="U43" i="21"/>
  <c r="J12" i="37"/>
  <c r="AC12" i="37" s="1"/>
  <c r="F12" i="37"/>
  <c r="AA42" i="34"/>
  <c r="S42" i="34"/>
  <c r="F38" i="39"/>
  <c r="H38" i="39"/>
  <c r="BA562" i="3"/>
  <c r="BL522" i="3"/>
  <c r="BL520" i="3"/>
  <c r="AZ520" i="3" s="1"/>
  <c r="BL513" i="3"/>
  <c r="BA512" i="3"/>
  <c r="AZ512" i="3" s="1"/>
  <c r="G508" i="3"/>
  <c r="BL504" i="3"/>
  <c r="AZ504" i="3" s="1"/>
  <c r="BL502" i="3"/>
  <c r="AZ502" i="3" s="1"/>
  <c r="BA502" i="3"/>
  <c r="BA498" i="3"/>
  <c r="AZ498" i="3" s="1"/>
  <c r="BL497" i="3"/>
  <c r="AZ497" i="3" s="1"/>
  <c r="BL495" i="3"/>
  <c r="G487" i="3"/>
  <c r="BL483" i="3"/>
  <c r="BL19" i="3"/>
  <c r="G14" i="3"/>
  <c r="S30" i="33"/>
  <c r="AA30" i="33"/>
  <c r="AA26" i="21"/>
  <c r="S26" i="21"/>
  <c r="AC27" i="35"/>
  <c r="W27" i="35"/>
  <c r="J35" i="35"/>
  <c r="AC35" i="35" s="1"/>
  <c r="F35" i="35"/>
  <c r="S35" i="35" s="1"/>
  <c r="H35" i="35"/>
  <c r="BA561" i="3"/>
  <c r="AZ561" i="3" s="1"/>
  <c r="BL558" i="3"/>
  <c r="BA495" i="3"/>
  <c r="AA29" i="35"/>
  <c r="W11" i="36"/>
  <c r="AC11" i="36"/>
  <c r="S38" i="21"/>
  <c r="AA38" i="21"/>
  <c r="W16" i="36"/>
  <c r="AC16" i="36"/>
  <c r="BA531" i="3"/>
  <c r="AZ531" i="3" s="1"/>
  <c r="S19" i="40"/>
  <c r="AB20" i="36"/>
  <c r="F29" i="33"/>
  <c r="AA17" i="33"/>
  <c r="AC25" i="34"/>
  <c r="S14" i="36"/>
  <c r="AB13" i="34"/>
  <c r="B51" i="46"/>
  <c r="W36" i="37"/>
  <c r="AB15" i="33"/>
  <c r="W23" i="40"/>
  <c r="AC30" i="34"/>
  <c r="AC36" i="21"/>
  <c r="AZ298" i="3"/>
  <c r="AC33" i="21"/>
  <c r="BL564" i="3"/>
  <c r="AZ564" i="3" s="1"/>
  <c r="J31" i="34"/>
  <c r="W31" i="34" s="1"/>
  <c r="H44" i="33"/>
  <c r="AB29" i="35"/>
  <c r="U29" i="35"/>
  <c r="U36" i="34"/>
  <c r="AB36" i="34"/>
  <c r="AZ547" i="3"/>
  <c r="F29" i="21"/>
  <c r="J29" i="21"/>
  <c r="W29" i="35"/>
  <c r="AC29" i="35"/>
  <c r="AA39" i="33"/>
  <c r="S39" i="33"/>
  <c r="BL514" i="3"/>
  <c r="AZ514" i="3" s="1"/>
  <c r="AC42" i="34"/>
  <c r="W42" i="34"/>
  <c r="G528" i="3"/>
  <c r="BA521" i="3"/>
  <c r="AZ521" i="3" s="1"/>
  <c r="G517" i="3"/>
  <c r="AZ339" i="3"/>
  <c r="AZ361" i="3"/>
  <c r="AZ302" i="3"/>
  <c r="BL534" i="3"/>
  <c r="BL560" i="3"/>
  <c r="AZ560" i="3" s="1"/>
  <c r="AA45" i="34"/>
  <c r="S45" i="34"/>
  <c r="I4" i="6"/>
  <c r="F19" i="6"/>
  <c r="E19" i="6" s="1"/>
  <c r="K6" i="1" s="1"/>
  <c r="AA31" i="33"/>
  <c r="S31" i="33"/>
  <c r="F29" i="34"/>
  <c r="H29" i="34"/>
  <c r="G507" i="3"/>
  <c r="BA492" i="3"/>
  <c r="G488" i="3"/>
  <c r="BL486" i="3"/>
  <c r="AZ486" i="3" s="1"/>
  <c r="BA485" i="3"/>
  <c r="AZ485" i="3" s="1"/>
  <c r="BA483" i="3"/>
  <c r="BA482" i="3"/>
  <c r="G16" i="3"/>
  <c r="BL546" i="3"/>
  <c r="BL562" i="3"/>
  <c r="S44" i="34"/>
  <c r="AA44" i="34"/>
  <c r="BA540" i="3"/>
  <c r="G527" i="3"/>
  <c r="G525" i="3"/>
  <c r="G518" i="3"/>
  <c r="BA508" i="3"/>
  <c r="AZ508" i="3" s="1"/>
  <c r="BA501" i="3"/>
  <c r="G490" i="3"/>
  <c r="BA489" i="3"/>
  <c r="BL15" i="3"/>
  <c r="AZ15" i="3" s="1"/>
  <c r="AZ337" i="3"/>
  <c r="BL490" i="3"/>
  <c r="AZ490" i="3" s="1"/>
  <c r="BL518" i="3"/>
  <c r="AZ518" i="3" s="1"/>
  <c r="BL532" i="3"/>
  <c r="BL552" i="3"/>
  <c r="H27" i="21"/>
  <c r="AC40" i="21"/>
  <c r="G27" i="6"/>
  <c r="G547" i="3"/>
  <c r="G531" i="3"/>
  <c r="G524" i="3"/>
  <c r="G497" i="3"/>
  <c r="BA279" i="3"/>
  <c r="AZ363" i="3"/>
  <c r="BL538" i="3"/>
  <c r="AZ538" i="3" s="1"/>
  <c r="G555" i="3"/>
  <c r="BA488" i="3"/>
  <c r="BL487" i="3"/>
  <c r="AZ487" i="3" s="1"/>
  <c r="BL406" i="3"/>
  <c r="BL422" i="3"/>
  <c r="BA220" i="3"/>
  <c r="BL144" i="3"/>
  <c r="BL482" i="3"/>
  <c r="AZ482" i="3" s="1"/>
  <c r="BL510" i="3"/>
  <c r="BL524" i="3"/>
  <c r="BL544" i="3"/>
  <c r="AZ544" i="3" s="1"/>
  <c r="G516" i="3"/>
  <c r="G486" i="3"/>
  <c r="D84" i="59"/>
  <c r="C83" i="59"/>
  <c r="D83" i="59" s="1"/>
  <c r="BR5" i="3"/>
  <c r="BA392" i="3"/>
  <c r="BL393" i="3"/>
  <c r="BA424" i="3"/>
  <c r="BL442" i="3"/>
  <c r="BA478" i="3"/>
  <c r="BL480" i="3"/>
  <c r="BA227" i="3"/>
  <c r="BA235" i="3"/>
  <c r="AZ235" i="3" s="1"/>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AZ321" i="3" s="1"/>
  <c r="BL330" i="3"/>
  <c r="AZ330" i="3" s="1"/>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AZ447" i="3" s="1"/>
  <c r="BL449" i="3"/>
  <c r="BA311" i="3"/>
  <c r="AZ311" i="3" s="1"/>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AZ400" i="3" s="1"/>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E33" i="59"/>
  <c r="U33" i="59" s="1"/>
  <c r="AB34" i="59"/>
  <c r="AB36" i="59"/>
  <c r="E40" i="59"/>
  <c r="E41" i="59" s="1"/>
  <c r="U41" i="59" s="1"/>
  <c r="B48" i="59"/>
  <c r="B49" i="59" s="1"/>
  <c r="S49" i="59" s="1"/>
  <c r="T25" i="59"/>
  <c r="BA403" i="3"/>
  <c r="BA405" i="3"/>
  <c r="BL405" i="3"/>
  <c r="BL426" i="3"/>
  <c r="BL446" i="3"/>
  <c r="BA462" i="3"/>
  <c r="BL464" i="3"/>
  <c r="BA221" i="3"/>
  <c r="BL223" i="3"/>
  <c r="BL231" i="3"/>
  <c r="BA256" i="3"/>
  <c r="AZ256" i="3" s="1"/>
  <c r="BL256" i="3"/>
  <c r="BA283" i="3"/>
  <c r="BL137" i="3"/>
  <c r="BA176" i="3"/>
  <c r="AZ176" i="3" s="1"/>
  <c r="BL178" i="3"/>
  <c r="AZ178" i="3" s="1"/>
  <c r="BL202" i="3"/>
  <c r="BL203" i="3"/>
  <c r="BL60" i="3"/>
  <c r="BL102" i="3"/>
  <c r="B68" i="46"/>
  <c r="C88" i="59"/>
  <c r="D51" i="59"/>
  <c r="C18" i="9"/>
  <c r="G398" i="3"/>
  <c r="G405" i="3"/>
  <c r="BA412" i="3"/>
  <c r="AZ412" i="3" s="1"/>
  <c r="G416" i="3"/>
  <c r="G426" i="3"/>
  <c r="BA432" i="3"/>
  <c r="G436" i="3"/>
  <c r="G446" i="3"/>
  <c r="BL454" i="3"/>
  <c r="G464" i="3"/>
  <c r="G473" i="3"/>
  <c r="BA297" i="3"/>
  <c r="AZ297" i="3" s="1"/>
  <c r="G388" i="3"/>
  <c r="G214" i="3"/>
  <c r="BA228" i="3"/>
  <c r="G239" i="3"/>
  <c r="G248" i="3"/>
  <c r="G276" i="3"/>
  <c r="G285" i="3"/>
  <c r="G113" i="3"/>
  <c r="BA117" i="3"/>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U12" i="21"/>
  <c r="AB12" i="21"/>
  <c r="AB19" i="21"/>
  <c r="U19" i="21"/>
  <c r="AA10" i="21"/>
  <c r="S10" i="21"/>
  <c r="F14" i="21"/>
  <c r="J14" i="21"/>
  <c r="H30" i="21"/>
  <c r="U30" i="21" s="1"/>
  <c r="F30" i="21"/>
  <c r="J30" i="21"/>
  <c r="H46" i="21"/>
  <c r="J46" i="21"/>
  <c r="F46" i="21"/>
  <c r="AB42" i="21"/>
  <c r="U42" i="21"/>
  <c r="AZ481" i="3"/>
  <c r="AZ19" i="3"/>
  <c r="W29" i="40"/>
  <c r="S15" i="21"/>
  <c r="W25" i="33"/>
  <c r="AC25" i="33"/>
  <c r="U30" i="34"/>
  <c r="S23" i="35"/>
  <c r="AC43" i="39"/>
  <c r="AB47" i="39"/>
  <c r="U47" i="39"/>
  <c r="AA38" i="40"/>
  <c r="S38" i="40"/>
  <c r="AA14" i="35"/>
  <c r="S14" i="35"/>
  <c r="AB12" i="34"/>
  <c r="U12" i="34"/>
  <c r="U29" i="33"/>
  <c r="AB11" i="37"/>
  <c r="U11" i="37"/>
  <c r="AZ373" i="3"/>
  <c r="AZ559" i="3"/>
  <c r="W14" i="37"/>
  <c r="AC14" i="37"/>
  <c r="W29" i="37"/>
  <c r="AC29" i="37"/>
  <c r="AC39" i="21"/>
  <c r="W39" i="21"/>
  <c r="AC8" i="34"/>
  <c r="W8" i="34"/>
  <c r="AA9" i="35"/>
  <c r="S9" i="35"/>
  <c r="AC12" i="35"/>
  <c r="H45" i="33"/>
  <c r="F45" i="33"/>
  <c r="F14" i="34"/>
  <c r="H14" i="34"/>
  <c r="J14" i="34"/>
  <c r="F32" i="34"/>
  <c r="J32" i="34"/>
  <c r="J24" i="35"/>
  <c r="F24" i="35"/>
  <c r="H24" i="35"/>
  <c r="AB36" i="35"/>
  <c r="U36" i="35"/>
  <c r="BK5" i="3"/>
  <c r="AZ483" i="3"/>
  <c r="AB25" i="33"/>
  <c r="U25" i="33"/>
  <c r="AB32" i="37"/>
  <c r="U32" i="37"/>
  <c r="AB32" i="34"/>
  <c r="U32" i="34"/>
  <c r="AC33" i="34"/>
  <c r="W33" i="34"/>
  <c r="U17" i="37"/>
  <c r="AB17" i="37"/>
  <c r="AB25" i="36"/>
  <c r="U25" i="36"/>
  <c r="AA35" i="35"/>
  <c r="AC25" i="35"/>
  <c r="W25" i="35"/>
  <c r="AA13" i="34"/>
  <c r="S13" i="34"/>
  <c r="AA46" i="33"/>
  <c r="S46" i="33"/>
  <c r="U44" i="33"/>
  <c r="AB44" i="33"/>
  <c r="U37" i="37"/>
  <c r="AB37" i="37"/>
  <c r="S11" i="35"/>
  <c r="AA11" i="35"/>
  <c r="U14" i="21"/>
  <c r="AB14" i="21"/>
  <c r="BL572" i="3"/>
  <c r="BL571" i="3"/>
  <c r="BA571" i="3"/>
  <c r="AA43" i="34"/>
  <c r="S43" i="34"/>
  <c r="AZ489" i="3"/>
  <c r="S33" i="37"/>
  <c r="AA39" i="39"/>
  <c r="AB25" i="39"/>
  <c r="S11" i="34"/>
  <c r="AA11" i="34"/>
  <c r="AC32" i="33"/>
  <c r="W32" i="33"/>
  <c r="U15" i="37"/>
  <c r="AB15" i="37"/>
  <c r="W45" i="33"/>
  <c r="AC45" i="33"/>
  <c r="W29" i="33"/>
  <c r="AC29" i="33"/>
  <c r="U45" i="21"/>
  <c r="S27" i="36"/>
  <c r="AA27" i="36"/>
  <c r="W33" i="35"/>
  <c r="AC33" i="35"/>
  <c r="U28" i="33"/>
  <c r="AB28" i="33"/>
  <c r="U34" i="21"/>
  <c r="AB34" i="21"/>
  <c r="AC5" i="3"/>
  <c r="J24" i="36"/>
  <c r="F24" i="36"/>
  <c r="AC39" i="37"/>
  <c r="W39" i="37"/>
  <c r="H14" i="39"/>
  <c r="BB5" i="3"/>
  <c r="E5" i="6" s="1"/>
  <c r="D12" i="11" s="1"/>
  <c r="C12" i="11" s="1"/>
  <c r="AZ510" i="3"/>
  <c r="AC25" i="37"/>
  <c r="AZ324" i="3"/>
  <c r="AZ305" i="3"/>
  <c r="AZ338" i="3"/>
  <c r="AZ299" i="3"/>
  <c r="H9" i="37"/>
  <c r="S23" i="37"/>
  <c r="BL484" i="3"/>
  <c r="J13" i="37"/>
  <c r="B99" i="46"/>
  <c r="C29" i="39"/>
  <c r="H12" i="36"/>
  <c r="H24" i="36"/>
  <c r="G548" i="3"/>
  <c r="G519" i="3"/>
  <c r="AC13" i="40"/>
  <c r="W15" i="39"/>
  <c r="AB37" i="34"/>
  <c r="AZ500" i="3"/>
  <c r="AZ505" i="3"/>
  <c r="AZ522" i="3"/>
  <c r="AA31" i="36"/>
  <c r="AZ374" i="3"/>
  <c r="AZ328" i="3"/>
  <c r="AZ381" i="3"/>
  <c r="AZ331" i="3"/>
  <c r="AZ322" i="3"/>
  <c r="J9" i="37"/>
  <c r="AB13" i="35"/>
  <c r="F13" i="37"/>
  <c r="J32" i="36"/>
  <c r="F12" i="36"/>
  <c r="AC39" i="34"/>
  <c r="W39" i="34"/>
  <c r="W31" i="36"/>
  <c r="AC31" i="36"/>
  <c r="G500" i="3"/>
  <c r="M18" i="15"/>
  <c r="U41" i="39"/>
  <c r="W17" i="34"/>
  <c r="AA27" i="34"/>
  <c r="W32" i="40"/>
  <c r="AZ523" i="3"/>
  <c r="AC30" i="37"/>
  <c r="AZ378" i="3"/>
  <c r="AZ377" i="3"/>
  <c r="AZ343" i="3"/>
  <c r="AZ303" i="3"/>
  <c r="AC41" i="34"/>
  <c r="AB27" i="37"/>
  <c r="BL20" i="3"/>
  <c r="BL488" i="3"/>
  <c r="AZ558" i="3"/>
  <c r="AZ501" i="3"/>
  <c r="G570" i="3"/>
  <c r="F25" i="37"/>
  <c r="AA37" i="33"/>
  <c r="S37" i="33"/>
  <c r="G569" i="3"/>
  <c r="G504" i="3"/>
  <c r="BL389" i="3"/>
  <c r="BA396" i="3"/>
  <c r="BA402" i="3"/>
  <c r="BL404" i="3"/>
  <c r="G411" i="3"/>
  <c r="BA411" i="3"/>
  <c r="AZ411" i="3" s="1"/>
  <c r="BA413" i="3"/>
  <c r="BL413" i="3"/>
  <c r="AZ413" i="3" s="1"/>
  <c r="BA416" i="3"/>
  <c r="G427" i="3"/>
  <c r="BA427" i="3"/>
  <c r="BA433" i="3"/>
  <c r="BL433" i="3"/>
  <c r="BA436" i="3"/>
  <c r="G443" i="3"/>
  <c r="BA443" i="3"/>
  <c r="BL448" i="3"/>
  <c r="G455" i="3"/>
  <c r="BL455" i="3"/>
  <c r="BA457" i="3"/>
  <c r="BL457" i="3"/>
  <c r="BA460" i="3"/>
  <c r="BA466" i="3"/>
  <c r="BL468" i="3"/>
  <c r="G471" i="3"/>
  <c r="BA471" i="3"/>
  <c r="BA473" i="3"/>
  <c r="BL473" i="3"/>
  <c r="AZ473" i="3" s="1"/>
  <c r="BA476" i="3"/>
  <c r="BL335" i="3"/>
  <c r="BA383" i="3"/>
  <c r="AZ383" i="3" s="1"/>
  <c r="G395" i="3"/>
  <c r="BA395" i="3"/>
  <c r="BA397" i="3"/>
  <c r="AZ397" i="3" s="1"/>
  <c r="BL397" i="3"/>
  <c r="BA400" i="3"/>
  <c r="G407" i="3"/>
  <c r="BL407" i="3"/>
  <c r="BL412" i="3"/>
  <c r="G415" i="3"/>
  <c r="BA415" i="3"/>
  <c r="BA417" i="3"/>
  <c r="AZ417" i="3" s="1"/>
  <c r="BL417" i="3"/>
  <c r="G423" i="3"/>
  <c r="BL423" i="3"/>
  <c r="BL429" i="3"/>
  <c r="G435" i="3"/>
  <c r="BL435" i="3"/>
  <c r="BA437" i="3"/>
  <c r="BL437" i="3"/>
  <c r="BA440" i="3"/>
  <c r="BL445" i="3"/>
  <c r="G451" i="3"/>
  <c r="BA451" i="3"/>
  <c r="AZ451" i="3" s="1"/>
  <c r="BL456" i="3"/>
  <c r="G459" i="3"/>
  <c r="BA459" i="3"/>
  <c r="BL461" i="3"/>
  <c r="BA464" i="3"/>
  <c r="BA470" i="3"/>
  <c r="BL472" i="3"/>
  <c r="G475" i="3"/>
  <c r="BA475" i="3"/>
  <c r="BL477" i="3"/>
  <c r="BA480" i="3"/>
  <c r="AZ480" i="3" s="1"/>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A334" i="3"/>
  <c r="BL342" i="3"/>
  <c r="AZ342" i="3" s="1"/>
  <c r="BL346" i="3"/>
  <c r="AZ346" i="3" s="1"/>
  <c r="G347" i="3"/>
  <c r="BA353" i="3"/>
  <c r="AZ353" i="3" s="1"/>
  <c r="BA212" i="3"/>
  <c r="BL285" i="3"/>
  <c r="BL306" i="3"/>
  <c r="AZ306" i="3" s="1"/>
  <c r="G307" i="3"/>
  <c r="G311" i="3"/>
  <c r="BL316" i="3"/>
  <c r="AZ316" i="3" s="1"/>
  <c r="G317" i="3"/>
  <c r="BA319"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G156" i="3"/>
  <c r="G176" i="3"/>
  <c r="BA177" i="3"/>
  <c r="BL180" i="3"/>
  <c r="BA182" i="3"/>
  <c r="BL184" i="3"/>
  <c r="AZ184" i="3" s="1"/>
  <c r="G188" i="3"/>
  <c r="BL188" i="3"/>
  <c r="AZ188" i="3" s="1"/>
  <c r="BA190" i="3"/>
  <c r="AZ190" i="3" s="1"/>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AZ263" i="3" s="1"/>
  <c r="BL274" i="3"/>
  <c r="BL280" i="3"/>
  <c r="BA292" i="3"/>
  <c r="BL296" i="3"/>
  <c r="BL114" i="3"/>
  <c r="AZ114" i="3" s="1"/>
  <c r="BA115" i="3"/>
  <c r="AZ115" i="3" s="1"/>
  <c r="BL117" i="3"/>
  <c r="BA125" i="3"/>
  <c r="BA127" i="3"/>
  <c r="AZ127" i="3" s="1"/>
  <c r="BL133" i="3"/>
  <c r="BL136" i="3"/>
  <c r="BA140" i="3"/>
  <c r="BL149" i="3"/>
  <c r="BA156" i="3"/>
  <c r="BL159" i="3"/>
  <c r="BL163" i="3"/>
  <c r="BA168" i="3"/>
  <c r="BA172" i="3"/>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AZ78" i="3" s="1"/>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U16" i="40"/>
  <c r="W14" i="39"/>
  <c r="S21" i="59"/>
  <c r="AB11" i="33"/>
  <c r="S33" i="40"/>
  <c r="AZ513" i="3"/>
  <c r="O40" i="9"/>
  <c r="K31" i="9" s="1"/>
  <c r="K32" i="9" s="1"/>
  <c r="AZ534" i="3"/>
  <c r="H5" i="3"/>
  <c r="BA570" i="3"/>
  <c r="AZ570" i="3" s="1"/>
  <c r="BE5" i="3"/>
  <c r="B94" i="46"/>
  <c r="B84" i="46"/>
  <c r="AZ340" i="3"/>
  <c r="AZ355" i="3"/>
  <c r="AC28" i="34"/>
  <c r="AZ550" i="3"/>
  <c r="AZ555" i="3"/>
  <c r="AA27" i="33"/>
  <c r="AB40" i="37"/>
  <c r="J9" i="33"/>
  <c r="F9" i="33"/>
  <c r="H9" i="33"/>
  <c r="AZ537" i="3"/>
  <c r="AZ370" i="3"/>
  <c r="AZ362" i="3"/>
  <c r="AZ344" i="3"/>
  <c r="AZ304" i="3"/>
  <c r="AZ359" i="3"/>
  <c r="AZ327" i="3"/>
  <c r="AZ516" i="3"/>
  <c r="AZ542" i="3"/>
  <c r="AB31" i="33"/>
  <c r="AA38" i="37"/>
  <c r="W8" i="21"/>
  <c r="J9" i="35"/>
  <c r="F12" i="35"/>
  <c r="H26" i="37"/>
  <c r="F26" i="37"/>
  <c r="AZ372" i="3"/>
  <c r="AC23" i="37"/>
  <c r="AZ524" i="3"/>
  <c r="AB13" i="21"/>
  <c r="BF5" i="3"/>
  <c r="J12" i="33"/>
  <c r="F12" i="33"/>
  <c r="H12" i="33"/>
  <c r="H34" i="35"/>
  <c r="J34" i="35"/>
  <c r="F34" i="35"/>
  <c r="BA572" i="3"/>
  <c r="B101" i="46"/>
  <c r="B79" i="46"/>
  <c r="F9" i="36"/>
  <c r="G567" i="3"/>
  <c r="G563" i="3"/>
  <c r="AZ448" i="3"/>
  <c r="AZ476" i="3"/>
  <c r="AZ335" i="3"/>
  <c r="BA351" i="3"/>
  <c r="AZ351" i="3" s="1"/>
  <c r="BL360" i="3"/>
  <c r="AZ360" i="3" s="1"/>
  <c r="BL366" i="3"/>
  <c r="AZ366" i="3" s="1"/>
  <c r="BL376" i="3"/>
  <c r="AZ376" i="3" s="1"/>
  <c r="BL382" i="3"/>
  <c r="AZ382" i="3" s="1"/>
  <c r="BL388" i="3"/>
  <c r="BA207" i="3"/>
  <c r="BL208" i="3"/>
  <c r="BL212" i="3"/>
  <c r="BA215" i="3"/>
  <c r="AZ215" i="3" s="1"/>
  <c r="BL216" i="3"/>
  <c r="AZ216" i="3" s="1"/>
  <c r="BL220" i="3"/>
  <c r="AZ220" i="3" s="1"/>
  <c r="BA223" i="3"/>
  <c r="AZ223" i="3" s="1"/>
  <c r="BL224" i="3"/>
  <c r="BL228" i="3"/>
  <c r="BL229" i="3"/>
  <c r="G231" i="3"/>
  <c r="BA389" i="3"/>
  <c r="BA393" i="3"/>
  <c r="AZ393" i="3" s="1"/>
  <c r="BL398" i="3"/>
  <c r="BA401" i="3"/>
  <c r="BL402" i="3"/>
  <c r="AZ402" i="3" s="1"/>
  <c r="BA409" i="3"/>
  <c r="BL414" i="3"/>
  <c r="BL418" i="3"/>
  <c r="AZ418" i="3" s="1"/>
  <c r="BA421" i="3"/>
  <c r="AZ421" i="3" s="1"/>
  <c r="BA425" i="3"/>
  <c r="AZ425" i="3" s="1"/>
  <c r="BA429" i="3"/>
  <c r="AZ429" i="3" s="1"/>
  <c r="BL434" i="3"/>
  <c r="BL438" i="3"/>
  <c r="AZ438" i="3" s="1"/>
  <c r="BA441" i="3"/>
  <c r="AZ441" i="3" s="1"/>
  <c r="BA445" i="3"/>
  <c r="BA449" i="3"/>
  <c r="AZ449" i="3" s="1"/>
  <c r="BA453" i="3"/>
  <c r="BL458" i="3"/>
  <c r="AZ458" i="3" s="1"/>
  <c r="BA461" i="3"/>
  <c r="AZ461" i="3" s="1"/>
  <c r="BL462" i="3"/>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BL213" i="3"/>
  <c r="AZ213" i="3" s="1"/>
  <c r="BL217" i="3"/>
  <c r="BL221" i="3"/>
  <c r="AZ221" i="3" s="1"/>
  <c r="BL225" i="3"/>
  <c r="AZ225" i="3" s="1"/>
  <c r="BA390" i="3"/>
  <c r="BA394" i="3"/>
  <c r="AZ394" i="3" s="1"/>
  <c r="BL395" i="3"/>
  <c r="BL399" i="3"/>
  <c r="BL403" i="3"/>
  <c r="AZ403" i="3" s="1"/>
  <c r="BA406" i="3"/>
  <c r="AZ406" i="3" s="1"/>
  <c r="BA410" i="3"/>
  <c r="AZ410" i="3" s="1"/>
  <c r="BL411" i="3"/>
  <c r="BL415" i="3"/>
  <c r="BA422" i="3"/>
  <c r="AZ422" i="3" s="1"/>
  <c r="BA426" i="3"/>
  <c r="AZ426" i="3" s="1"/>
  <c r="BL427" i="3"/>
  <c r="BA430" i="3"/>
  <c r="BL439" i="3"/>
  <c r="BA442" i="3"/>
  <c r="BL443" i="3"/>
  <c r="BA446" i="3"/>
  <c r="BL447" i="3"/>
  <c r="BA450" i="3"/>
  <c r="BL451" i="3"/>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BL420" i="3"/>
  <c r="AZ420" i="3" s="1"/>
  <c r="BA423" i="3"/>
  <c r="AZ423" i="3" s="1"/>
  <c r="BL424" i="3"/>
  <c r="AZ424" i="3" s="1"/>
  <c r="BL428" i="3"/>
  <c r="AZ428" i="3" s="1"/>
  <c r="BA431" i="3"/>
  <c r="AZ431" i="3" s="1"/>
  <c r="BL432" i="3"/>
  <c r="BA435" i="3"/>
  <c r="AZ435" i="3" s="1"/>
  <c r="BL444" i="3"/>
  <c r="AZ444" i="3" s="1"/>
  <c r="BL452" i="3"/>
  <c r="BA455" i="3"/>
  <c r="AZ455" i="3" s="1"/>
  <c r="BL318" i="3"/>
  <c r="AZ318" i="3" s="1"/>
  <c r="BL334" i="3"/>
  <c r="AZ334" i="3" s="1"/>
  <c r="BL350" i="3"/>
  <c r="BA375" i="3"/>
  <c r="AZ375" i="3" s="1"/>
  <c r="BA386" i="3"/>
  <c r="AZ386" i="3" s="1"/>
  <c r="BL387" i="3"/>
  <c r="AZ387" i="3" s="1"/>
  <c r="BA206" i="3"/>
  <c r="BA210" i="3"/>
  <c r="AZ210" i="3" s="1"/>
  <c r="BL211" i="3"/>
  <c r="BA214" i="3"/>
  <c r="BA218" i="3"/>
  <c r="BL219" i="3"/>
  <c r="BA222" i="3"/>
  <c r="BA226" i="3"/>
  <c r="AZ226" i="3" s="1"/>
  <c r="BL227" i="3"/>
  <c r="AZ117" i="3"/>
  <c r="AZ125" i="3"/>
  <c r="BA149" i="3"/>
  <c r="BL233" i="3"/>
  <c r="BL237" i="3"/>
  <c r="AZ237" i="3" s="1"/>
  <c r="BL241" i="3"/>
  <c r="BL245" i="3"/>
  <c r="BL249" i="3"/>
  <c r="AZ249" i="3" s="1"/>
  <c r="BL253" i="3"/>
  <c r="AZ253" i="3" s="1"/>
  <c r="BL257" i="3"/>
  <c r="BL261" i="3"/>
  <c r="AZ261" i="3" s="1"/>
  <c r="BL265" i="3"/>
  <c r="BA272" i="3"/>
  <c r="BA280" i="3"/>
  <c r="BA288" i="3"/>
  <c r="AZ288" i="3" s="1"/>
  <c r="BA296" i="3"/>
  <c r="AZ296" i="3" s="1"/>
  <c r="BL113" i="3"/>
  <c r="AZ113" i="3" s="1"/>
  <c r="BA120" i="3"/>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BA121" i="3"/>
  <c r="BL124" i="3"/>
  <c r="AZ124" i="3" s="1"/>
  <c r="BL132" i="3"/>
  <c r="AZ132" i="3" s="1"/>
  <c r="BA137" i="3"/>
  <c r="BL140" i="3"/>
  <c r="AZ140" i="3" s="1"/>
  <c r="BL148" i="3"/>
  <c r="AZ148" i="3" s="1"/>
  <c r="BA152" i="3"/>
  <c r="BA230" i="3"/>
  <c r="BA234" i="3"/>
  <c r="AZ234" i="3" s="1"/>
  <c r="BL235" i="3"/>
  <c r="BA238" i="3"/>
  <c r="AZ238" i="3" s="1"/>
  <c r="BA242" i="3"/>
  <c r="AZ242" i="3" s="1"/>
  <c r="BL243" i="3"/>
  <c r="BA246" i="3"/>
  <c r="BA250" i="3"/>
  <c r="BL251" i="3"/>
  <c r="BA254" i="3"/>
  <c r="BA258" i="3"/>
  <c r="AZ258" i="3" s="1"/>
  <c r="BL259" i="3"/>
  <c r="BA262" i="3"/>
  <c r="BA266" i="3"/>
  <c r="AZ266" i="3" s="1"/>
  <c r="BL267" i="3"/>
  <c r="AZ267" i="3" s="1"/>
  <c r="BA270" i="3"/>
  <c r="BL271" i="3"/>
  <c r="BA274" i="3"/>
  <c r="AZ274" i="3" s="1"/>
  <c r="BL275" i="3"/>
  <c r="AZ275" i="3" s="1"/>
  <c r="BA278" i="3"/>
  <c r="BL279" i="3"/>
  <c r="AZ279" i="3" s="1"/>
  <c r="BA282" i="3"/>
  <c r="BL283" i="3"/>
  <c r="BA286" i="3"/>
  <c r="BL287" i="3"/>
  <c r="AZ287" i="3" s="1"/>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BA163" i="3"/>
  <c r="BL165" i="3"/>
  <c r="AZ165" i="3" s="1"/>
  <c r="BL173" i="3"/>
  <c r="AZ173" i="3" s="1"/>
  <c r="BL182" i="3"/>
  <c r="BA185" i="3"/>
  <c r="AZ185" i="3" s="1"/>
  <c r="BL190" i="3"/>
  <c r="BA193" i="3"/>
  <c r="AZ193" i="3" s="1"/>
  <c r="BL198" i="3"/>
  <c r="BA201" i="3"/>
  <c r="AZ201" i="3" s="1"/>
  <c r="BA202" i="3"/>
  <c r="AZ202" i="3" s="1"/>
  <c r="BL23" i="3"/>
  <c r="AZ23" i="3" s="1"/>
  <c r="BL27" i="3"/>
  <c r="BA30" i="3"/>
  <c r="BA34" i="3"/>
  <c r="AZ34" i="3" s="1"/>
  <c r="BL39" i="3"/>
  <c r="BL43" i="3"/>
  <c r="AZ43" i="3" s="1"/>
  <c r="BA46" i="3"/>
  <c r="BA50" i="3"/>
  <c r="AZ50" i="3" s="1"/>
  <c r="BL55" i="3"/>
  <c r="AZ55" i="3" s="1"/>
  <c r="BA57" i="3"/>
  <c r="BL58" i="3"/>
  <c r="AZ58" i="3" s="1"/>
  <c r="BA60" i="3"/>
  <c r="BL61" i="3"/>
  <c r="AZ61" i="3" s="1"/>
  <c r="BA68" i="3"/>
  <c r="BL69" i="3"/>
  <c r="BA75" i="3"/>
  <c r="AZ75" i="3" s="1"/>
  <c r="BL76" i="3"/>
  <c r="BA79" i="3"/>
  <c r="BL80" i="3"/>
  <c r="BA89" i="3"/>
  <c r="AZ89" i="3" s="1"/>
  <c r="BL93" i="3"/>
  <c r="BL99" i="3"/>
  <c r="BA109" i="3"/>
  <c r="G112" i="3"/>
  <c r="AZ172" i="3"/>
  <c r="BL183" i="3"/>
  <c r="BL191" i="3"/>
  <c r="BL199" i="3"/>
  <c r="AZ199" i="3" s="1"/>
  <c r="BL204" i="3"/>
  <c r="AZ204" i="3" s="1"/>
  <c r="BL24" i="3"/>
  <c r="AZ24" i="3" s="1"/>
  <c r="BL36" i="3"/>
  <c r="BL40" i="3"/>
  <c r="BL52" i="3"/>
  <c r="AZ52" i="3" s="1"/>
  <c r="BL56" i="3"/>
  <c r="AZ56" i="3" s="1"/>
  <c r="BL59" i="3"/>
  <c r="BA65" i="3"/>
  <c r="AZ65" i="3" s="1"/>
  <c r="BL70" i="3"/>
  <c r="AZ70" i="3" s="1"/>
  <c r="BA72" i="3"/>
  <c r="BL73" i="3"/>
  <c r="BA85" i="3"/>
  <c r="AZ95" i="3"/>
  <c r="T45" i="59"/>
  <c r="BL161" i="3"/>
  <c r="AZ161" i="3" s="1"/>
  <c r="BA167" i="3"/>
  <c r="AZ167" i="3" s="1"/>
  <c r="BL168" i="3"/>
  <c r="AZ168" i="3" s="1"/>
  <c r="BA175" i="3"/>
  <c r="BL176" i="3"/>
  <c r="BA179" i="3"/>
  <c r="AZ179" i="3" s="1"/>
  <c r="BA181" i="3"/>
  <c r="AZ181" i="3" s="1"/>
  <c r="BL186" i="3"/>
  <c r="BA189" i="3"/>
  <c r="AZ189" i="3" s="1"/>
  <c r="BL194" i="3"/>
  <c r="BA197" i="3"/>
  <c r="AZ197" i="3" s="1"/>
  <c r="BA28" i="3"/>
  <c r="BL29" i="3"/>
  <c r="BA32" i="3"/>
  <c r="BL33" i="3"/>
  <c r="AZ33" i="3" s="1"/>
  <c r="BA44" i="3"/>
  <c r="AZ44" i="3" s="1"/>
  <c r="BL45" i="3"/>
  <c r="BA48" i="3"/>
  <c r="BL49" i="3"/>
  <c r="AZ49" i="3" s="1"/>
  <c r="BA62" i="3"/>
  <c r="BA66" i="3"/>
  <c r="BL67" i="3"/>
  <c r="AZ67" i="3" s="1"/>
  <c r="BL71" i="3"/>
  <c r="AZ71" i="3" s="1"/>
  <c r="BL74" i="3"/>
  <c r="BA77" i="3"/>
  <c r="AZ77" i="3" s="1"/>
  <c r="BA81" i="3"/>
  <c r="AZ81" i="3" s="1"/>
  <c r="G88" i="3"/>
  <c r="BA92" i="3"/>
  <c r="BA94" i="3"/>
  <c r="G104" i="3"/>
  <c r="T53" i="59"/>
  <c r="D53" i="59"/>
  <c r="BA158" i="3"/>
  <c r="AZ158" i="3" s="1"/>
  <c r="BA160" i="3"/>
  <c r="BL171" i="3"/>
  <c r="AZ171" i="3" s="1"/>
  <c r="BL177" i="3"/>
  <c r="BL187" i="3"/>
  <c r="AZ187" i="3" s="1"/>
  <c r="BL195" i="3"/>
  <c r="BA21" i="3"/>
  <c r="AZ21" i="3" s="1"/>
  <c r="BL22" i="3"/>
  <c r="BA25" i="3"/>
  <c r="AZ25" i="3" s="1"/>
  <c r="BL26" i="3"/>
  <c r="AZ26" i="3" s="1"/>
  <c r="BA37" i="3"/>
  <c r="BL38" i="3"/>
  <c r="BA41" i="3"/>
  <c r="AZ41" i="3" s="1"/>
  <c r="BL42" i="3"/>
  <c r="AZ42" i="3" s="1"/>
  <c r="BA53" i="3"/>
  <c r="AZ53" i="3" s="1"/>
  <c r="BL54" i="3"/>
  <c r="BL84" i="3"/>
  <c r="AZ84" i="3" s="1"/>
  <c r="BA105" i="3"/>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AZ97" i="3" s="1"/>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05" i="3"/>
  <c r="AZ427" i="3"/>
  <c r="AZ437" i="3"/>
  <c r="AZ206" i="3"/>
  <c r="AZ116" i="3"/>
  <c r="BT5" i="3"/>
  <c r="BI5" i="3"/>
  <c r="BG5" i="3"/>
  <c r="AZ208" i="3"/>
  <c r="AZ227" i="3"/>
  <c r="AZ243" i="3"/>
  <c r="AZ259" i="3"/>
  <c r="AZ271" i="3"/>
  <c r="AZ182" i="3"/>
  <c r="AZ186" i="3"/>
  <c r="AZ45" i="3"/>
  <c r="AZ54" i="3"/>
  <c r="AZ69"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0" i="1"/>
  <c r="G13" i="1"/>
  <c r="C95" i="9"/>
  <c r="C92" i="9" s="1"/>
  <c r="C25" i="12"/>
  <c r="D23" i="15"/>
  <c r="L52" i="37"/>
  <c r="M52" i="37" s="1"/>
  <c r="N52" i="37" s="1"/>
  <c r="O52" i="37" s="1"/>
  <c r="I46" i="36"/>
  <c r="D59" i="34"/>
  <c r="E59" i="34" s="1"/>
  <c r="F59" i="34" s="1"/>
  <c r="G59" i="34" s="1"/>
  <c r="H59" i="34" s="1"/>
  <c r="I59" i="34" s="1"/>
  <c r="J59" i="34" s="1"/>
  <c r="K59" i="34" s="1"/>
  <c r="L59" i="34" s="1"/>
  <c r="M59" i="34" s="1"/>
  <c r="N59" i="34" s="1"/>
  <c r="O59" i="34"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J7" i="65"/>
  <c r="I7" i="65"/>
  <c r="L48" i="15"/>
  <c r="M10" i="44"/>
  <c r="J3" i="65"/>
  <c r="F18" i="44"/>
  <c r="F40" i="44"/>
  <c r="J17" i="44"/>
  <c r="F38" i="44"/>
  <c r="F39" i="44"/>
  <c r="F9" i="44"/>
  <c r="F15" i="44"/>
  <c r="F28" i="44"/>
  <c r="M11" i="44"/>
  <c r="M28" i="44"/>
  <c r="J5" i="65"/>
  <c r="F11" i="44"/>
  <c r="M9" i="15"/>
  <c r="F37" i="15"/>
  <c r="F45" i="44"/>
  <c r="I6" i="65"/>
  <c r="M30" i="44"/>
  <c r="E2" i="65"/>
  <c r="L49" i="44"/>
  <c r="F40" i="15"/>
  <c r="F43" i="44"/>
  <c r="F10" i="44"/>
  <c r="M25" i="44"/>
  <c r="M24" i="44"/>
  <c r="M8" i="44"/>
  <c r="M26" i="44"/>
  <c r="M31" i="44"/>
  <c r="I4" i="65"/>
  <c r="M6" i="15"/>
  <c r="J36" i="15"/>
  <c r="L47" i="15"/>
  <c r="L48" i="44"/>
  <c r="F8" i="44"/>
  <c r="S32" i="21" l="1"/>
  <c r="W27" i="39"/>
  <c r="W23" i="21"/>
  <c r="AA23" i="21"/>
  <c r="AB23" i="21"/>
  <c r="M6" i="1"/>
  <c r="Q16" i="1"/>
  <c r="H1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W32" i="21"/>
  <c r="D21" i="12"/>
  <c r="C21" i="12" s="1"/>
  <c r="S23" i="39"/>
  <c r="F96" i="39"/>
  <c r="G96" i="39" s="1"/>
  <c r="H23" i="39"/>
  <c r="J23" i="39"/>
  <c r="K15" i="1"/>
  <c r="L19" i="6"/>
  <c r="L27" i="6" s="1"/>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8" i="44" s="1"/>
  <c r="J20" i="44" s="1"/>
  <c r="Q73" i="44"/>
  <c r="J54" i="44"/>
  <c r="Q54" i="44" s="1"/>
  <c r="J58" i="44"/>
  <c r="J56" i="44" s="1"/>
  <c r="J59" i="44" s="1"/>
  <c r="Q52" i="44" s="1"/>
  <c r="L57" i="44"/>
  <c r="I55" i="44"/>
  <c r="C29" i="44"/>
  <c r="F48" i="15"/>
  <c r="F64" i="15"/>
  <c r="L59" i="15"/>
  <c r="Q62" i="15" s="1"/>
  <c r="L58" i="15"/>
  <c r="Q61" i="15" s="1"/>
  <c r="L56" i="15"/>
  <c r="J53" i="15"/>
  <c r="Q53" i="15" s="1"/>
  <c r="J57" i="15"/>
  <c r="J55" i="15" s="1"/>
  <c r="J58" i="15" s="1"/>
  <c r="Q51" i="15" s="1"/>
  <c r="Q72" i="15"/>
  <c r="F67" i="15"/>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M8" i="15"/>
  <c r="F6" i="15"/>
  <c r="J15" i="15"/>
  <c r="F46" i="44"/>
  <c r="F26" i="15"/>
  <c r="F9" i="15"/>
  <c r="M23" i="15"/>
  <c r="M24" i="15"/>
  <c r="F16" i="15"/>
  <c r="M22" i="15"/>
  <c r="F8" i="15"/>
  <c r="F41" i="15"/>
  <c r="F38" i="15"/>
  <c r="F13" i="15"/>
  <c r="M29" i="15"/>
  <c r="M26" i="15"/>
  <c r="F42" i="15"/>
  <c r="F43" i="15"/>
  <c r="F7" i="15"/>
  <c r="F36" i="15"/>
  <c r="M28" i="15"/>
  <c r="C18" i="44"/>
  <c r="E3" i="65"/>
  <c r="C27" i="15" l="1"/>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F1" i="15"/>
  <c r="Q63" i="44"/>
  <c r="U26" i="35"/>
  <c r="AB26" i="35"/>
  <c r="AA26" i="35"/>
  <c r="S26" i="35"/>
  <c r="M44" i="9"/>
  <c r="V21" i="59"/>
  <c r="F20" i="59"/>
  <c r="F19" i="59" s="1"/>
  <c r="F18" i="59" s="1"/>
  <c r="F17" i="59" s="1"/>
  <c r="E58" i="40"/>
  <c r="J7" i="44"/>
  <c r="J26" i="44" s="1"/>
  <c r="Q74" i="15"/>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C16" i="15"/>
  <c r="M27" i="15"/>
  <c r="M29" i="44"/>
  <c r="C48" i="15" l="1"/>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J5" i="15"/>
  <c r="J24" i="15" s="1"/>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E33" i="46" l="1"/>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I52" i="21"/>
  <c r="J52" i="21" s="1"/>
  <c r="G52" i="21"/>
  <c r="H52" i="21" s="1"/>
  <c r="G53" i="21"/>
  <c r="H53" i="21" s="1"/>
  <c r="R49" i="21"/>
  <c r="E48" i="21"/>
  <c r="F40" i="39"/>
  <c r="H40" i="39"/>
  <c r="J40" i="39"/>
  <c r="B2" i="35"/>
  <c r="L3" i="35" s="1"/>
  <c r="D8" i="12"/>
  <c r="D10" i="12" s="1"/>
  <c r="S16" i="1"/>
  <c r="M27" i="6"/>
  <c r="D30" i="6"/>
  <c r="H24" i="6"/>
  <c r="R24" i="6" s="1"/>
  <c r="R11" i="1" s="1"/>
  <c r="H23" i="6"/>
  <c r="R23" i="6" s="1"/>
  <c r="R10" i="1" s="1"/>
  <c r="H22" i="6"/>
  <c r="R22" i="6" s="1"/>
  <c r="R9" i="1" s="1"/>
  <c r="D16" i="59"/>
  <c r="C15" i="59"/>
  <c r="C31" i="46"/>
  <c r="C30" i="46"/>
  <c r="B2" i="46" s="1"/>
  <c r="D4" i="46" s="1"/>
  <c r="T11" i="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7" i="44"/>
  <c r="C14" i="15"/>
  <c r="C16" i="44"/>
  <c r="F35" i="15"/>
  <c r="M21" i="15"/>
  <c r="M23" i="44"/>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F67" i="39" s="1"/>
  <c r="B2" i="39" s="1"/>
  <c r="B65" i="39"/>
  <c r="F65" i="39" s="1"/>
  <c r="B66" i="39"/>
  <c r="F66" i="39" s="1"/>
  <c r="B58" i="39"/>
  <c r="F58" i="39" s="1"/>
  <c r="B64" i="39"/>
  <c r="F64" i="39" s="1"/>
  <c r="B63" i="39"/>
  <c r="F63"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B5" i="66" l="1"/>
  <c r="E14" i="66"/>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D5" i="66" l="1"/>
  <c r="C5" i="66"/>
  <c r="C96" i="9"/>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G14" i="66" l="1"/>
  <c r="C97" i="9"/>
  <c r="C98" i="9" s="1"/>
  <c r="E98" i="9" s="1"/>
  <c r="E99" i="9" s="1"/>
  <c r="C113" i="9"/>
  <c r="C114" i="9" s="1"/>
  <c r="K29" i="9"/>
  <c r="K30" i="9" s="1"/>
  <c r="R6" i="54"/>
  <c r="B50" i="63" s="1"/>
  <c r="M83" i="9"/>
  <c r="N83" i="9" s="1"/>
  <c r="M88" i="9"/>
  <c r="N88" i="9" s="1"/>
  <c r="M85" i="9"/>
  <c r="N85" i="9" s="1"/>
  <c r="M84" i="9"/>
  <c r="N84" i="9" s="1"/>
  <c r="M87" i="9"/>
  <c r="N87" i="9" s="1"/>
  <c r="M86" i="9"/>
  <c r="N86" i="9" s="1"/>
  <c r="B6" i="66" l="1"/>
  <c r="C99" i="9"/>
  <c r="E114" i="9"/>
  <c r="E115" i="9" s="1"/>
  <c r="C115" i="9"/>
  <c r="D76" i="9" s="1"/>
  <c r="D74" i="9" s="1"/>
  <c r="N74" i="9" s="1"/>
  <c r="O77" i="9" s="1"/>
  <c r="O79" i="9" s="1"/>
  <c r="O81" i="9" s="1"/>
  <c r="N89" i="9"/>
  <c r="O89" i="9" s="1"/>
  <c r="D6" i="66" l="1"/>
  <c r="C6" i="66"/>
  <c r="Q77" i="9"/>
  <c r="O78"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Q9" authorId="0" shapeId="0" xr:uid="{E46C3CD0-5A92-49A8-8420-B758BC752563}">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<sst xmlns="http://schemas.openxmlformats.org/spreadsheetml/2006/main" count="7813" uniqueCount="3544">
  <si>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</si>
  <si>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</si>
  <si>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</si>
  <si>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</si>
  <si>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</si>
  <si>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</si>
  <si>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</si>
  <si>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</si>
  <si>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</si>
  <si>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</si>
  <si>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</si>
  <si>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</si>
  <si>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</si>
  <si>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</si>
  <si>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</si>
  <si>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</si>
  <si>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</si>
  <si>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</si>
  <si>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</si>
  <si>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</si>
  <si>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</si>
  <si>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</si>
  <si>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</si>
  <si>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</si>
  <si>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</si>
  <si>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</si>
  <si>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</si>
  <si>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</si>
  <si>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</si>
  <si>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</si>
  <si>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</si>
  <si>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</si>
  <si>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</si>
  <si>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</si>
  <si>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</si>
  <si>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</si>
  <si>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</si>
  <si>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</si>
  <si>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</si>
  <si>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</si>
  <si>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</si>
  <si>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</si>
  <si>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</si>
  <si>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</si>
  <si>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</si>
  <si>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</si>
  <si>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</si>
  <si>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</si>
  <si>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</si>
  <si>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</si>
  <si>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</si>
  <si>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</si>
  <si>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</si>
  <si>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</si>
  <si>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</si>
  <si>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</si>
  <si>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</si>
  <si>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</si>
  <si>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</si>
  <si>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</si>
  <si>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</si>
  <si>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</si>
  <si>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</si>
  <si>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</si>
  <si>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</si>
  <si>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</si>
  <si>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</si>
  <si>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</si>
  <si>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</si>
  <si>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</si>
  <si>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</si>
  <si>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</si>
  <si>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</si>
  <si>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</si>
  <si>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</si>
  <si>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</si>
  <si>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</si>
  <si>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</si>
  <si>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</si>
  <si>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</si>
  <si>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</si>
  <si>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</si>
  <si>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</si>
  <si>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</si>
  <si>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</si>
  <si>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</si>
  <si>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</si>
  <si>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</si>
  <si>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</si>
  <si>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</si>
  <si>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</si>
  <si>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</si>
  <si>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</si>
  <si>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</si>
  <si>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</si>
  <si>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</si>
  <si>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</si>
  <si>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</si>
  <si>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</si>
  <si>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</si>
  <si>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</si>
  <si>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</si>
  <si>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</si>
  <si>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</si>
  <si>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</si>
  <si>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</si>
  <si>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</si>
  <si>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</si>
  <si>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</si>
  <si>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</si>
  <si>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</si>
  <si>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</si>
  <si>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</si>
  <si>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</si>
  <si>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</si>
  <si>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</si>
  <si>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</si>
  <si>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</si>
  <si>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</si>
  <si>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</si>
  <si>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</si>
  <si>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</si>
  <si>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</si>
  <si>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</si>
  <si>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</si>
  <si>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</si>
  <si>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</si>
  <si>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</si>
  <si>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</si>
  <si>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</si>
  <si>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</si>
  <si>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</si>
  <si>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</si>
  <si>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</si>
  <si>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</si>
  <si>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</si>
  <si>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</si>
  <si>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</si>
  <si>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</si>
  <si>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</si>
  <si>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</si>
  <si>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</si>
  <si>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</si>
  <si>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</si>
  <si>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</si>
  <si>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</si>
  <si>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</si>
  <si>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</si>
  <si>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</si>
  <si>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</si>
  <si>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</si>
  <si>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</si>
  <si>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</si>
  <si>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</si>
  <si>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</si>
  <si>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</si>
  <si>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</si>
  <si>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</si>
  <si>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</si>
  <si>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</si>
  <si>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</si>
  <si>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</si>
  <si>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</si>
  <si>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</si>
  <si>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</si>
  <si>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</si>
  <si>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</si>
  <si>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</si>
  <si>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</si>
  <si>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</si>
  <si>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</si>
  <si>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</si>
  <si>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</si>
  <si>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</si>
  <si>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</si>
  <si>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</si>
  <si>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</si>
  <si>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</si>
  <si>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</si>
  <si>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</si>
  <si>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</si>
  <si>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</si>
  <si>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</si>
  <si>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</si>
  <si>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</si>
  <si>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</si>
  <si>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</si>
  <si>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</si>
  <si>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</si>
  <si>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</si>
  <si>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</si>
  <si>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</si>
  <si>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</si>
  <si>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</si>
  <si>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</si>
  <si>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</si>
  <si>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</si>
  <si>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</si>
  <si>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</si>
  <si>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</si>
  <si>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</si>
  <si>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</si>
  <si>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</si>
  <si>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</si>
  <si>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</si>
  <si>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</si>
  <si>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</si>
  <si>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</si>
  <si>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</si>
  <si>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</si>
  <si>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</si>
  <si>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</si>
  <si>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</si>
  <si>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</si>
  <si>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</si>
  <si>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</si>
  <si>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</si>
  <si>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</si>
  <si>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</si>
  <si>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</si>
  <si>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</si>
  <si>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</si>
  <si>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</si>
  <si>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</si>
  <si>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</si>
  <si>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</si>
  <si>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</si>
  <si>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</si>
  <si>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</si>
  <si>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</si>
  <si>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</si>
  <si>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</si>
  <si>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</si>
  <si>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</si>
  <si>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</si>
  <si>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</si>
  <si>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</si>
  <si>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</si>
  <si>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</si>
  <si>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</si>
  <si>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</si>
  <si>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</si>
  <si>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</si>
  <si>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</si>
  <si>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</si>
  <si>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</si>
  <si>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</si>
  <si>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</si>
  <si>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</si>
  <si>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</si>
  <si>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</si>
  <si>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</si>
  <si>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</si>
  <si>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</si>
  <si>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</si>
  <si>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</si>
  <si>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</si>
  <si>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</si>
  <si>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</si>
  <si>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</si>
  <si>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</si>
  <si>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</si>
  <si>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</si>
  <si>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</si>
  <si>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</si>
  <si>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</si>
  <si>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</si>
  <si>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</si>
  <si>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</si>
  <si>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</si>
  <si>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</si>
  <si>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</si>
  <si>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</si>
  <si>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</si>
  <si>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</si>
  <si>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</si>
  <si>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</si>
  <si>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</si>
  <si>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</si>
  <si>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</si>
  <si>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</si>
  <si>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</si>
  <si>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</si>
  <si>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</si>
  <si>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</si>
  <si>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</si>
  <si>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</si>
  <si>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</si>
  <si>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</si>
  <si>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</si>
  <si>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</si>
  <si>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</si>
  <si>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</si>
  <si>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</si>
  <si>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</si>
  <si>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</si>
  <si>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</si>
  <si>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</si>
  <si>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</si>
  <si>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</si>
  <si>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</si>
  <si>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</si>
  <si>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</si>
  <si>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</si>
  <si>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</si>
  <si>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</si>
  <si>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</si>
  <si>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</si>
  <si>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</si>
  <si>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</si>
  <si>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</si>
  <si>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</si>
  <si>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</si>
  <si>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</si>
  <si>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</si>
  <si>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</si>
  <si>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</si>
  <si>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</si>
  <si>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</si>
  <si>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</si>
  <si>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</si>
  <si>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</si>
  <si>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</si>
  <si>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</si>
  <si>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</si>
  <si>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</si>
  <si>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</si>
  <si>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</si>
  <si>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</si>
  <si>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</si>
  <si>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</si>
  <si>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</si>
  <si>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</si>
  <si>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</si>
  <si>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</si>
  <si>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</si>
  <si>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</si>
  <si>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</si>
  <si>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</si>
  <si>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</si>
  <si>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</si>
  <si>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</si>
  <si>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</si>
  <si>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</si>
  <si>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</si>
  <si>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</si>
  <si>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</si>
  <si>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</si>
  <si>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</si>
  <si>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</si>
  <si>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</si>
  <si>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</si>
  <si>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</si>
  <si>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</si>
  <si>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</si>
  <si>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</si>
  <si>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</si>
  <si>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</si>
  <si>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</si>
  <si>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</si>
  <si>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</si>
  <si>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</si>
  <si>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</si>
  <si>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</si>
  <si>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</si>
  <si>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</si>
  <si>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</si>
  <si>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</si>
  <si>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</si>
  <si>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</si>
  <si>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</si>
  <si>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</si>
  <si>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</si>
  <si>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</si>
  <si>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</si>
  <si>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</si>
  <si>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</si>
  <si>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</si>
  <si>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</si>
  <si>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</si>
  <si>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</si>
  <si>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</si>
  <si>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</si>
  <si>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</si>
  <si>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</si>
  <si>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</si>
  <si>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</si>
  <si>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</si>
  <si>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</si>
  <si>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</si>
  <si>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</si>
  <si>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</si>
  <si>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</si>
  <si>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</si>
  <si>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</si>
  <si>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</si>
  <si>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</si>
  <si>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</si>
  <si>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</si>
  <si>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</si>
  <si>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</si>
  <si>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</si>
  <si>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</si>
  <si>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</si>
  <si>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</si>
  <si>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</si>
  <si>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</si>
  <si>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</si>
  <si>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</si>
  <si>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</si>
  <si>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</si>
  <si>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</si>
  <si>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</si>
  <si>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</si>
  <si>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</si>
  <si>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</si>
  <si>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</si>
  <si>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</si>
  <si>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</si>
  <si>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</si>
  <si>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</si>
  <si>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</si>
  <si>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</si>
  <si>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</si>
  <si>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</si>
  <si>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</si>
  <si>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</si>
  <si>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</si>
  <si>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</si>
  <si>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</si>
  <si>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</si>
  <si>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</si>
  <si>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</si>
  <si>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</si>
  <si>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</si>
  <si>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</si>
  <si>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</si>
  <si>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</si>
  <si>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</si>
  <si>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</si>
  <si>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</si>
  <si>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</si>
  <si>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</si>
  <si>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</si>
  <si>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</si>
  <si>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</si>
  <si>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</si>
  <si>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</si>
  <si>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</si>
  <si>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</si>
  <si>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</si>
  <si>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</si>
  <si>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</si>
  <si>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</si>
  <si>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</si>
  <si>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</si>
  <si>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</si>
  <si>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</si>
  <si>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</si>
  <si>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</si>
  <si>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</si>
  <si>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</si>
  <si>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</si>
  <si>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</si>
  <si>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</si>
  <si>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</si>
  <si>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</si>
  <si>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</si>
  <si>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</si>
  <si>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</si>
  <si>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</si>
  <si>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</si>
  <si>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</si>
  <si>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</si>
  <si>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</si>
  <si>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</si>
  <si>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</si>
  <si>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</si>
  <si>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</si>
  <si>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</si>
  <si>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</si>
  <si>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</si>
  <si>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</si>
  <si>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</si>
  <si>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</si>
  <si>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</si>
  <si>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</si>
  <si>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</si>
  <si>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</si>
  <si>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</si>
  <si>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</si>
  <si>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</si>
  <si>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</si>
  <si>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</si>
  <si>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</si>
  <si>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</si>
  <si>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</si>
  <si>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</si>
  <si>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</si>
  <si>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</si>
  <si>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</si>
  <si>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</si>
  <si>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</si>
  <si>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</si>
  <si>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</si>
  <si>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</si>
  <si>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</si>
  <si>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</si>
  <si>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</si>
  <si>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</si>
  <si>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</si>
  <si>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</si>
  <si>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</si>
  <si>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</si>
  <si>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</si>
  <si>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</si>
  <si>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</si>
  <si>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</si>
  <si>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</si>
  <si>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</si>
  <si>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</si>
  <si>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</si>
  <si>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</si>
  <si>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</si>
  <si>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</si>
  <si>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</si>
  <si>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</si>
  <si>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</si>
  <si>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</si>
  <si>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</si>
  <si>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</si>
  <si>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</si>
  <si>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</si>
  <si>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</si>
  <si>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</si>
  <si>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</si>
  <si>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</si>
  <si>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</si>
  <si>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</si>
  <si>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</si>
  <si>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</si>
  <si>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</si>
  <si>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</si>
  <si>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</si>
  <si>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</si>
  <si>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</si>
  <si>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</si>
  <si>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</si>
  <si>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</si>
  <si>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</si>
  <si>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</si>
  <si>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</si>
  <si>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</si>
  <si>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</si>
  <si>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</si>
  <si>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</si>
  <si>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</si>
  <si>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</si>
  <si>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</si>
  <si>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</si>
  <si>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</si>
  <si>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</si>
  <si>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</si>
  <si>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</si>
  <si>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</si>
  <si>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</si>
  <si>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</si>
  <si>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</si>
  <si>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</si>
  <si>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</si>
  <si>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</si>
  <si>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</si>
  <si>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</si>
  <si>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</si>
  <si>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</si>
  <si>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</si>
  <si>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</si>
  <si>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</si>
  <si>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</si>
  <si>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</si>
  <si>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</si>
  <si>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</si>
  <si>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</si>
  <si>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</si>
  <si>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</si>
  <si>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</si>
  <si>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</si>
  <si>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</si>
  <si>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</si>
  <si>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</si>
  <si>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</si>
  <si>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</si>
  <si>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</si>
  <si>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</si>
  <si>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</si>
  <si>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</si>
  <si>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</si>
  <si>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</si>
  <si>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</si>
  <si>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</si>
  <si>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</si>
  <si>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</si>
  <si>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</si>
  <si>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</si>
  <si>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</si>
  <si>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</si>
  <si>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</si>
  <si>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</si>
  <si>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</si>
  <si>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</si>
  <si>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</si>
  <si>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</si>
  <si>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</si>
  <si>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</si>
  <si>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</si>
  <si>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</si>
  <si>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</si>
  <si>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</si>
  <si>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</si>
  <si>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</si>
  <si>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</si>
  <si>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</si>
  <si>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</si>
  <si>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</si>
  <si>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</si>
  <si>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</si>
  <si>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</si>
  <si>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</si>
  <si>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</si>
  <si>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</si>
  <si>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</si>
  <si>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</si>
  <si>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</si>
  <si>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</si>
  <si>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</si>
  <si>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</si>
  <si>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</si>
  <si>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</si>
  <si>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</si>
  <si>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</si>
  <si>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</si>
  <si>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</si>
  <si>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</si>
  <si>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</si>
  <si>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</si>
  <si>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</si>
  <si>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</si>
  <si>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</si>
  <si>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</si>
  <si>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</si>
  <si>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</si>
  <si>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</si>
  <si>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</si>
  <si>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</si>
  <si>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</si>
  <si>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</si>
  <si>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</si>
  <si>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</si>
  <si>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</si>
  <si>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</si>
  <si>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</si>
  <si>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</si>
  <si>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</si>
  <si>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</si>
  <si>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</si>
  <si>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</si>
  <si>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</si>
  <si>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</si>
  <si>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</si>
  <si>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</si>
  <si>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</si>
  <si>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</si>
  <si>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</si>
  <si>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</si>
  <si>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</si>
  <si>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</si>
  <si>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</si>
  <si>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</si>
  <si>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</si>
  <si>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</si>
  <si>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</si>
  <si>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</si>
  <si>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</si>
  <si>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</si>
  <si>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</si>
  <si>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</si>
  <si>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</si>
  <si>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</si>
  <si>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</si>
  <si>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</si>
  <si>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</si>
  <si>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</si>
  <si>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</si>
  <si>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</si>
  <si>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</si>
  <si>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</si>
  <si>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</si>
  <si>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</si>
  <si>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</si>
  <si>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</si>
  <si>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</si>
  <si>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</si>
  <si>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</si>
  <si>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</si>
  <si>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</si>
  <si>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</si>
  <si>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</si>
  <si>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</si>
  <si>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</si>
  <si>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</si>
  <si>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</si>
  <si>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</si>
  <si>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</si>
  <si>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</si>
  <si>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</si>
  <si>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</si>
  <si>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</si>
  <si>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</si>
  <si>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</si>
  <si>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</si>
  <si>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</si>
  <si>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</si>
  <si>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</si>
  <si>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</si>
  <si>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</si>
  <si>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</si>
  <si>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</si>
  <si>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</si>
  <si>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</si>
  <si>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</si>
  <si>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</si>
  <si>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</si>
  <si>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</si>
  <si>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</si>
  <si>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</si>
  <si>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</si>
  <si>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</si>
  <si>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</si>
  <si>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</si>
  <si>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</si>
  <si>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</si>
  <si>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</si>
  <si>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</si>
  <si>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</si>
  <si>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</si>
  <si>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</si>
  <si>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</si>
  <si>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</si>
  <si>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</si>
  <si>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</si>
  <si>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</si>
  <si>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</si>
  <si>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</si>
  <si>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</si>
  <si>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</si>
  <si>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</si>
  <si>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</si>
  <si>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</si>
  <si>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</si>
  <si>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</si>
  <si>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</si>
  <si>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</si>
  <si>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</si>
  <si>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</si>
  <si>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</si>
  <si>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</si>
  <si>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</si>
  <si>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</si>
  <si>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</si>
  <si>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</si>
  <si>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</si>
  <si>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</si>
  <si>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</si>
  <si>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</si>
  <si>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</si>
  <si>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</si>
  <si>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</si>
  <si>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</si>
  <si>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</si>
  <si>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</si>
  <si>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</si>
  <si>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</si>
  <si>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</si>
  <si>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</si>
  <si>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</si>
  <si>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</si>
  <si>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</si>
  <si>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</si>
  <si>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</si>
  <si>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</si>
  <si>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</si>
  <si>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</si>
  <si>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</si>
  <si>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</si>
  <si>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</si>
  <si>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</si>
  <si>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</si>
  <si>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</si>
  <si>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</si>
  <si>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</si>
  <si>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</si>
  <si>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</si>
  <si>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</si>
  <si>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</si>
  <si>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</si>
  <si>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</si>
  <si>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</si>
  <si>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</si>
  <si>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</si>
  <si>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</si>
  <si>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</si>
  <si>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</si>
  <si>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</si>
  <si>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</si>
  <si>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</si>
  <si>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</si>
  <si>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</si>
  <si>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</si>
  <si>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</si>
  <si>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</si>
  <si>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</si>
  <si>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</si>
  <si>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</si>
  <si>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</si>
  <si>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</si>
  <si>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</si>
  <si>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</si>
  <si>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</si>
  <si>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</si>
  <si>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</si>
  <si>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</si>
  <si>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</si>
  <si>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</si>
  <si>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</si>
  <si>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</si>
  <si>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</si>
  <si>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</si>
  <si>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</si>
  <si>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</si>
  <si>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</si>
  <si>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</si>
  <si>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</si>
  <si>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</si>
  <si>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</si>
  <si>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</si>
  <si>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</si>
  <si>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</si>
  <si>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</si>
  <si>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</si>
  <si>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</si>
  <si>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</si>
  <si>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</si>
  <si>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</si>
  <si>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</si>
  <si>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</si>
  <si>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</si>
  <si>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</si>
  <si>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</si>
  <si>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</si>
  <si>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</si>
  <si>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</si>
  <si>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</si>
  <si>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</si>
  <si>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</si>
  <si>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</si>
  <si>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</si>
  <si>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</si>
  <si>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</si>
  <si>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</si>
  <si>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</si>
  <si>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</si>
  <si>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</si>
  <si>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</si>
  <si>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</si>
  <si>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</si>
  <si>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</si>
  <si>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</si>
  <si>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</si>
  <si>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</si>
  <si>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</si>
  <si>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</si>
  <si>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</si>
  <si>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</si>
  <si>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</si>
  <si>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</si>
  <si>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</si>
  <si>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</si>
  <si>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</si>
  <si>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</si>
  <si>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</si>
  <si>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</si>
  <si>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</si>
  <si>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</si>
  <si>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</si>
  <si>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</si>
  <si>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</si>
  <si>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</si>
  <si>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</si>
  <si>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</si>
  <si>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</si>
  <si>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</si>
  <si>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</si>
  <si>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</si>
  <si>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</si>
  <si>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</si>
  <si>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</si>
  <si>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</si>
  <si>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</si>
  <si>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</si>
  <si>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</si>
  <si>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</si>
  <si>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</si>
  <si>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</si>
  <si>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</si>
  <si>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</si>
  <si>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</si>
  <si>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</si>
  <si>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</si>
  <si>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</si>
  <si>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</si>
  <si>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</si>
  <si>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</si>
  <si>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</si>
  <si>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</si>
  <si>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</si>
  <si>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</si>
  <si>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</si>
  <si>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</si>
  <si>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</si>
  <si>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</si>
  <si>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</si>
  <si>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</si>
  <si>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</si>
  <si>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</si>
  <si>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</si>
  <si>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</si>
  <si>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</si>
  <si>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</si>
  <si>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</si>
  <si>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</si>
  <si>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</si>
  <si>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</si>
  <si>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</si>
  <si>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</si>
  <si>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</si>
  <si>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</si>
  <si>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</si>
  <si>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</si>
  <si>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</si>
  <si>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</si>
  <si>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</si>
  <si>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</si>
  <si>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</si>
  <si>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</si>
  <si>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</si>
  <si>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</si>
  <si>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</si>
  <si>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</si>
  <si>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</si>
  <si>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</si>
  <si>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</si>
  <si>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</si>
  <si>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</si>
  <si>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</si>
  <si>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</si>
  <si>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</si>
  <si>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</si>
  <si>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</si>
  <si>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</si>
  <si>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</si>
  <si>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</si>
  <si>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</si>
  <si>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</si>
  <si>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</si>
  <si>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</si>
  <si>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</si>
  <si>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</si>
  <si>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</si>
  <si>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</si>
  <si>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</si>
  <si>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</si>
  <si>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</si>
  <si>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</si>
  <si>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</si>
  <si>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</si>
  <si>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</si>
  <si>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</si>
  <si>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</si>
  <si>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</si>
  <si>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</si>
  <si>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</si>
  <si>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</si>
  <si>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</si>
  <si>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</si>
  <si>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</si>
  <si>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</si>
  <si>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</si>
  <si>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</si>
  <si>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</si>
  <si>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</si>
  <si>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</si>
  <si>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</si>
  <si>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</si>
  <si>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</si>
  <si>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</si>
  <si>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</si>
  <si>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</si>
  <si>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</si>
  <si>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</si>
  <si>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</si>
  <si>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</si>
  <si>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</si>
  <si>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</si>
  <si>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</si>
  <si>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</si>
  <si>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</si>
  <si>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</si>
  <si>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</si>
  <si>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</si>
  <si>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</si>
  <si>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</si>
  <si>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</si>
  <si>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</si>
  <si>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</si>
  <si>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</si>
  <si>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</si>
  <si>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</si>
  <si>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</si>
  <si>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</si>
  <si>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</si>
  <si>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</si>
  <si>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</si>
  <si>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</si>
  <si>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</si>
  <si>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</si>
  <si>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</si>
  <si>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</si>
  <si>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</si>
  <si>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</si>
  <si>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</si>
  <si>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</si>
  <si>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</si>
  <si>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</si>
  <si>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</si>
  <si>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</si>
  <si>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</si>
  <si>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</si>
  <si>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</si>
  <si>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</si>
  <si>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</si>
  <si>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</si>
  <si>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</si>
  <si>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</si>
  <si>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</si>
  <si>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</si>
  <si>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</si>
  <si>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</si>
  <si>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</si>
  <si>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</si>
  <si>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</si>
  <si>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</si>
  <si>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</si>
  <si>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</si>
  <si>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</si>
  <si>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</si>
  <si>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</si>
  <si>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</si>
  <si>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</si>
  <si>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</si>
  <si>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</si>
  <si>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</si>
  <si>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</si>
  <si>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</si>
  <si>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</si>
  <si>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</si>
  <si>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</si>
  <si>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</si>
  <si>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</si>
  <si>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</si>
  <si>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</si>
  <si>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</si>
  <si>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</si>
  <si>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</si>
  <si>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</si>
  <si>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</si>
  <si>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</si>
  <si>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</si>
  <si>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</si>
  <si>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</si>
  <si>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</si>
  <si>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</si>
  <si>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</si>
  <si>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</si>
  <si>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</si>
  <si>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</si>
  <si>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</si>
  <si>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</si>
  <si>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</si>
  <si>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</si>
  <si>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</si>
  <si>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</si>
  <si>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</si>
  <si>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</si>
  <si>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</si>
  <si>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</si>
  <si>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</si>
  <si>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</si>
  <si>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</si>
  <si>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</si>
  <si>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</si>
  <si>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</si>
  <si>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</si>
  <si>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</si>
  <si>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</si>
  <si>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</si>
  <si>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</si>
  <si>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</si>
  <si>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</si>
  <si>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</si>
  <si>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</si>
  <si>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</si>
  <si>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</si>
  <si>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</si>
  <si>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</si>
  <si>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</si>
  <si>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</si>
  <si>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</si>
  <si>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</si>
  <si>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</si>
  <si>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</si>
  <si>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</si>
  <si>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</si>
  <si>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</si>
  <si>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</si>
  <si>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</si>
  <si>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</si>
  <si>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</si>
  <si>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</si>
  <si>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</si>
  <si>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</si>
  <si>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</si>
  <si>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</si>
  <si>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</si>
  <si>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</si>
  <si>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</si>
  <si>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</si>
  <si>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</si>
  <si>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</si>
  <si>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</si>
  <si>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</si>
  <si>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</si>
  <si>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</si>
  <si>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</si>
  <si>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</si>
  <si>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</si>
  <si>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</si>
  <si>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</si>
  <si>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</si>
  <si>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</si>
  <si>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</si>
  <si>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</si>
  <si>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</si>
  <si>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</si>
  <si>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</si>
  <si>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</si>
  <si>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</si>
  <si>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</si>
  <si>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</si>
  <si>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</si>
  <si>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</si>
  <si>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</si>
  <si>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</si>
  <si>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</si>
  <si>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</si>
  <si>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</si>
  <si>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</si>
  <si>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</si>
  <si>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</si>
  <si>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</si>
  <si>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</si>
  <si>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</si>
  <si>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</si>
  <si>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</si>
  <si>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</si>
  <si>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</si>
  <si>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</si>
  <si>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</si>
  <si>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</si>
  <si>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</si>
  <si>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</si>
  <si>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</si>
  <si>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</si>
  <si>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</si>
  <si>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</si>
  <si>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</si>
  <si>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</si>
  <si>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</si>
  <si>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</si>
  <si>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</si>
  <si>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</si>
  <si>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</si>
  <si>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</si>
  <si>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</si>
  <si>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</si>
  <si>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</si>
  <si>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</si>
  <si>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</si>
  <si>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</si>
  <si>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</si>
  <si>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</si>
  <si>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</si>
  <si>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</si>
  <si>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</si>
  <si>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</si>
  <si>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</si>
  <si>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</si>
  <si>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</si>
  <si>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</si>
  <si>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</si>
  <si>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</si>
  <si>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</si>
  <si>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</si>
  <si>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</si>
  <si>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</si>
  <si>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</si>
  <si>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</si>
  <si>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</si>
  <si>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</si>
  <si>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</si>
  <si>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</si>
  <si>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</si>
  <si>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</si>
  <si>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</si>
  <si>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</si>
  <si>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</si>
  <si>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</si>
  <si>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</si>
  <si>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</si>
  <si>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</si>
  <si>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</si>
  <si>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</si>
  <si>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</si>
  <si>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</si>
  <si>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</si>
  <si>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</si>
  <si>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</si>
  <si>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</si>
  <si>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</si>
  <si>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</si>
  <si>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</si>
  <si>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</si>
  <si>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</si>
  <si>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</si>
  <si>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</si>
  <si>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</si>
  <si>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</si>
  <si>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</si>
  <si>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</si>
  <si>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</si>
  <si>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</si>
  <si>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</si>
  <si>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</si>
  <si>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</si>
  <si>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</si>
  <si>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</si>
  <si>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</si>
  <si>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</si>
  <si>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</si>
  <si>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</si>
  <si>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</si>
  <si>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</si>
  <si>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</si>
  <si>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</si>
  <si>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</si>
  <si>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</si>
  <si>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</si>
  <si>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</si>
  <si>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</si>
  <si>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</si>
  <si>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</si>
  <si>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</si>
  <si>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</si>
  <si>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</si>
  <si>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</si>
  <si>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</si>
  <si>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</si>
  <si>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</si>
  <si>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</si>
  <si>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</si>
  <si>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</si>
  <si>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</si>
  <si>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</si>
  <si>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</si>
  <si>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</si>
  <si>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</si>
  <si>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</si>
  <si>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</si>
  <si>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</si>
  <si>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</si>
  <si>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</si>
  <si>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</si>
  <si>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</si>
  <si>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</si>
  <si>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</si>
  <si>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</si>
  <si>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</si>
  <si>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</si>
  <si>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</si>
  <si>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</si>
  <si>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</si>
  <si>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</si>
  <si>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</si>
  <si>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</si>
  <si>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</si>
  <si>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</si>
  <si>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</si>
  <si>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</si>
  <si>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</si>
  <si>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</si>
  <si>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</si>
  <si>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</si>
  <si>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</si>
  <si>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</si>
  <si>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</si>
  <si>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</si>
  <si>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</si>
  <si>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</si>
  <si>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</si>
  <si>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</si>
  <si>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</si>
  <si>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</si>
  <si>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</si>
  <si>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</si>
  <si>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</si>
  <si>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</si>
  <si>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</si>
  <si>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</si>
  <si>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</si>
  <si>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</si>
  <si>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</si>
  <si>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</si>
  <si>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</si>
  <si>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</si>
  <si>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</si>
  <si>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</si>
  <si>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</si>
  <si>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</si>
  <si>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</si>
  <si>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</si>
  <si>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</si>
  <si>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</si>
  <si>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</si>
  <si>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</si>
  <si>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</si>
  <si>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</si>
  <si>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</si>
  <si>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</si>
  <si>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</si>
  <si>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</si>
  <si>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</si>
  <si>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</si>
  <si>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</si>
  <si>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</si>
  <si>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</si>
  <si>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</si>
  <si>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</si>
  <si>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</si>
  <si>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</si>
  <si>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</si>
  <si>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</si>
  <si>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</si>
  <si>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</si>
  <si>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</si>
  <si>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</si>
  <si>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</si>
  <si>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</si>
  <si>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</si>
  <si>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</si>
  <si>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</si>
  <si>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</si>
  <si>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</si>
  <si>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</si>
  <si>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</si>
  <si>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</si>
  <si>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</si>
  <si>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</si>
  <si>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</si>
  <si>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</si>
  <si>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</si>
  <si>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</si>
  <si>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</si>
  <si>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</si>
  <si>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</si>
  <si>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</si>
  <si>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</si>
  <si>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</si>
  <si>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</si>
  <si>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</si>
  <si>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</si>
  <si>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</si>
  <si>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</si>
  <si>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</si>
  <si>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</si>
  <si>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</si>
  <si>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</si>
  <si>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</si>
  <si>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</si>
  <si>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</si>
  <si>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</si>
  <si>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</si>
  <si>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</si>
  <si>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</si>
  <si>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</si>
  <si>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</si>
  <si>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</si>
  <si>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</si>
  <si>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</si>
  <si>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</si>
  <si>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</si>
  <si>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</si>
  <si>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</si>
  <si>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</si>
  <si>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</si>
  <si>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</si>
  <si>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</si>
  <si>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</si>
  <si>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</si>
  <si>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</si>
  <si>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</si>
  <si>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</si>
  <si>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</si>
  <si>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</si>
  <si>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</si>
  <si>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</si>
  <si>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</si>
  <si>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</si>
  <si>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</si>
  <si>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</si>
  <si>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</si>
  <si>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</si>
  <si>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</si>
  <si>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</si>
  <si>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</si>
  <si>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</si>
  <si>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</si>
  <si>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</si>
  <si>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</si>
  <si>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</si>
  <si>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</si>
  <si>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</si>
  <si>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</si>
  <si>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</si>
  <si>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</si>
  <si>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</si>
  <si>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</si>
  <si>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</si>
  <si>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</si>
  <si>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</si>
  <si>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</si>
  <si>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</si>
  <si>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</si>
  <si>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</si>
  <si>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</si>
  <si>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</si>
  <si>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</si>
  <si>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</si>
  <si>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</si>
  <si>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</si>
  <si>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</si>
  <si>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</si>
  <si>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</si>
  <si>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</si>
  <si>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</si>
  <si>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</si>
  <si>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</si>
  <si>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</si>
  <si>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</si>
  <si>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</si>
  <si>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</si>
  <si>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</si>
  <si>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</si>
  <si>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</si>
  <si>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</si>
  <si>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</si>
  <si>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</si>
  <si>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</si>
  <si>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</si>
  <si>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</si>
  <si>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</si>
  <si>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</si>
  <si>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</si>
  <si>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</si>
  <si>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</si>
  <si>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</si>
  <si>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</si>
  <si>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</si>
  <si>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</si>
  <si>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</si>
  <si>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</si>
  <si>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</si>
  <si>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</si>
  <si>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</si>
  <si>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</si>
  <si>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</si>
  <si>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</si>
  <si>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</si>
  <si>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</si>
  <si>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</si>
  <si>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</si>
  <si>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</si>
  <si>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</si>
  <si>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</si>
  <si>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</si>
  <si>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</si>
  <si>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</si>
  <si>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</si>
  <si>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</si>
  <si>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</si>
  <si>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</si>
  <si>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</si>
  <si>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</si>
  <si>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</si>
  <si>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</si>
  <si>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</si>
  <si>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</si>
  <si>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</si>
  <si>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</si>
  <si>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</si>
  <si>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</si>
  <si>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</si>
  <si>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</si>
  <si>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</si>
  <si>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</si>
  <si>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</si>
  <si>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</si>
  <si>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</si>
  <si>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</si>
  <si>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</si>
  <si>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</si>
  <si>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</si>
  <si>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</si>
  <si>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</si>
  <si>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</si>
  <si>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</si>
  <si>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</si>
  <si>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</si>
  <si>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</si>
  <si>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</si>
  <si>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</si>
  <si>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</si>
  <si>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</si>
  <si>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</si>
  <si>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</si>
  <si>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</si>
  <si>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</si>
  <si>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</si>
  <si>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</si>
  <si>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</si>
  <si>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</si>
  <si>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</si>
  <si>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</si>
  <si>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</si>
  <si>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</si>
  <si>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</si>
  <si>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</si>
  <si>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</si>
  <si>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</si>
  <si>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</si>
  <si>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</si>
  <si>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</si>
  <si>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</si>
  <si>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</si>
  <si>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</si>
  <si>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</si>
  <si>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</si>
  <si>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</si>
  <si>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</si>
  <si>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</si>
  <si>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</si>
  <si>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</si>
  <si>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</si>
  <si>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</si>
  <si>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</si>
  <si>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</si>
  <si>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</si>
  <si>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</si>
  <si>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</si>
  <si>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</si>
  <si>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</si>
  <si>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</si>
  <si>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</si>
  <si>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</si>
  <si>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</si>
  <si>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</si>
  <si>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</si>
  <si>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</si>
  <si>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</si>
  <si>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</si>
  <si>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</si>
  <si>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</si>
  <si>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</si>
  <si>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</si>
  <si>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</si>
  <si>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</si>
  <si>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</si>
  <si>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</si>
  <si>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</si>
  <si>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</si>
  <si>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</si>
  <si>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</si>
  <si>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</si>
  <si>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</si>
  <si>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</si>
  <si>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</si>
  <si>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</si>
  <si>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</si>
  <si>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</si>
  <si>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</si>
  <si>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</si>
  <si>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</si>
  <si>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</si>
  <si>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</si>
  <si>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</si>
  <si>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</si>
  <si>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</si>
  <si>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</si>
  <si>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</si>
  <si>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</si>
  <si>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</si>
  <si>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</si>
  <si>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</si>
  <si>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</si>
  <si>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</si>
  <si>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</si>
  <si>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</si>
  <si>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</si>
  <si>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</si>
  <si>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</si>
  <si>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</si>
  <si>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</si>
  <si>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</si>
  <si>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</si>
  <si>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</si>
  <si>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</si>
  <si>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</si>
  <si>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</si>
  <si>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</si>
  <si>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</si>
  <si>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</si>
  <si>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</si>
  <si>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</si>
  <si>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</si>
  <si>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</si>
  <si>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</si>
  <si>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</si>
  <si>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</si>
  <si>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</si>
  <si>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</si>
  <si>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</si>
  <si>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</si>
  <si>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</si>
  <si>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</si>
  <si>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</si>
  <si>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</si>
  <si>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</si>
  <si>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</si>
  <si>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</si>
  <si>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</si>
  <si>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</si>
  <si>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</si>
  <si>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</si>
  <si>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</si>
  <si>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</si>
  <si>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</si>
  <si>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</si>
  <si>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</si>
  <si>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</si>
  <si>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</si>
  <si>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</si>
  <si>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</si>
  <si>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</si>
  <si>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</si>
  <si>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</si>
  <si>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</si>
  <si>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</si>
  <si>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</si>
  <si>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</si>
  <si>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</si>
  <si>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</si>
  <si>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</si>
  <si>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</si>
  <si>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</si>
  <si>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</si>
  <si>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</si>
  <si>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</si>
  <si>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</si>
  <si>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</si>
  <si>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</si>
  <si>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</si>
  <si>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</si>
  <si>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</si>
  <si>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</si>
  <si>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</si>
  <si>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</si>
  <si>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</si>
  <si>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</si>
  <si>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</si>
  <si>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</si>
  <si>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</si>
  <si>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</si>
  <si>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</si>
  <si>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</si>
  <si>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</si>
  <si>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</si>
  <si>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</si>
  <si>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</si>
  <si>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</si>
  <si>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</si>
  <si>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</si>
  <si>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</si>
  <si>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</si>
  <si>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</si>
  <si>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</si>
  <si>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</si>
  <si>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</si>
  <si>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</si>
  <si>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</si>
  <si>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</si>
  <si>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</si>
  <si>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</si>
  <si>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</si>
  <si>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</si>
  <si>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</si>
  <si>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</si>
  <si>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</si>
  <si>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</si>
  <si>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</si>
  <si>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</si>
  <si>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</si>
  <si>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</si>
  <si>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</si>
  <si>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</si>
  <si>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</si>
  <si>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</si>
  <si>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</si>
  <si>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</si>
  <si>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</si>
  <si>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</si>
  <si>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</si>
  <si>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</si>
  <si>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</si>
  <si>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</si>
  <si>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</si>
  <si>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</si>
  <si>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</si>
  <si>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</si>
  <si>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</si>
  <si>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</si>
  <si>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</si>
  <si>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</si>
  <si>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</si>
  <si>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</si>
  <si>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</si>
  <si>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</si>
  <si>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</si>
  <si>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</si>
  <si>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</si>
  <si>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</si>
  <si>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</si>
  <si>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</si>
  <si>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</si>
  <si>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</si>
  <si>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</si>
  <si>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</si>
  <si>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</si>
  <si>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</si>
  <si>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</si>
  <si>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</si>
  <si>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</si>
  <si>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</si>
  <si>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</si>
  <si>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</si>
  <si>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</si>
  <si>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</si>
  <si>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</si>
  <si>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</si>
  <si>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</si>
  <si>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</si>
  <si>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</si>
  <si>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</si>
  <si>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</si>
  <si>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</si>
  <si>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</si>
  <si>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</si>
  <si>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</si>
  <si>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</si>
  <si>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</si>
  <si>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</si>
  <si>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</si>
  <si>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</si>
  <si>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</si>
  <si>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</si>
  <si>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</si>
  <si>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</si>
  <si>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</si>
  <si>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</si>
  <si>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</si>
  <si>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</si>
  <si>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</si>
  <si>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</si>
  <si>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</si>
  <si>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</si>
  <si>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</si>
  <si>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</si>
  <si>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</si>
  <si>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</si>
  <si>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</si>
  <si>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</si>
  <si>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</si>
  <si>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</si>
  <si>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</si>
  <si>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</si>
  <si>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</si>
  <si>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</si>
  <si>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</si>
  <si>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</si>
  <si>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</si>
  <si>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</si>
  <si>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</si>
  <si>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</si>
  <si>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</si>
  <si>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</si>
  <si>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</si>
  <si>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</si>
  <si>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</si>
  <si>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</si>
  <si>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</si>
  <si>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</si>
  <si>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</si>
  <si>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</si>
  <si>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</si>
  <si>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</si>
  <si>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</si>
  <si>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</si>
  <si>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</si>
  <si>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</si>
  <si>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</si>
  <si>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</si>
  <si>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</si>
  <si>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</si>
  <si>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</si>
  <si>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</si>
  <si>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</si>
  <si>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</si>
  <si>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</si>
  <si>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</si>
  <si>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</si>
  <si>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</si>
  <si>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</si>
  <si>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</si>
  <si>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</si>
  <si>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</si>
  <si>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</si>
  <si>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</si>
  <si>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</si>
  <si>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</si>
  <si>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</si>
  <si>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</si>
  <si>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</si>
  <si>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</si>
  <si>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</si>
  <si>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</si>
  <si>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</si>
  <si>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</si>
  <si>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</si>
  <si>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</si>
  <si>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</si>
  <si>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</si>
  <si>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</si>
  <si>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</si>
  <si>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</si>
  <si>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</si>
  <si>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</si>
  <si>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</si>
  <si>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</si>
  <si>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</si>
  <si>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</si>
  <si>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</si>
  <si>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</si>
  <si>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</si>
  <si>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</si>
  <si>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</si>
  <si>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</si>
  <si>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</si>
  <si>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</si>
  <si>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</si>
  <si>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</si>
  <si>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</si>
  <si>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</si>
  <si>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</si>
  <si>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</si>
  <si>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</si>
  <si>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</si>
  <si>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</si>
  <si>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</si>
  <si>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</si>
  <si>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</si>
  <si>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</si>
  <si>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</si>
  <si>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</si>
  <si>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</si>
  <si>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</si>
  <si>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</si>
  <si>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</si>
  <si>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</si>
  <si>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</si>
  <si>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</si>
  <si>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</si>
  <si>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</si>
  <si>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</si>
  <si>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</si>
  <si>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</si>
  <si>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</si>
  <si>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</si>
  <si>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</si>
  <si>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</si>
  <si>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</si>
  <si>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</si>
  <si>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</si>
  <si>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</si>
  <si>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</si>
  <si>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</si>
  <si>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</si>
  <si>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</si>
  <si>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</si>
  <si>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</si>
  <si>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</si>
  <si>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</si>
  <si>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</si>
  <si>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</si>
  <si>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</si>
  <si>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</si>
  <si>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</si>
  <si>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</si>
  <si>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</si>
  <si>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</si>
  <si>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</si>
  <si>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</si>
  <si>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</si>
  <si>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</si>
  <si>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</si>
  <si>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</si>
  <si>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</si>
  <si>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</si>
  <si>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</si>
  <si>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</si>
  <si>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</si>
  <si>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</si>
  <si>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</si>
  <si>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</si>
  <si>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</si>
  <si>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</si>
  <si>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</si>
  <si>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</si>
  <si>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</si>
  <si>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</si>
  <si>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</si>
  <si>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</si>
  <si>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</si>
  <si>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</si>
  <si>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</si>
  <si>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</si>
  <si>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</si>
  <si>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</si>
  <si>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</si>
  <si>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</si>
  <si>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</si>
  <si>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</si>
  <si>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</si>
  <si>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</si>
  <si>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</si>
  <si>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</si>
  <si>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</si>
  <si>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</si>
  <si>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</si>
  <si>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</si>
  <si>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</si>
  <si>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</si>
  <si>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</si>
  <si>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</si>
  <si>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</si>
  <si>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</si>
  <si>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</si>
  <si>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</si>
  <si>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</si>
  <si>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</si>
  <si>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</si>
  <si>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</si>
  <si>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</si>
  <si>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</si>
  <si>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</si>
  <si>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</si>
  <si>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</si>
  <si>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</si>
  <si>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</si>
  <si>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</si>
  <si>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</si>
  <si>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</si>
  <si>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</si>
  <si>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</si>
  <si>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</si>
  <si>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</si>
  <si>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</si>
  <si>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</si>
  <si>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</si>
  <si>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</si>
  <si>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</si>
  <si>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</si>
  <si>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</si>
  <si>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</si>
  <si>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</si>
  <si>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</si>
  <si>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</si>
  <si>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</si>
  <si>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</si>
  <si>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</si>
  <si>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</si>
  <si>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</si>
  <si>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</si>
  <si>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</si>
  <si>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</si>
  <si>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</si>
  <si>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</si>
  <si>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</si>
  <si>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</si>
  <si>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</si>
  <si>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</si>
  <si>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</si>
  <si>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</si>
  <si>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</si>
  <si>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</si>
  <si>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</si>
  <si>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</si>
  <si>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</si>
  <si>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</si>
  <si>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</si>
  <si>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</si>
  <si>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</si>
  <si>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</si>
  <si>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</si>
  <si>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</si>
  <si>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</si>
  <si>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</si>
  <si>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</si>
  <si>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</si>
  <si>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</si>
  <si>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</si>
  <si>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</si>
  <si>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</si>
  <si>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</si>
  <si>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</si>
  <si>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</si>
  <si>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</si>
  <si>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</si>
  <si>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</si>
  <si>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</si>
  <si>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</si>
  <si>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</si>
  <si>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</si>
  <si>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</si>
  <si>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</si>
  <si>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</si>
  <si>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</si>
  <si>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</si>
  <si>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</si>
  <si>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</si>
  <si>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</si>
  <si>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</si>
  <si>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</si>
  <si>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</si>
  <si>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</si>
  <si>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</si>
  <si>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</si>
  <si>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</si>
  <si>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</si>
  <si>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</si>
  <si>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</si>
  <si>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</si>
  <si>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</si>
  <si>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</si>
  <si>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</si>
  <si>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</si>
  <si>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</si>
  <si>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</si>
  <si>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</si>
  <si>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</si>
  <si>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</si>
  <si>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</si>
  <si>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</si>
  <si>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</si>
  <si>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</si>
  <si>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</si>
  <si>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</si>
  <si>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</si>
  <si>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</si>
  <si>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</si>
  <si>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</si>
  <si>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</si>
  <si>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</si>
  <si>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</si>
  <si>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</si>
  <si>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</si>
  <si>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</si>
  <si>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</si>
  <si>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</si>
  <si>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</si>
  <si>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</si>
  <si>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</si>
  <si>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</si>
  <si>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</si>
  <si>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</si>
  <si>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</si>
  <si>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</si>
  <si>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</si>
  <si>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</si>
  <si>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</si>
  <si>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</si>
  <si>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</si>
  <si>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</si>
  <si>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</si>
  <si>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</si>
  <si>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</si>
  <si>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</si>
  <si>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</si>
  <si>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</si>
  <si>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</si>
  <si>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</si>
  <si>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</si>
  <si>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</si>
  <si>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</si>
  <si>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</si>
  <si>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</si>
  <si>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</si>
  <si>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</si>
  <si>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</si>
  <si>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</si>
  <si>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</si>
  <si>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</si>
  <si>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</si>
  <si>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</si>
  <si>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</si>
  <si>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</si>
  <si>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</si>
  <si>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</si>
  <si>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</si>
  <si>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</si>
  <si>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</si>
  <si>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</si>
  <si>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</si>
  <si>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</si>
  <si>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</si>
  <si>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</si>
  <si>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</si>
  <si>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</si>
  <si>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</si>
  <si>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</si>
  <si>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</si>
  <si>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</si>
  <si>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</si>
  <si>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</si>
  <si>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</si>
  <si>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</si>
  <si>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</si>
  <si>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</si>
  <si>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</si>
  <si>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</si>
  <si>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</si>
  <si>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</si>
  <si>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</si>
  <si>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</si>
  <si>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</si>
  <si>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</si>
  <si>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</si>
  <si>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</si>
  <si>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</si>
  <si>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</si>
  <si>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</si>
  <si>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</si>
  <si>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</si>
  <si>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</si>
  <si>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</si>
  <si>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</si>
  <si>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</si>
  <si>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</si>
  <si>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</si>
  <si>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</si>
  <si>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</si>
  <si>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</si>
  <si>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</si>
  <si>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</si>
  <si>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</si>
  <si>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</si>
  <si>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</si>
  <si>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</si>
  <si>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</si>
  <si>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</si>
  <si>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</si>
  <si>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</si>
  <si>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</si>
  <si>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</si>
  <si>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</si>
  <si>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</si>
  <si>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</si>
  <si>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</si>
  <si>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</si>
  <si>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</si>
  <si>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</si>
  <si>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</si>
  <si>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</si>
  <si>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</si>
  <si>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</si>
  <si>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</si>
  <si>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</si>
  <si>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</si>
  <si>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</si>
  <si>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</si>
  <si>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</si>
  <si>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</si>
  <si>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</si>
  <si>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</si>
  <si>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</si>
  <si>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</si>
  <si>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</si>
  <si>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</si>
  <si>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</si>
  <si>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</si>
  <si>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</si>
  <si>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</si>
  <si>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</si>
  <si>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</si>
  <si>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</si>
  <si>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</si>
  <si>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</si>
  <si>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</si>
  <si>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</si>
  <si>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</si>
  <si>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</si>
  <si>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</si>
  <si>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</si>
  <si>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</si>
  <si>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</si>
  <si>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</si>
  <si>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</si>
  <si>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</si>
  <si>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</si>
  <si>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</si>
  <si>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</si>
  <si>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</si>
  <si>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</si>
  <si>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</si>
  <si>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</si>
  <si>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</si>
  <si>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</si>
  <si>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</si>
  <si>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</si>
  <si>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</si>
  <si>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</si>
  <si>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</si>
  <si>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</si>
  <si>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</si>
  <si>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</si>
  <si>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</si>
  <si>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</si>
  <si>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</si>
  <si>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</si>
  <si>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</si>
  <si>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</si>
  <si>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</si>
  <si>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</si>
  <si>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</si>
  <si>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</si>
  <si>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</si>
  <si>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</si>
  <si>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</si>
  <si>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</si>
  <si>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</si>
  <si>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</si>
  <si>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</si>
  <si>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</si>
  <si>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</si>
  <si>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</si>
  <si>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</si>
  <si>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</si>
  <si>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</si>
  <si>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</si>
  <si>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</si>
  <si>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</si>
  <si>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</si>
  <si>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</si>
  <si>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</si>
  <si>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</si>
  <si>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</si>
  <si>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</si>
  <si>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</si>
  <si>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</si>
  <si>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</si>
  <si>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</si>
  <si>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</si>
  <si>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</si>
  <si>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</si>
  <si>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</si>
  <si>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</si>
  <si>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</si>
  <si>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</si>
  <si>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</si>
  <si>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</si>
  <si>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</si>
  <si>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</si>
  <si>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</si>
  <si>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</si>
  <si>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</si>
  <si>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</si>
  <si>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</si>
  <si>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</si>
  <si>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</si>
  <si>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</si>
  <si>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</si>
  <si>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</si>
  <si>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</si>
  <si>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</si>
  <si>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</si>
  <si>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</si>
  <si>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</si>
  <si>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</si>
  <si>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</si>
  <si>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</si>
  <si>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</si>
  <si>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</si>
  <si>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</si>
  <si>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</si>
  <si>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</si>
  <si>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</si>
  <si>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</si>
  <si>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</si>
  <si>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</si>
  <si>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</si>
  <si>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</si>
  <si>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</si>
  <si>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</si>
  <si>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</si>
  <si>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</si>
  <si>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</si>
  <si>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</si>
  <si>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</si>
  <si>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</si>
  <si>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</si>
  <si>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</si>
  <si>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</si>
  <si>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</si>
  <si>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</si>
  <si>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</si>
  <si>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</si>
  <si>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</si>
  <si>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</si>
  <si>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</si>
  <si>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</si>
  <si>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</si>
  <si>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</si>
  <si>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</si>
  <si>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</si>
  <si>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</si>
  <si>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</si>
  <si>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</si>
  <si>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</si>
  <si>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</si>
  <si>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</si>
  <si>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</si>
  <si>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</si>
  <si>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</si>
  <si>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</si>
  <si>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</si>
  <si>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</si>
  <si>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</si>
  <si>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</si>
  <si>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</si>
  <si>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</si>
  <si>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</si>
  <si>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</si>
  <si>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</si>
  <si>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</si>
  <si>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</si>
  <si>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</si>
  <si>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</si>
  <si>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</si>
  <si>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</si>
  <si>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</si>
  <si>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</si>
  <si>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</si>
  <si>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</si>
  <si>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</si>
  <si>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</si>
  <si>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</si>
  <si>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</si>
  <si>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</si>
  <si>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</si>
  <si>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</si>
  <si>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</si>
  <si>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</si>
  <si>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</si>
  <si>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</si>
  <si>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</si>
  <si>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</si>
  <si>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</si>
  <si>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</si>
  <si>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</si>
  <si>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</si>
  <si>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</si>
  <si>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</si>
  <si>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</si>
  <si>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</si>
  <si>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</si>
  <si>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</si>
  <si>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</si>
  <si>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</si>
  <si>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</si>
  <si>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</si>
  <si>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</si>
  <si>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</si>
  <si>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</si>
  <si>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</si>
  <si>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</si>
  <si>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</si>
  <si>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</si>
  <si>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</si>
  <si>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</si>
  <si>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</si>
  <si>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</si>
  <si>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</si>
  <si>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</si>
  <si>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</si>
  <si>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</si>
  <si>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</si>
  <si>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</si>
  <si>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</si>
  <si>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</si>
  <si>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</si>
  <si>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</si>
  <si>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</si>
  <si>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</si>
  <si>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</si>
  <si>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</si>
  <si>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</si>
  <si>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</si>
  <si>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</si>
  <si>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</si>
  <si>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</si>
  <si>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</si>
  <si>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</si>
  <si>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</si>
  <si>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</si>
  <si>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</si>
  <si>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</si>
  <si>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</si>
  <si>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</si>
  <si>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</si>
  <si>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</si>
  <si>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</si>
  <si>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</si>
  <si>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</si>
  <si>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</si>
  <si>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</si>
  <si>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</si>
  <si>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</si>
  <si>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</si>
  <si>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</si>
  <si>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</si>
  <si>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</si>
  <si>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</si>
  <si>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</si>
  <si>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</si>
  <si>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</si>
  <si>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</si>
  <si>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</si>
  <si>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</si>
  <si>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</si>
  <si>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</si>
  <si>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</si>
  <si>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</si>
  <si>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</si>
  <si>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</si>
  <si>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</si>
  <si>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</si>
  <si>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</si>
  <si>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</si>
  <si>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</si>
  <si>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</si>
  <si>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</si>
  <si>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</si>
  <si>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</si>
  <si>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</si>
  <si>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</si>
  <si>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</si>
  <si>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</si>
  <si>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</si>
  <si>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</si>
  <si>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</si>
  <si>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</si>
  <si>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</si>
  <si>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</si>
  <si>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</si>
  <si>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</si>
  <si>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</si>
  <si>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</si>
  <si>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</si>
  <si>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</si>
  <si>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</si>
  <si>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</si>
  <si>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</si>
  <si>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</si>
  <si>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</si>
  <si>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</si>
  <si>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</si>
  <si>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</si>
  <si>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</si>
  <si>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</si>
  <si>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</si>
  <si>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</si>
  <si>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</si>
  <si>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</si>
  <si>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</si>
  <si>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</si>
  <si>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</si>
  <si>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</si>
  <si>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</si>
  <si>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</si>
  <si>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</si>
  <si>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</si>
  <si>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</si>
  <si>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</si>
  <si>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</si>
  <si>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</si>
  <si>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</si>
  <si>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</si>
  <si>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</si>
  <si>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</si>
  <si>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</si>
  <si>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</si>
  <si>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</si>
  <si>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</si>
  <si>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</si>
  <si>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</si>
  <si>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</si>
  <si>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</si>
  <si>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</si>
  <si>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</si>
  <si>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</si>
  <si>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</si>
  <si>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</si>
  <si>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</si>
  <si>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</si>
  <si>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</si>
  <si>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</si>
  <si>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</si>
  <si>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</si>
  <si>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</si>
  <si>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</si>
  <si>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</si>
  <si>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</si>
  <si>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</si>
  <si>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</si>
  <si>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</si>
  <si>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</si>
  <si>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</si>
  <si>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</si>
  <si>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</si>
  <si>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</si>
  <si>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</si>
  <si>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</si>
  <si>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</si>
  <si>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</si>
  <si>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</si>
  <si>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</si>
  <si>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</si>
  <si>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</si>
  <si>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</si>
  <si>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</si>
  <si>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</si>
  <si>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</si>
  <si>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</si>
  <si>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</si>
  <si>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</si>
  <si>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</si>
  <si>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</si>
  <si>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</si>
  <si>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</si>
  <si>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</si>
  <si>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</si>
  <si>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</si>
  <si>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</si>
  <si>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</si>
  <si>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</si>
  <si>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</si>
  <si>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</si>
  <si>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</si>
  <si>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</si>
  <si>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</si>
  <si>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</si>
  <si>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</si>
  <si>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</si>
  <si>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</si>
  <si>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</si>
  <si>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</si>
  <si>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</si>
  <si>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</si>
  <si>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</si>
  <si>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</si>
  <si>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</si>
  <si>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</si>
  <si>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</si>
  <si>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</si>
  <si>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</si>
  <si>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</si>
  <si>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</si>
  <si>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</si>
  <si>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</si>
  <si>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</si>
  <si>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</si>
  <si>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</si>
  <si>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</si>
  <si>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</si>
  <si>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</si>
  <si>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</si>
  <si>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</si>
  <si>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</si>
  <si>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</si>
  <si>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</si>
  <si>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</si>
  <si>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</si>
  <si>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</si>
  <si>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</si>
  <si>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</si>
  <si>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</si>
  <si>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</si>
  <si>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</si>
  <si>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</si>
  <si>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</si>
  <si>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</si>
  <si>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</si>
  <si>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</si>
  <si>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</si>
  <si>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</si>
  <si>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</si>
  <si>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</si>
  <si>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</si>
  <si>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</si>
  <si>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</si>
  <si>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</si>
  <si>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</si>
  <si>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</si>
  <si>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</si>
  <si>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</si>
  <si>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</si>
  <si>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</si>
  <si>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</si>
  <si>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</si>
  <si>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</si>
  <si>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</si>
  <si>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</si>
  <si>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</si>
  <si>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</si>
  <si>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</si>
  <si>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</si>
  <si>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</si>
  <si>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</si>
  <si>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</si>
  <si>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</si>
  <si>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</si>
  <si>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</si>
  <si>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</si>
  <si>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</si>
  <si>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</si>
  <si>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</si>
  <si>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</si>
  <si>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</si>
  <si>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</si>
  <si>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</si>
  <si>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</si>
  <si>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</si>
  <si>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</si>
  <si>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</si>
  <si>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</si>
  <si>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</si>
  <si>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</si>
  <si>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</si>
  <si>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</si>
  <si>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</si>
  <si>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</si>
  <si>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</si>
  <si>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</si>
  <si>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</si>
  <si>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</si>
  <si>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</si>
  <si>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</si>
  <si>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</si>
  <si>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</si>
  <si>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</si>
  <si>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</si>
  <si>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</si>
  <si>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</si>
  <si>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</si>
  <si>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</si>
  <si>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</si>
  <si>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</si>
  <si>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</si>
  <si>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</si>
  <si>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</si>
  <si>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</si>
  <si>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</si>
  <si>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</si>
  <si>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</si>
  <si>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</si>
  <si>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</si>
  <si>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</si>
  <si>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</si>
  <si>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</si>
  <si>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</si>
  <si>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</si>
  <si>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</si>
  <si>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</si>
  <si>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</si>
  <si>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</si>
  <si>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</si>
  <si>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</si>
  <si>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</si>
  <si>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</si>
  <si>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</si>
  <si>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</si>
  <si>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</si>
  <si>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</si>
  <si>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</si>
  <si>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</si>
  <si>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</si>
  <si>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</si>
  <si>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</si>
  <si>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</si>
  <si>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</si>
  <si>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</si>
  <si>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</si>
  <si>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</si>
  <si>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</si>
  <si>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</si>
  <si>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</si>
  <si>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</si>
  <si>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</si>
  <si>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</si>
  <si>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</si>
  <si>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</si>
  <si>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</si>
  <si>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</si>
  <si>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</si>
  <si>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</si>
  <si>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</si>
  <si>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</si>
  <si>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</si>
  <si>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</si>
  <si>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</si>
  <si>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</si>
  <si>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</si>
  <si>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</si>
  <si>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</si>
  <si>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</si>
  <si>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</si>
  <si>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</si>
  <si>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</si>
  <si>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</si>
  <si>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</si>
  <si>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</si>
  <si>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</si>
  <si>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</si>
  <si>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</si>
  <si>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</si>
  <si>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</si>
  <si>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</si>
  <si>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</si>
  <si>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</si>
  <si>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</si>
  <si>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</si>
  <si>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</si>
  <si>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</si>
  <si>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</si>
  <si>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</si>
  <si>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</si>
  <si>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</si>
  <si>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</si>
  <si>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</si>
  <si>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</si>
  <si>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</si>
  <si>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</si>
  <si>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</si>
  <si>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</si>
  <si>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</si>
  <si>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</si>
  <si>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</si>
  <si>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</si>
  <si>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</si>
  <si>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</si>
  <si>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</si>
  <si>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</si>
  <si>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</si>
  <si>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</si>
  <si>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</si>
  <si>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</si>
  <si>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</si>
  <si>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</si>
  <si>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</si>
  <si>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</si>
  <si>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</si>
  <si>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</si>
  <si>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</si>
  <si>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</si>
  <si>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</si>
  <si>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</si>
  <si>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</si>
  <si>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</si>
  <si>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</si>
  <si>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</si>
  <si>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</si>
  <si>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</si>
  <si>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</si>
  <si>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</si>
  <si>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</si>
  <si>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</si>
  <si>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</si>
  <si>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</si>
  <si>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</si>
  <si>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</si>
  <si>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</si>
  <si>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</si>
  <si>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</si>
  <si>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</si>
  <si>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</si>
  <si>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</si>
  <si>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</si>
  <si>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</si>
  <si>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</si>
  <si>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</si>
  <si>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</si>
  <si>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</si>
  <si>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</si>
  <si>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</si>
  <si>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</si>
  <si>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</si>
  <si>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</si>
  <si>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</si>
  <si>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</si>
  <si>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</si>
  <si>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</si>
  <si>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</si>
  <si>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</si>
  <si>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</si>
  <si>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</si>
  <si>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</si>
  <si>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</si>
  <si>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</si>
  <si>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</si>
  <si>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</si>
  <si>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</si>
  <si>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</si>
  <si>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</si>
  <si>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</si>
  <si>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</si>
  <si>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</si>
  <si>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</si>
  <si>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</si>
  <si>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</si>
  <si>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</si>
  <si>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</si>
  <si>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</si>
  <si>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</si>
  <si>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</si>
  <si>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</si>
  <si>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</si>
  <si>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</si>
  <si>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</si>
  <si>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</si>
  <si>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</si>
  <si>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</si>
  <si>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</si>
  <si>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</si>
  <si>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</si>
  <si>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</si>
  <si>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</si>
  <si>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</si>
  <si>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</si>
  <si>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</si>
  <si>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</si>
  <si>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</si>
  <si>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</si>
  <si>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</si>
  <si>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</si>
  <si>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</si>
  <si>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</si>
  <si>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</si>
  <si>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</si>
  <si>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</si>
  <si>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</si>
  <si>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</si>
  <si>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</si>
  <si>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</si>
  <si>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</si>
  <si>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</si>
  <si>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</si>
  <si>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</si>
  <si>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</si>
  <si>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</si>
  <si>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</si>
  <si>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</si>
  <si>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</si>
  <si>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</si>
  <si>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</si>
  <si>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</si>
  <si>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</si>
  <si>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</si>
  <si>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</si>
  <si>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</si>
  <si>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</si>
  <si>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</si>
  <si>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</si>
  <si>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</si>
  <si>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</si>
  <si>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</si>
  <si>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</si>
  <si>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</si>
  <si>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</si>
  <si>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</si>
  <si>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</si>
  <si>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</si>
  <si>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</si>
  <si>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</si>
  <si>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</si>
  <si>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</si>
  <si>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</si>
  <si>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</si>
  <si>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</si>
  <si>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</si>
  <si>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</si>
  <si>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</si>
  <si>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</si>
  <si>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</si>
  <si>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</si>
  <si>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</si>
  <si>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</si>
  <si>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</si>
  <si>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</si>
  <si>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</si>
  <si>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</si>
  <si>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</si>
  <si>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</si>
  <si>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</si>
  <si>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</si>
  <si>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</si>
  <si>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</si>
  <si>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</si>
  <si>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</si>
  <si>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</si>
  <si>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</si>
  <si>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</si>
  <si>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</si>
  <si>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</si>
  <si>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</si>
  <si>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</si>
  <si>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</si>
  <si>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</si>
  <si>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</si>
  <si>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</si>
  <si>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</si>
  <si>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</si>
  <si>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</si>
  <si>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</si>
  <si>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</si>
  <si>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</si>
  <si>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</si>
  <si>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</si>
  <si>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</si>
  <si>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</si>
  <si>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</si>
  <si>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</si>
  <si>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</si>
  <si>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</si>
  <si>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</si>
  <si>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</si>
  <si>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</si>
  <si>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</si>
  <si>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</si>
  <si>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</si>
  <si>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</si>
  <si>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</si>
  <si>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</si>
  <si>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</si>
  <si>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</si>
  <si>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</si>
  <si>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</si>
  <si>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</si>
  <si>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</si>
  <si>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</si>
  <si>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</si>
  <si>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</si>
  <si>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</si>
  <si>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</si>
  <si>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</si>
  <si>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</si>
  <si>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</si>
  <si>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</si>
  <si>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</si>
  <si>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</si>
  <si>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</si>
  <si>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</si>
  <si>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</si>
  <si>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</si>
  <si>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</si>
  <si>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</si>
  <si>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</si>
  <si>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</si>
  <si>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</si>
  <si>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</si>
  <si>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</si>
  <si>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</si>
  <si>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</si>
  <si>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</si>
  <si>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</si>
  <si>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</si>
  <si>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</si>
  <si>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</si>
  <si>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</si>
  <si>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</si>
  <si>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</si>
  <si>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</si>
  <si>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</si>
  <si>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</si>
  <si>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</si>
  <si>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</si>
  <si>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</si>
  <si>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</si>
  <si>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</si>
  <si>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</si>
  <si>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</si>
  <si>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</si>
  <si>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</si>
  <si>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</si>
  <si>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</si>
  <si>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</si>
  <si>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</si>
  <si>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</si>
  <si>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</si>
  <si>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</si>
  <si>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</si>
  <si>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</si>
  <si>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</si>
  <si>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</si>
  <si>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</si>
  <si>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</si>
  <si>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</si>
  <si>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</si>
  <si>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</si>
  <si>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</si>
  <si>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</si>
  <si>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</si>
  <si>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</si>
  <si>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</si>
  <si>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</si>
  <si>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</si>
  <si>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</si>
  <si>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</si>
  <si>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</si>
  <si>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</si>
  <si>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</si>
  <si>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</si>
  <si>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</si>
  <si>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</si>
  <si>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</si>
  <si>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</si>
  <si>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</si>
  <si>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</si>
  <si>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</si>
  <si>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</si>
  <si>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</si>
  <si>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</si>
  <si>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</si>
  <si>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</si>
  <si>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</si>
  <si>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</si>
  <si>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</si>
  <si>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</si>
  <si>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</si>
  <si>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</si>
  <si>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</si>
  <si>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</si>
  <si>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</si>
  <si>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</si>
  <si>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</si>
  <si>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</si>
  <si>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</si>
  <si>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</si>
  <si>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</si>
  <si>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</si>
  <si>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</si>
  <si>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</si>
  <si>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</si>
  <si>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</si>
  <si>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</si>
  <si>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</si>
  <si>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</si>
  <si>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</si>
  <si>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</si>
  <si>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</si>
  <si>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</si>
  <si>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</si>
  <si>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</si>
  <si>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</si>
  <si>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</si>
  <si>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</si>
  <si>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</si>
  <si>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</si>
  <si>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</si>
  <si>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</si>
  <si>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</si>
  <si>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</si>
  <si>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</si>
  <si>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</si>
  <si>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</si>
  <si>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</si>
  <si>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</si>
  <si>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</si>
  <si>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</si>
  <si>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</si>
  <si>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</si>
  <si>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</si>
  <si>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</si>
  <si>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</si>
  <si>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</si>
  <si>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</si>
  <si>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</si>
  <si>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</si>
  <si>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</si>
  <si>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</si>
  <si>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</si>
  <si>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</si>
  <si>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</si>
  <si>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</si>
  <si>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</si>
  <si>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</si>
  <si>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</si>
  <si>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</si>
  <si>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</si>
  <si>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</si>
  <si>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</si>
  <si>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</si>
  <si>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</si>
  <si>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</si>
  <si>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</si>
  <si>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</si>
  <si>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</si>
  <si>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</si>
  <si>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</si>
  <si>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</si>
  <si>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</si>
  <si>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</si>
  <si>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</si>
  <si>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</si>
  <si>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</si>
  <si>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</si>
  <si>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</si>
  <si>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</si>
  <si>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</si>
  <si>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</si>
  <si>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</si>
  <si>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</si>
  <si>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</si>
  <si>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</si>
  <si>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</si>
  <si>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</si>
  <si>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</si>
  <si>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</si>
  <si>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</si>
  <si>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</si>
  <si>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</si>
  <si>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</si>
  <si>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</si>
  <si>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</si>
  <si>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</si>
  <si>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</si>
  <si>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</si>
  <si>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</si>
  <si>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</si>
  <si>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</si>
  <si>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</si>
  <si>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</si>
  <si>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</si>
  <si>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</si>
  <si>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</si>
  <si>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</si>
  <si>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</si>
  <si>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</si>
  <si>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</si>
  <si>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</si>
  <si>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</si>
  <si>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</si>
  <si>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</si>
  <si>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</si>
  <si>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</si>
  <si>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</si>
  <si>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</si>
  <si>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</si>
  <si>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</si>
  <si>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</si>
  <si>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</si>
  <si>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</si>
  <si>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</si>
  <si>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</si>
  <si>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</si>
  <si>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</si>
  <si>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</si>
  <si>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</si>
  <si>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</si>
  <si>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</si>
  <si>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</si>
  <si>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</si>
  <si>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</si>
  <si>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</si>
  <si>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</si>
  <si>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</si>
  <si>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</si>
  <si>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</si>
  <si>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</si>
  <si>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</si>
  <si>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</si>
  <si>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</si>
  <si>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</si>
  <si>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</si>
  <si>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</si>
  <si>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</si>
  <si>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</si>
  <si>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</si>
  <si>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</si>
  <si>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</si>
  <si>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</si>
  <si>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</si>
  <si>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</si>
  <si>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</si>
  <si>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</si>
  <si>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</si>
  <si>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</si>
  <si>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</si>
  <si>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</si>
  <si>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</si>
  <si>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</si>
  <si>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</si>
  <si>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</si>
  <si>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</si>
  <si>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</si>
  <si>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</si>
  <si>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</si>
  <si>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</si>
  <si>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</si>
  <si>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</si>
  <si>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</si>
  <si>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</si>
  <si>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</si>
  <si>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</si>
  <si>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</si>
  <si>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</si>
  <si>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</si>
  <si>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</si>
  <si>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</si>
  <si>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</si>
  <si>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</si>
  <si>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</si>
  <si>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</si>
  <si>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</si>
  <si>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</si>
  <si>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</si>
  <si>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</si>
  <si>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</si>
  <si>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</si>
  <si>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</si>
  <si>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</si>
  <si>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</si>
  <si>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</si>
  <si>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</si>
  <si>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</si>
  <si>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</si>
  <si>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</si>
  <si>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</si>
  <si>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</si>
  <si>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</si>
  <si>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</si>
  <si>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</si>
  <si>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</si>
  <si>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</si>
  <si>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</si>
  <si>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</si>
  <si>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</si>
  <si>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</si>
  <si>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</si>
  <si>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</si>
  <si>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</si>
  <si>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</si>
  <si>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</si>
  <si>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</si>
  <si>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</si>
  <si>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</si>
  <si>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</si>
  <si>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</si>
  <si>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</si>
  <si>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</si>
  <si>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</si>
  <si>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</si>
  <si>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</si>
  <si>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</si>
  <si>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</si>
  <si>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</si>
  <si>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</si>
  <si>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</si>
  <si>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</si>
  <si>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北京佰昌房地产开发有限公司</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</si>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</sst>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0" fillId="0" borderId="9" xfId="0" applyFont="1" applyBorder="1" applyAlignment="1" applyProtection="1">
      <alignment horizontal="center" vertical="center" wrapText="1"/>
      <protection locked="0"/>
    </xf>
    <xf numFmtId="0" fontId="300"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2024-1-0774-&#39034;&#20041;&#20161;&#21644;&#22303;&#22320;\&#27979;&#31639;&#34920;-2024-1-0774-&#39034;&#20041;&#20161;&#21644;&#22303;&#22320;26&#22320;&#22359;.xlsx" TargetMode="External"/><Relationship Id="rId1" Type="http://schemas.openxmlformats.org/officeDocument/2006/relationships/externalLinkPath" Target="&#27979;&#31639;&#34920;-2024-1-0774-&#39034;&#20041;&#20161;&#21644;&#22303;&#22320;2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58916.682000000001</v>
          </cell>
          <cell r="C14">
            <v>25774.37</v>
          </cell>
          <cell r="D14">
            <v>68654</v>
          </cell>
        </row>
      </sheetData>
      <sheetData sheetId="18">
        <row r="39">
          <cell r="O39">
            <v>67676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2024年9月6日（评估专业人员勘察现场之日）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26551</v>
      </c>
    </row>
    <row r="47" spans="1:2">
      <c r="A47" s="2182" t="s">
        <v>2006</v>
      </c>
      <c r="B47" s="2183">
        <f ca="1">'预评函-2'!Q5</f>
        <v>11579</v>
      </c>
    </row>
    <row r="48" spans="1:2">
      <c r="A48" s="2182" t="s">
        <v>2007</v>
      </c>
      <c r="B48" s="2183">
        <f ca="1">'预评函-2'!R5</f>
        <v>54064</v>
      </c>
    </row>
    <row r="49" spans="1:2">
      <c r="A49" s="2182" t="s">
        <v>2023</v>
      </c>
      <c r="B49" s="2183" t="str">
        <f>'预评函-2'!A6</f>
        <v>抵押价格</v>
      </c>
    </row>
    <row r="50" spans="1:2">
      <c r="A50" s="2182" t="s">
        <v>2008</v>
      </c>
      <c r="B50" s="2183">
        <f ca="1">'预评函-2'!R6</f>
        <v>53526</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综上，本次评估估价师知悉的法定优先受偿款为人民币538万元整。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45541</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-124.76</v>
      </c>
      <c r="D5" s="3039">
        <f>IF(ISERROR(ROUND(POWER(1+E5,A5-C5)*(POWER(1+E5,C5)-1)/(POWER(1+E5,A5)-1),3)),0,ROUND(POWER(1+E5,A5-C5)*(POWER(1+E5,C5)-1)/(POWER(1+E5,A5)-1),4))</f>
        <v>0</v>
      </c>
      <c r="E5" s="3040"/>
      <c r="F5" s="3034"/>
    </row>
    <row r="6" spans="1:6">
      <c r="A6" s="3038"/>
      <c r="B6" s="3035"/>
      <c r="C6" s="3037">
        <f>ROUNDDOWN(MIN((B6-B3)/365,A6),2)</f>
        <v>-124.76</v>
      </c>
      <c r="D6" s="3039">
        <f>IF(ISERROR(ROUND(POWER(1+E6,A6-C6)*(POWER(1+E6,C6)-1)/(POWER(1+E6,A6)-1),3)),0,ROUND(POWER(1+E6,A6-C6)*(POWER(1+E6,C6)-1)/(POWER(1+E6,A6)-1),4))</f>
        <v>0</v>
      </c>
      <c r="E6" s="3040"/>
      <c r="F6" s="3034"/>
    </row>
    <row r="7" spans="1:6">
      <c r="A7" s="3038"/>
      <c r="B7" s="3035"/>
      <c r="C7" s="3037">
        <f>ROUNDDOWN(MIN((B7-B3)/365,A7),2)</f>
        <v>-124.76</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Normal="100" zoomScaleSheetLayoutView="100" workbookViewId="0">
      <selection activeCell="F53" sqref="F5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43" t="str">
        <f>IF(B10="北京市","北京市",C10)&amp;F10&amp;A17&amp;"国有建设用地使用权"&amp;B9&amp;"预评估"</f>
        <v>北京市顺义区仁和镇临河村棚户区改造土地开发A片区项目SY00-0702-15、16地块出让国有建设用地使用权抵押价格预评估</v>
      </c>
      <c r="C1" s="3444"/>
      <c r="D1" s="3444"/>
      <c r="E1" s="3444"/>
      <c r="F1" s="3444"/>
      <c r="G1" s="3444"/>
      <c r="H1" s="3444"/>
      <c r="I1" s="3445"/>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f>B3</f>
        <v>45541</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3337</v>
      </c>
      <c r="C8" s="1388"/>
      <c r="D8" s="3449" t="s">
        <v>1464</v>
      </c>
      <c r="E8" s="1532" t="s">
        <v>3338</v>
      </c>
      <c r="F8" s="1389"/>
      <c r="G8" s="2602"/>
      <c r="H8" s="2602"/>
      <c r="I8" s="2603"/>
      <c r="J8" s="2602"/>
      <c r="K8" s="2586"/>
      <c r="L8" s="2582"/>
      <c r="M8" s="2582"/>
      <c r="N8" s="2583"/>
      <c r="O8" s="2584"/>
      <c r="P8" s="2583"/>
      <c r="Q8" s="2583"/>
      <c r="R8" s="2583"/>
      <c r="S8" s="2583"/>
      <c r="T8" s="2583"/>
      <c r="U8" s="2583"/>
    </row>
    <row r="9" spans="1:21" ht="15" thickBot="1">
      <c r="A9" s="2533" t="s">
        <v>1463</v>
      </c>
      <c r="B9" s="1390" t="s">
        <v>3338</v>
      </c>
      <c r="C9" s="1391"/>
      <c r="D9" s="3450"/>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3340</v>
      </c>
      <c r="G10" s="1445"/>
      <c r="H10" s="1446"/>
      <c r="I10" s="1384"/>
      <c r="J10" s="2602"/>
      <c r="K10" s="2586"/>
      <c r="L10" s="2582"/>
      <c r="M10" s="2582"/>
      <c r="N10" s="2583"/>
      <c r="O10" s="2584"/>
      <c r="P10" s="2583"/>
      <c r="Q10" s="2583"/>
      <c r="R10" s="2583"/>
      <c r="S10" s="2583"/>
      <c r="T10" s="2583"/>
      <c r="U10" s="2583"/>
    </row>
    <row r="11" spans="1:21">
      <c r="A11" s="2535" t="s">
        <v>1518</v>
      </c>
      <c r="B11" s="1406" t="s">
        <v>3339</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46"/>
      <c r="C12" s="3447"/>
      <c r="D12" s="3448"/>
      <c r="E12" s="1407" t="s">
        <v>1579</v>
      </c>
      <c r="F12" s="3464" t="s">
        <v>2161</v>
      </c>
      <c r="G12" s="3465"/>
      <c r="H12" s="3465"/>
      <c r="I12" s="3466"/>
      <c r="J12" s="2602"/>
      <c r="K12" s="2586"/>
      <c r="L12" s="2582"/>
      <c r="M12" s="2582"/>
      <c r="N12" s="2583"/>
      <c r="O12" s="2584"/>
      <c r="P12" s="2583"/>
      <c r="Q12" s="2583"/>
      <c r="R12" s="2583"/>
      <c r="S12" s="2583"/>
      <c r="T12" s="2583"/>
      <c r="U12" s="2583"/>
    </row>
    <row r="13" spans="1:21">
      <c r="A13" s="1399" t="s">
        <v>1577</v>
      </c>
      <c r="B13" s="3446"/>
      <c r="C13" s="3447"/>
      <c r="D13" s="3448"/>
      <c r="E13" s="1407" t="s">
        <v>1579</v>
      </c>
      <c r="F13" s="3464" t="s">
        <v>2162</v>
      </c>
      <c r="G13" s="3465"/>
      <c r="H13" s="3465"/>
      <c r="I13" s="3466"/>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69.84</v>
      </c>
      <c r="D19" s="1458">
        <f>IF(A17="出让",IF(D17="","",ROUNDDOWN(MIN((D17-$D$3)/365,D18),2)),D18)</f>
        <v>39.83</v>
      </c>
      <c r="E19" s="1397">
        <f>IF(A17="出让",IF(E17="","",ROUNDDOWN(MIN((E17-$D$3)/365,E18),2)),E18)</f>
        <v>49.83</v>
      </c>
      <c r="F19" s="1397">
        <f>IF(A17="出让",IF(F17="","",ROUNDDOWN(MIN((F17-$D$3)/365,F18),2)),F18)</f>
        <v>49.83</v>
      </c>
      <c r="G19" s="1397">
        <f>IF(A17="出让",IF(G17="","",ROUNDDOWN(MIN((G17-$D$3)/365,G18),2)),G18)</f>
        <v>49.83</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61"/>
      <c r="E20" s="3462"/>
      <c r="F20" s="3462"/>
      <c r="G20" s="3462"/>
      <c r="H20" s="3462"/>
      <c r="I20" s="3463"/>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51" t="s">
        <v>1516</v>
      </c>
      <c r="F21" s="3452"/>
      <c r="G21" s="3452"/>
      <c r="H21" s="3452"/>
      <c r="I21" s="3453"/>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51" t="s">
        <v>2163</v>
      </c>
      <c r="F22" s="3452"/>
      <c r="G22" s="3452"/>
      <c r="H22" s="3452"/>
      <c r="I22" s="3453"/>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54" t="s">
        <v>1484</v>
      </c>
      <c r="C24" s="3455"/>
      <c r="D24" s="3456" t="s">
        <v>1485</v>
      </c>
      <c r="E24" s="3457"/>
      <c r="F24" s="1414" t="s">
        <v>1486</v>
      </c>
      <c r="G24" s="2602"/>
      <c r="H24" s="2602"/>
      <c r="I24" s="2603"/>
      <c r="J24" s="2602"/>
      <c r="K24" s="3442"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42"/>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42"/>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69" t="s">
        <v>1519</v>
      </c>
      <c r="B31" s="1464" t="s">
        <v>1520</v>
      </c>
      <c r="C31" s="3467"/>
      <c r="D31" s="3468"/>
      <c r="E31" s="2602"/>
      <c r="F31" s="2602"/>
      <c r="G31" s="2602"/>
      <c r="H31" s="2602"/>
      <c r="I31" s="2603"/>
      <c r="J31" s="2602"/>
      <c r="K31" s="2589"/>
      <c r="L31" s="2583"/>
      <c r="M31" s="2583"/>
      <c r="N31" s="2583"/>
      <c r="O31" s="2583"/>
      <c r="P31" s="2583"/>
      <c r="Q31" s="2583"/>
      <c r="R31" s="2583"/>
      <c r="S31" s="2583"/>
      <c r="T31" s="2583"/>
      <c r="U31" s="2583"/>
    </row>
    <row r="32" spans="1:21">
      <c r="A32" s="3469"/>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69"/>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70"/>
      <c r="B34" s="1378" t="s">
        <v>1523</v>
      </c>
      <c r="C34" s="3471"/>
      <c r="D34" s="3472"/>
      <c r="E34" s="2602"/>
      <c r="F34" s="2602"/>
      <c r="G34" s="2602"/>
      <c r="H34" s="2602"/>
      <c r="I34" s="2603"/>
      <c r="J34" s="2602"/>
      <c r="K34" s="2589"/>
      <c r="L34" s="2583"/>
      <c r="M34" s="2583"/>
      <c r="N34" s="2583"/>
      <c r="O34" s="2583"/>
      <c r="P34" s="2583"/>
      <c r="Q34" s="2583"/>
      <c r="R34" s="2583"/>
      <c r="S34" s="2583"/>
      <c r="T34" s="2583"/>
      <c r="U34" s="2583"/>
    </row>
    <row r="35" spans="1:28">
      <c r="A35" s="3473" t="s">
        <v>785</v>
      </c>
      <c r="B35" s="1428"/>
      <c r="C35" s="1472" t="str">
        <f>IF(B35="场地平整","——","具体情况：")</f>
        <v>具体情况：</v>
      </c>
      <c r="D35" s="3475"/>
      <c r="E35" s="3476"/>
      <c r="F35" s="3476"/>
      <c r="G35" s="3476"/>
      <c r="H35" s="3476"/>
      <c r="I35" s="3477"/>
      <c r="J35" s="2602"/>
      <c r="K35" s="2590"/>
      <c r="L35" s="2582"/>
      <c r="M35" s="2582"/>
      <c r="N35" s="2583"/>
      <c r="O35" s="2584"/>
      <c r="P35" s="2583"/>
      <c r="Q35" s="2583"/>
      <c r="R35" s="2583"/>
      <c r="S35" s="2583"/>
      <c r="T35" s="2583"/>
      <c r="U35" s="2583"/>
    </row>
    <row r="36" spans="1:28">
      <c r="A36" s="3469"/>
      <c r="B36" s="3478" t="s">
        <v>1572</v>
      </c>
      <c r="C36" s="3479"/>
      <c r="D36" s="1487"/>
      <c r="E36" s="3480"/>
      <c r="F36" s="3480"/>
      <c r="G36" s="1399" t="str">
        <f>IF(B35="场地未平整","估价结果处理","")</f>
        <v/>
      </c>
      <c r="H36" s="3481"/>
      <c r="I36" s="3481"/>
      <c r="J36" s="2602"/>
      <c r="K36" s="2590"/>
      <c r="L36" s="2582"/>
      <c r="M36" s="2582"/>
      <c r="N36" s="2583"/>
      <c r="O36" s="2584"/>
      <c r="P36" s="2583"/>
      <c r="Q36" s="2583"/>
      <c r="R36" s="2583"/>
      <c r="S36" s="2583"/>
      <c r="T36" s="2583"/>
      <c r="U36" s="2583"/>
    </row>
    <row r="37" spans="1:28" ht="28.5">
      <c r="A37" s="3469"/>
      <c r="B37" s="3458"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69"/>
      <c r="B38" s="3459"/>
      <c r="C38" s="1386" t="s">
        <v>788</v>
      </c>
      <c r="D38" s="1486">
        <f>ROUNDDOWN(MIN(('数据-取费表'!$B$2-D37)/365,D34),1)</f>
        <v>124.7</v>
      </c>
      <c r="E38" s="1433" t="s">
        <v>789</v>
      </c>
      <c r="F38" s="2602"/>
      <c r="G38" s="2602"/>
      <c r="H38" s="2602"/>
      <c r="I38" s="2603"/>
      <c r="J38" s="2602"/>
      <c r="K38" s="2590"/>
      <c r="L38" s="2583"/>
      <c r="M38" s="2583"/>
      <c r="N38" s="2583"/>
      <c r="O38" s="2583"/>
      <c r="P38" s="2583"/>
      <c r="Q38" s="2583"/>
      <c r="R38" s="2583"/>
      <c r="S38" s="2583"/>
      <c r="T38" s="2583"/>
      <c r="U38" s="2583"/>
    </row>
    <row r="39" spans="1:28">
      <c r="A39" s="3470"/>
      <c r="B39" s="3460"/>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41" t="s">
        <v>1503</v>
      </c>
      <c r="T40" s="1407" t="str">
        <f>NUMBERSTRING(7-K40,1)&amp;"通"</f>
        <v>七通</v>
      </c>
      <c r="U40" s="2583"/>
    </row>
    <row r="41" spans="1:28">
      <c r="A41" s="1380"/>
      <c r="B41" s="3474" t="s">
        <v>1250</v>
      </c>
      <c r="C41" s="3474"/>
      <c r="D41" s="3474"/>
      <c r="E41" s="3474"/>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1"/>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018FE-ED87-4C8B-93BA-FFED3B97A6BF}">
  <sheetPr>
    <tabColor rgb="FFFF0000"/>
  </sheetPr>
  <dimension ref="A1:G40"/>
  <sheetViews>
    <sheetView workbookViewId="0">
      <selection activeCell="C1" sqref="C1"/>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3349</v>
      </c>
      <c r="B1" s="3388" t="s">
        <v>3311</v>
      </c>
      <c r="C1" s="3388" t="s">
        <v>3342</v>
      </c>
    </row>
    <row r="2" spans="1:5">
      <c r="A2" s="3395">
        <v>45470</v>
      </c>
      <c r="B2" s="3388" t="s">
        <v>3312</v>
      </c>
      <c r="C2" s="3388" t="s">
        <v>3343</v>
      </c>
    </row>
    <row r="3" spans="1:5">
      <c r="B3" s="3388" t="s">
        <v>2207</v>
      </c>
      <c r="C3" s="3388">
        <v>46136.84</v>
      </c>
      <c r="D3" s="3388" t="s">
        <v>3344</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3346</v>
      </c>
      <c r="C10" s="3392" t="s">
        <v>3318</v>
      </c>
      <c r="D10" s="3392">
        <v>20362.47</v>
      </c>
      <c r="E10" s="3392">
        <v>1.6</v>
      </c>
    </row>
    <row r="11" spans="1:5">
      <c r="B11" s="3393" t="s">
        <v>3345</v>
      </c>
      <c r="C11" s="3388" t="s">
        <v>3319</v>
      </c>
      <c r="D11" s="3388">
        <v>4000</v>
      </c>
      <c r="E11" s="3388">
        <v>0.8</v>
      </c>
    </row>
    <row r="12" spans="1:5" s="3392" customFormat="1">
      <c r="B12" s="3391" t="s">
        <v>3347</v>
      </c>
      <c r="C12" s="3392" t="s">
        <v>3318</v>
      </c>
      <c r="D12" s="3392">
        <v>25774.37</v>
      </c>
      <c r="E12" s="3392">
        <v>1.6</v>
      </c>
    </row>
    <row r="13" spans="1:5">
      <c r="B13" s="3393"/>
      <c r="D13" s="3388">
        <f>SUM(D10:D12)</f>
        <v>50136.84</v>
      </c>
      <c r="E13" s="3388">
        <f>D13-D11</f>
        <v>46136.84</v>
      </c>
    </row>
    <row r="15" spans="1:5">
      <c r="B15" s="3393" t="s">
        <v>3348</v>
      </c>
    </row>
    <row r="16" spans="1:5">
      <c r="B16" s="3393" t="s">
        <v>3320</v>
      </c>
      <c r="C16" s="3388" t="s">
        <v>3321</v>
      </c>
      <c r="D16" s="3388" t="s">
        <v>3322</v>
      </c>
    </row>
    <row r="18" spans="1:5">
      <c r="A18" s="3395">
        <v>45482</v>
      </c>
      <c r="B18" s="3393" t="s">
        <v>3323</v>
      </c>
      <c r="C18" s="3388" t="s">
        <v>3324</v>
      </c>
    </row>
    <row r="21" spans="1:5">
      <c r="B21" s="3388" t="s">
        <v>3315</v>
      </c>
      <c r="C21" s="3388">
        <v>121380000</v>
      </c>
      <c r="E21" s="3482" t="s">
        <v>3325</v>
      </c>
    </row>
    <row r="22" spans="1:5">
      <c r="C22" s="3388">
        <v>116620000</v>
      </c>
      <c r="E22" s="3482"/>
    </row>
    <row r="23" spans="1:5">
      <c r="C23" s="3388">
        <v>485520000</v>
      </c>
      <c r="E23" s="3482"/>
    </row>
    <row r="24" spans="1:5">
      <c r="C24" s="3388">
        <v>466480000</v>
      </c>
      <c r="E24" s="3482"/>
    </row>
    <row r="25" spans="1:5">
      <c r="C25" s="3388">
        <f>C21+C22+C23+C24</f>
        <v>1190000000</v>
      </c>
      <c r="E25" s="3482"/>
    </row>
    <row r="26" spans="1:5">
      <c r="E26" s="3482"/>
    </row>
    <row r="27" spans="1:5">
      <c r="B27" s="3388" t="s">
        <v>3326</v>
      </c>
      <c r="C27" s="3388">
        <v>3570</v>
      </c>
      <c r="D27" s="3388">
        <f>C5*0.03</f>
        <v>3570</v>
      </c>
      <c r="E27" s="3482"/>
    </row>
    <row r="31" spans="1:5" s="3392" customFormat="1">
      <c r="B31" s="3392" t="s">
        <v>3327</v>
      </c>
      <c r="C31" s="3392">
        <v>875000</v>
      </c>
      <c r="D31" s="3392">
        <f>C5*0.0005/2</f>
        <v>29.75</v>
      </c>
      <c r="E31" s="3392" t="s">
        <v>3328</v>
      </c>
    </row>
    <row r="37" spans="2:7">
      <c r="B37" s="3388" t="s">
        <v>3329</v>
      </c>
    </row>
    <row r="38" spans="2:7">
      <c r="B38" s="3388" t="s">
        <v>3330</v>
      </c>
      <c r="C38" s="3388" t="s">
        <v>3265</v>
      </c>
      <c r="D38" s="3388" t="s">
        <v>3331</v>
      </c>
      <c r="E38" s="3388" t="s">
        <v>3332</v>
      </c>
      <c r="F38" s="3388">
        <v>20362.47</v>
      </c>
      <c r="G38" s="3388" t="s">
        <v>3333</v>
      </c>
    </row>
    <row r="39" spans="2:7">
      <c r="B39" s="3388" t="s">
        <v>3334</v>
      </c>
      <c r="C39" s="3388" t="s">
        <v>3335</v>
      </c>
      <c r="D39" s="3388" t="s">
        <v>3336</v>
      </c>
      <c r="E39" s="3388" t="s">
        <v>3332</v>
      </c>
      <c r="F39" s="3388">
        <v>25774.37</v>
      </c>
      <c r="G39" s="3388" t="s">
        <v>3333</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DB659-7C6E-4E74-A962-E7D3D76358F9}">
  <sheetPr>
    <tabColor rgb="FFFF0000"/>
  </sheetPr>
  <dimension ref="A1:R41"/>
  <sheetViews>
    <sheetView tabSelected="1" zoomScale="85" zoomScaleNormal="85" workbookViewId="0">
      <selection activeCell="O17" sqref="O17"/>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3" t="s">
        <v>3267</v>
      </c>
      <c r="B2" s="3483" t="s">
        <v>3268</v>
      </c>
      <c r="C2" s="3483" t="s">
        <v>3269</v>
      </c>
      <c r="D2" s="3483" t="s">
        <v>3270</v>
      </c>
      <c r="E2" s="3483"/>
      <c r="F2" s="3483"/>
      <c r="G2" s="3483"/>
      <c r="H2" s="3483"/>
      <c r="I2" s="3483"/>
      <c r="J2" s="3483"/>
      <c r="K2" s="3389" t="s">
        <v>3271</v>
      </c>
      <c r="L2" s="3389"/>
      <c r="M2" s="3389"/>
      <c r="N2" s="3389"/>
      <c r="O2" s="3389"/>
      <c r="P2" s="3389"/>
      <c r="Q2" s="3389"/>
      <c r="R2" s="3389"/>
    </row>
    <row r="3" spans="1:18">
      <c r="A3" s="3483"/>
      <c r="B3" s="3483"/>
      <c r="C3" s="3483"/>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3" t="s">
        <v>3267</v>
      </c>
      <c r="B22" s="3483" t="s">
        <v>3268</v>
      </c>
      <c r="C22" s="3483" t="s">
        <v>3269</v>
      </c>
      <c r="D22" s="3483" t="s">
        <v>3270</v>
      </c>
      <c r="E22" s="3483"/>
      <c r="F22" s="3483"/>
      <c r="G22" s="3483"/>
      <c r="H22" s="3483"/>
      <c r="I22" s="3483"/>
      <c r="J22" s="3483"/>
      <c r="K22" s="3389" t="s">
        <v>3271</v>
      </c>
      <c r="L22" s="3389"/>
      <c r="M22" s="3389"/>
      <c r="N22" s="3389"/>
      <c r="O22" s="3389"/>
      <c r="P22" s="3389"/>
      <c r="Q22" s="3389"/>
      <c r="R22" s="3389"/>
    </row>
    <row r="23" spans="1:18">
      <c r="A23" s="3483"/>
      <c r="B23" s="3483"/>
      <c r="C23" s="3483"/>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3350</v>
      </c>
      <c r="J9" s="47"/>
      <c r="K9" s="2303" t="s">
        <v>3350</v>
      </c>
      <c r="L9" s="47"/>
      <c r="M9" s="2303" t="s">
        <v>3351</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3341</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13" zoomScaleNormal="70" zoomScaleSheetLayoutView="100" workbookViewId="0">
      <selection activeCell="E29" sqref="E2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3" t="s">
        <v>169</v>
      </c>
      <c r="B2" s="3493"/>
      <c r="C2" s="3493"/>
      <c r="D2" s="1631" t="s">
        <v>170</v>
      </c>
      <c r="E2" s="97" t="s">
        <v>171</v>
      </c>
      <c r="F2" s="2609"/>
      <c r="G2" s="1042"/>
      <c r="H2" s="1043"/>
      <c r="I2" s="1044" t="s">
        <v>795</v>
      </c>
      <c r="J2" s="2609"/>
      <c r="K2" s="2609"/>
      <c r="L2" s="2609"/>
      <c r="M2" s="2609"/>
      <c r="N2" s="2609"/>
      <c r="O2" s="2609"/>
      <c r="P2" s="2609"/>
    </row>
    <row r="3" spans="1:16" ht="15.75" thickBot="1">
      <c r="A3" s="3494" t="s">
        <v>172</v>
      </c>
      <c r="B3" s="3494"/>
      <c r="C3" s="3494"/>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5"/>
      <c r="B4" s="3496"/>
      <c r="C4" s="3497"/>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498" t="s">
        <v>196</v>
      </c>
      <c r="C5" s="3498"/>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498" t="s">
        <v>174</v>
      </c>
      <c r="C6" s="3498"/>
      <c r="D6" s="102">
        <f>ROUND($D$3*E6/$E$3,2)</f>
        <v>6269.26</v>
      </c>
      <c r="E6" s="103">
        <f>E3-E5</f>
        <v>14375.230000000003</v>
      </c>
      <c r="F6" s="2609"/>
      <c r="G6" s="119"/>
      <c r="H6" s="102" t="s">
        <v>798</v>
      </c>
      <c r="I6" s="997">
        <f>ROUND(F31/D31,2)</f>
        <v>1.6</v>
      </c>
      <c r="J6" s="2609"/>
      <c r="K6" s="2609"/>
      <c r="L6" s="2609"/>
      <c r="M6" s="2609"/>
      <c r="N6" s="2609"/>
      <c r="O6" s="2609"/>
      <c r="P6" s="2609"/>
    </row>
    <row r="7" spans="1:16" ht="15">
      <c r="A7" s="3490"/>
      <c r="B7" s="3491"/>
      <c r="C7" s="3492"/>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4" t="s">
        <v>1849</v>
      </c>
      <c r="L16" s="3485"/>
      <c r="M16" s="3485"/>
      <c r="N16" s="3485"/>
      <c r="O16" s="3485"/>
      <c r="P16" s="3486"/>
    </row>
    <row r="17" spans="1:19" ht="15">
      <c r="A17" s="112" t="s">
        <v>182</v>
      </c>
      <c r="B17" s="113" t="s">
        <v>183</v>
      </c>
      <c r="C17" s="1886" t="s">
        <v>1670</v>
      </c>
      <c r="D17" s="99" t="s">
        <v>170</v>
      </c>
      <c r="E17" s="115" t="s">
        <v>171</v>
      </c>
      <c r="F17" s="116"/>
      <c r="G17" s="1159"/>
      <c r="H17" s="885" t="s">
        <v>184</v>
      </c>
      <c r="I17" s="886" t="s">
        <v>1669</v>
      </c>
      <c r="J17" s="1633"/>
      <c r="K17" s="3487" t="s">
        <v>1850</v>
      </c>
      <c r="L17" s="3488"/>
      <c r="M17" s="3489"/>
      <c r="N17" s="3487" t="s">
        <v>1851</v>
      </c>
      <c r="O17" s="3488"/>
      <c r="P17" s="3489"/>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3352</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3353</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N21" sqref="N21"/>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45541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69.84</v>
      </c>
      <c r="G6" s="159">
        <f t="shared" ref="G6:G13" si="0">IF(ISERROR(ROUND(POWER(1+H6,D6-F6)*(POWER(1+H6,F6)-1)/(POWER(1+H6,D6)-1),3)),0,ROUND(POWER(1+H6,D6-F6)*(POWER(1+H6,F6)-1)/(POWER(1+H6,D6)-1),3))</f>
        <v>1</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0</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49.83</v>
      </c>
      <c r="G7" s="159">
        <f t="shared" si="0"/>
        <v>0.999</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176"/>
      <c r="M14" s="161">
        <f t="shared" si="1"/>
        <v>0</v>
      </c>
      <c r="N14" s="177"/>
      <c r="O14" s="161">
        <f t="shared" si="3"/>
        <v>0</v>
      </c>
      <c r="P14" s="162">
        <f t="shared" si="4"/>
        <v>0</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46690.582000000002</v>
      </c>
      <c r="L16" s="187">
        <f>ROUND(M16*10000/SUM(K6:K14),0)</f>
        <v>5525</v>
      </c>
      <c r="M16" s="187">
        <f>SUM(M6:M14)</f>
        <v>25060</v>
      </c>
      <c r="N16" s="188">
        <f>ROUND(SUMPRODUCT(M6:M14,N6:N14)/M16,3)</f>
        <v>0</v>
      </c>
      <c r="O16" s="187">
        <f>SUM(O6:O14)</f>
        <v>0</v>
      </c>
      <c r="P16" s="187">
        <f>SUM(P6:P14)</f>
        <v>25060</v>
      </c>
      <c r="Q16" s="189">
        <f>ROUND(SUMPRODUCT(Q6:Q13,K6:K13)/SUMPRODUCT((Q6:Q13&gt;0)*(K6:K13)),2)</f>
        <v>0.18</v>
      </c>
      <c r="R16" s="1898">
        <f>SUM(R6:R13)</f>
        <v>20362.46</v>
      </c>
      <c r="S16" s="190">
        <f>SUM(S6:S13)</f>
        <v>4033.58</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0.03</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499" t="s">
        <v>1198</v>
      </c>
      <c r="B1" s="3500"/>
      <c r="C1" s="3500"/>
      <c r="D1" s="3500"/>
      <c r="E1" s="3500"/>
      <c r="F1" s="3500"/>
      <c r="G1" s="3500"/>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3355</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3355</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3355</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3355</v>
      </c>
      <c r="D9" s="2647"/>
      <c r="E9" s="2656"/>
      <c r="F9" s="2660"/>
      <c r="G9" s="2660"/>
      <c r="H9" s="2644"/>
      <c r="I9" s="2644"/>
      <c r="J9" s="2644"/>
      <c r="K9" s="2644"/>
      <c r="L9" s="2644"/>
      <c r="M9" s="2644"/>
      <c r="N9" s="2644"/>
      <c r="O9" s="2644"/>
      <c r="P9" s="2644"/>
      <c r="Q9" s="2644"/>
    </row>
    <row r="10" spans="1:18" ht="15" thickBot="1">
      <c r="A10" s="2661"/>
      <c r="B10" s="2662" t="s">
        <v>1206</v>
      </c>
      <c r="C10" s="3399" t="s">
        <v>3357</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6" sqref="B6"/>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45541</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122718</v>
      </c>
      <c r="C5" s="2692">
        <f ca="1">ROUND(B5*10000/$B$1,0)</f>
        <v>11620</v>
      </c>
      <c r="D5" s="2692">
        <f ca="1">ROUND(B5*10000/$B$2,0)</f>
        <v>26599</v>
      </c>
      <c r="E5" s="2700"/>
      <c r="F5" s="2700"/>
      <c r="G5" s="2701"/>
      <c r="H5" s="2701"/>
      <c r="I5" s="2701"/>
      <c r="J5" s="2701"/>
      <c r="K5" s="2693">
        <f>土地!AQ2</f>
        <v>119000</v>
      </c>
    </row>
    <row r="6" spans="1:11" ht="16.5">
      <c r="A6" s="2692" t="s">
        <v>2126</v>
      </c>
      <c r="B6" s="2692">
        <f ca="1">SUM(G14:G23)</f>
        <v>121202</v>
      </c>
      <c r="C6" s="2692">
        <f ca="1">ROUND(B6*10000/$B$1,0)</f>
        <v>11477</v>
      </c>
      <c r="D6" s="2692">
        <f ca="1">ROUND(B6*10000/$B$2,0)</f>
        <v>26270</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54064</v>
      </c>
      <c r="E14" s="2698">
        <f ca="1">ROUND(D14*10000/B14,0)</f>
        <v>11579</v>
      </c>
      <c r="F14" s="2698">
        <f ca="1">ROUND(D14*10000/C14,0)</f>
        <v>26551</v>
      </c>
      <c r="G14" s="2698">
        <f ca="1">结果表!O39</f>
        <v>53526</v>
      </c>
      <c r="H14" s="2698"/>
      <c r="I14" s="2698"/>
      <c r="J14" s="2701"/>
    </row>
    <row r="15" spans="1:11" ht="16.5">
      <c r="A15" s="2697" t="s">
        <v>3540</v>
      </c>
      <c r="B15" s="2699">
        <f>[3]系统读取表!$B$14</f>
        <v>58916.682000000001</v>
      </c>
      <c r="C15" s="2699">
        <f>[3]系统读取表!$C$14</f>
        <v>25774.37</v>
      </c>
      <c r="D15" s="2699">
        <f ca="1">[3]系统读取表!$D$14</f>
        <v>68654</v>
      </c>
      <c r="E15" s="2698">
        <f t="shared" ref="E15:E23" ca="1" si="0">ROUND(D15*10000/B15,0)</f>
        <v>11653</v>
      </c>
      <c r="F15" s="2698">
        <f t="shared" ref="F15:F23" ca="1" si="1">ROUND(D15*10000/C15,0)</f>
        <v>26637</v>
      </c>
      <c r="G15" s="2325">
        <f ca="1">[3]结果表!$O$39</f>
        <v>67676</v>
      </c>
      <c r="H15" s="2325"/>
      <c r="I15" s="2699"/>
      <c r="J15" s="2701"/>
    </row>
    <row r="16" spans="1:11" ht="16.5">
      <c r="A16" s="2697" t="s">
        <v>2135</v>
      </c>
      <c r="B16" s="2699"/>
      <c r="C16" s="2699"/>
      <c r="D16" s="2699"/>
      <c r="E16" s="2698" t="e">
        <f t="shared" si="0"/>
        <v>#DIV/0!</v>
      </c>
      <c r="F16" s="2698" t="e">
        <f t="shared" si="1"/>
        <v>#DIV/0!</v>
      </c>
      <c r="G16" s="2325"/>
      <c r="H16" s="2325"/>
      <c r="I16" s="2699"/>
      <c r="J16" s="2701"/>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2" zoomScale="85" zoomScaleNormal="100" zoomScaleSheetLayoutView="85" zoomScalePageLayoutView="80" workbookViewId="0">
      <selection activeCell="O39" sqref="O39"/>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3538</v>
      </c>
      <c r="E1" s="1499" t="s">
        <v>1575</v>
      </c>
      <c r="F1" s="1501" t="s">
        <v>3539</v>
      </c>
      <c r="G1" s="287"/>
      <c r="H1" s="287"/>
      <c r="I1" s="287"/>
      <c r="J1" s="1636"/>
      <c r="K1" s="1636"/>
      <c r="L1" s="1636"/>
      <c r="M1" s="1636"/>
      <c r="N1" s="1636"/>
      <c r="O1" s="1636"/>
      <c r="P1" s="1636"/>
      <c r="Q1" s="1636"/>
      <c r="R1" s="1636"/>
      <c r="S1" s="1636"/>
      <c r="T1" s="1636"/>
      <c r="U1" s="1636"/>
      <c r="V1" s="1636"/>
    </row>
    <row r="2" spans="1:22" ht="21.75" customHeight="1" thickBot="1">
      <c r="A2" s="3545" t="str">
        <f>项目基本情况!K2</f>
        <v>北京市顺义区仁和镇临河村棚户区改造土地开发A片区项目SY00-0702-15、16地块出让国有建设用地使用权</v>
      </c>
      <c r="B2" s="3546"/>
      <c r="C2" s="3547"/>
      <c r="D2" s="3547"/>
      <c r="E2" s="3547"/>
      <c r="F2" s="3547"/>
      <c r="G2" s="3546"/>
      <c r="H2" s="3546"/>
      <c r="I2" s="3548"/>
      <c r="J2" s="1643"/>
      <c r="K2" s="1636"/>
      <c r="L2" s="1636"/>
      <c r="M2" s="1636"/>
      <c r="N2" s="1636"/>
      <c r="O2" s="1636"/>
      <c r="P2" s="1636"/>
      <c r="Q2" s="1636"/>
      <c r="R2" s="1636"/>
      <c r="S2" s="1636"/>
      <c r="T2" s="1636"/>
      <c r="U2" s="1636"/>
      <c r="V2" s="1636"/>
    </row>
    <row r="3" spans="1:22" ht="14.25">
      <c r="A3" s="3556" t="s">
        <v>264</v>
      </c>
      <c r="B3" s="3557"/>
      <c r="C3" s="3557"/>
      <c r="D3" s="3557"/>
      <c r="E3" s="3557"/>
      <c r="F3" s="3557"/>
      <c r="G3" s="3557"/>
      <c r="H3" s="3557"/>
      <c r="I3" s="3557"/>
      <c r="J3" s="1643"/>
      <c r="K3" s="1636"/>
      <c r="L3" s="1636"/>
      <c r="M3" s="1636"/>
      <c r="N3" s="1636"/>
      <c r="O3" s="1636"/>
      <c r="P3" s="1636"/>
      <c r="Q3" s="1636"/>
      <c r="R3" s="1636"/>
      <c r="S3" s="1636"/>
      <c r="T3" s="1636"/>
      <c r="U3" s="1636"/>
      <c r="V3" s="1636"/>
    </row>
    <row r="4" spans="1:22" ht="14.25">
      <c r="A4" s="238" t="s">
        <v>265</v>
      </c>
      <c r="B4" s="239" t="s">
        <v>266</v>
      </c>
      <c r="C4" s="240" t="s">
        <v>3507</v>
      </c>
      <c r="D4" s="240" t="s">
        <v>3508</v>
      </c>
      <c r="E4" s="3520" t="s">
        <v>267</v>
      </c>
      <c r="F4" s="3562"/>
      <c r="G4" s="3562"/>
      <c r="H4" s="3562"/>
      <c r="I4" s="3521"/>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49" t="s">
        <v>268</v>
      </c>
      <c r="B5" s="3550">
        <v>25</v>
      </c>
      <c r="C5" s="3558"/>
      <c r="D5" s="3561"/>
      <c r="E5" s="241" t="s">
        <v>269</v>
      </c>
      <c r="F5" s="242"/>
      <c r="G5" s="242"/>
      <c r="H5" s="242"/>
      <c r="I5" s="243"/>
      <c r="J5" s="1643"/>
      <c r="K5" s="1636"/>
      <c r="L5" s="1636"/>
      <c r="M5" s="1636"/>
      <c r="N5" s="1636"/>
      <c r="O5" s="1636"/>
      <c r="P5" s="1636"/>
      <c r="Q5" s="1636"/>
      <c r="R5" s="1636"/>
      <c r="S5" s="1636"/>
      <c r="T5" s="1636"/>
      <c r="U5" s="1636"/>
      <c r="V5" s="1636"/>
    </row>
    <row r="6" spans="1:22" ht="14.25">
      <c r="A6" s="3549"/>
      <c r="B6" s="3550"/>
      <c r="C6" s="3559"/>
      <c r="D6" s="3561"/>
      <c r="E6" s="241" t="s">
        <v>270</v>
      </c>
      <c r="F6" s="242"/>
      <c r="G6" s="242"/>
      <c r="H6" s="242"/>
      <c r="I6" s="243"/>
      <c r="J6" s="1643"/>
      <c r="K6" s="1636"/>
      <c r="L6" s="1636"/>
      <c r="M6" s="1636"/>
      <c r="N6" s="1636"/>
      <c r="O6" s="1636"/>
      <c r="P6" s="1636"/>
      <c r="Q6" s="1636"/>
      <c r="R6" s="1636"/>
      <c r="S6" s="1636"/>
      <c r="T6" s="1636"/>
      <c r="U6" s="1636"/>
      <c r="V6" s="1636"/>
    </row>
    <row r="7" spans="1:22" ht="14.25">
      <c r="A7" s="3549"/>
      <c r="B7" s="3550"/>
      <c r="C7" s="3560"/>
      <c r="D7" s="3561"/>
      <c r="E7" s="241" t="s">
        <v>271</v>
      </c>
      <c r="F7" s="242"/>
      <c r="G7" s="242"/>
      <c r="H7" s="242"/>
      <c r="I7" s="243"/>
      <c r="J7" s="1643"/>
      <c r="K7" s="1636"/>
      <c r="L7" s="1636"/>
      <c r="M7" s="1636"/>
      <c r="N7" s="1636"/>
      <c r="O7" s="1636"/>
      <c r="P7" s="1636"/>
      <c r="Q7" s="1636"/>
      <c r="R7" s="1636"/>
      <c r="S7" s="1636"/>
      <c r="T7" s="1636"/>
      <c r="U7" s="1636"/>
      <c r="V7" s="1636"/>
    </row>
    <row r="8" spans="1:22" ht="14.25">
      <c r="A8" s="3549" t="s">
        <v>272</v>
      </c>
      <c r="B8" s="3550">
        <v>15</v>
      </c>
      <c r="C8" s="3558"/>
      <c r="D8" s="3561"/>
      <c r="E8" s="241" t="s">
        <v>273</v>
      </c>
      <c r="F8" s="242"/>
      <c r="G8" s="242"/>
      <c r="H8" s="242"/>
      <c r="I8" s="243"/>
      <c r="J8" s="1643"/>
      <c r="K8" s="1636"/>
      <c r="L8" s="1636"/>
      <c r="M8" s="1636"/>
      <c r="N8" s="1636"/>
      <c r="O8" s="1636"/>
      <c r="P8" s="1636"/>
      <c r="Q8" s="1636"/>
      <c r="R8" s="1636"/>
      <c r="S8" s="1636"/>
      <c r="T8" s="1636"/>
      <c r="U8" s="1636"/>
      <c r="V8" s="1636"/>
    </row>
    <row r="9" spans="1:22" ht="14.25">
      <c r="A9" s="3549"/>
      <c r="B9" s="3550"/>
      <c r="C9" s="3560"/>
      <c r="D9" s="3561"/>
      <c r="E9" s="241" t="s">
        <v>274</v>
      </c>
      <c r="F9" s="242"/>
      <c r="G9" s="242"/>
      <c r="H9" s="242"/>
      <c r="I9" s="243"/>
      <c r="J9" s="1643"/>
      <c r="K9" s="1636"/>
      <c r="L9" s="1636"/>
      <c r="M9" s="1636"/>
      <c r="N9" s="1636"/>
      <c r="O9" s="1636"/>
      <c r="P9" s="1636"/>
      <c r="Q9" s="1636"/>
      <c r="R9" s="1636"/>
      <c r="S9" s="1636"/>
      <c r="T9" s="1636"/>
      <c r="U9" s="1636"/>
      <c r="V9" s="1636"/>
    </row>
    <row r="10" spans="1:22" ht="14.25">
      <c r="A10" s="3549" t="s">
        <v>275</v>
      </c>
      <c r="B10" s="3550">
        <v>15</v>
      </c>
      <c r="C10" s="3558"/>
      <c r="D10" s="3561"/>
      <c r="E10" s="241" t="s">
        <v>276</v>
      </c>
      <c r="F10" s="242"/>
      <c r="G10" s="242"/>
      <c r="H10" s="242"/>
      <c r="I10" s="243"/>
      <c r="J10" s="1643"/>
      <c r="K10" s="1636"/>
      <c r="L10" s="1636"/>
      <c r="M10" s="1636"/>
      <c r="N10" s="1636"/>
      <c r="O10" s="1636"/>
      <c r="P10" s="1636"/>
      <c r="Q10" s="1636"/>
      <c r="R10" s="1636"/>
      <c r="S10" s="1636"/>
      <c r="T10" s="1636"/>
      <c r="U10" s="1636"/>
      <c r="V10" s="1636"/>
    </row>
    <row r="11" spans="1:22" ht="14.25">
      <c r="A11" s="3549"/>
      <c r="B11" s="3550"/>
      <c r="C11" s="3560"/>
      <c r="D11" s="3561"/>
      <c r="E11" s="241" t="s">
        <v>277</v>
      </c>
      <c r="F11" s="242"/>
      <c r="G11" s="242"/>
      <c r="H11" s="242"/>
      <c r="I11" s="243"/>
      <c r="J11" s="1643"/>
      <c r="K11" s="1636"/>
      <c r="L11" s="1636"/>
      <c r="M11" s="1636"/>
      <c r="N11" s="1636"/>
      <c r="O11" s="1636"/>
      <c r="P11" s="1636"/>
      <c r="Q11" s="1636"/>
      <c r="R11" s="1636"/>
      <c r="S11" s="1636"/>
      <c r="T11" s="1636"/>
      <c r="U11" s="1636"/>
      <c r="V11" s="1636"/>
    </row>
    <row r="12" spans="1:22" ht="14.25">
      <c r="A12" s="3549" t="s">
        <v>278</v>
      </c>
      <c r="B12" s="3550">
        <v>15</v>
      </c>
      <c r="C12" s="3558"/>
      <c r="D12" s="3561"/>
      <c r="E12" s="241" t="s">
        <v>279</v>
      </c>
      <c r="F12" s="242"/>
      <c r="G12" s="242"/>
      <c r="H12" s="242"/>
      <c r="I12" s="243"/>
      <c r="J12" s="1643"/>
      <c r="K12" s="1636"/>
      <c r="L12" s="1636"/>
      <c r="M12" s="1636"/>
      <c r="N12" s="1636"/>
      <c r="O12" s="1636"/>
      <c r="P12" s="1636"/>
      <c r="Q12" s="1636"/>
      <c r="R12" s="1636"/>
      <c r="S12" s="1636"/>
      <c r="T12" s="1636"/>
      <c r="U12" s="1636"/>
      <c r="V12" s="1636"/>
    </row>
    <row r="13" spans="1:22" ht="14.25">
      <c r="A13" s="3549"/>
      <c r="B13" s="3550"/>
      <c r="C13" s="3560"/>
      <c r="D13" s="3561"/>
      <c r="E13" s="241" t="s">
        <v>280</v>
      </c>
      <c r="F13" s="242"/>
      <c r="G13" s="242"/>
      <c r="H13" s="242"/>
      <c r="I13" s="243"/>
      <c r="J13" s="1643"/>
      <c r="K13" s="1636"/>
      <c r="L13" s="1636"/>
      <c r="M13" s="1636"/>
      <c r="N13" s="1636"/>
      <c r="O13" s="1636"/>
      <c r="P13" s="1636"/>
      <c r="Q13" s="1636"/>
      <c r="R13" s="1636"/>
      <c r="S13" s="1636"/>
      <c r="T13" s="1636"/>
      <c r="U13" s="1636"/>
      <c r="V13" s="1636"/>
    </row>
    <row r="14" spans="1:22" ht="14.25">
      <c r="A14" s="3549" t="s">
        <v>281</v>
      </c>
      <c r="B14" s="3550">
        <v>30</v>
      </c>
      <c r="C14" s="3558">
        <v>5</v>
      </c>
      <c r="D14" s="3561">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49"/>
      <c r="B15" s="3550"/>
      <c r="C15" s="3559"/>
      <c r="D15" s="3561"/>
      <c r="E15" s="241" t="s">
        <v>283</v>
      </c>
      <c r="F15" s="242"/>
      <c r="G15" s="242"/>
      <c r="H15" s="242"/>
      <c r="I15" s="243"/>
      <c r="J15" s="1643"/>
      <c r="K15" s="1636"/>
      <c r="L15" s="1636"/>
      <c r="M15" s="1636"/>
      <c r="N15" s="1636"/>
      <c r="O15" s="1636"/>
      <c r="P15" s="1636"/>
      <c r="Q15" s="1636"/>
      <c r="R15" s="1636"/>
      <c r="S15" s="1636"/>
      <c r="T15" s="1636"/>
      <c r="U15" s="1636"/>
      <c r="V15" s="1636"/>
    </row>
    <row r="16" spans="1:22" ht="14.25">
      <c r="A16" s="3549"/>
      <c r="B16" s="3550"/>
      <c r="C16" s="3560"/>
      <c r="D16" s="3561"/>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63" t="s">
        <v>2248</v>
      </c>
      <c r="F18" s="3564"/>
      <c r="G18" s="3564"/>
      <c r="H18" s="3564"/>
      <c r="I18" s="3564"/>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52516</v>
      </c>
      <c r="D19" s="251">
        <f ca="1">SUMIF(INDIRECT("'"&amp;D4&amp;"'"&amp;"!A:A"),结果表!B19,INDIRECT("'"&amp;D4&amp;"'"&amp;"!B:B"))</f>
        <v>55612</v>
      </c>
      <c r="E19" s="248" t="s">
        <v>289</v>
      </c>
      <c r="F19" s="249" t="s">
        <v>288</v>
      </c>
      <c r="G19" s="252">
        <f ca="1">ROUND(C19*$C$18+D19*$D$18,0)</f>
        <v>54064</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11248</v>
      </c>
      <c r="D20" s="256">
        <f ca="1">SUMIF(INDIRECT("'"&amp;D4&amp;"'"&amp;"!A:A"),结果表!B20,INDIRECT("'"&amp;D4&amp;"'"&amp;"!B:B"))</f>
        <v>11911</v>
      </c>
      <c r="E20" s="254"/>
      <c r="F20" s="102" t="s">
        <v>291</v>
      </c>
      <c r="G20" s="257">
        <f ca="1">ROUND(C20*$C$18+D20*$D$18,0)</f>
        <v>11580</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25791</v>
      </c>
      <c r="D21" s="135">
        <f ca="1">SUMIF(INDIRECT("'"&amp;D4&amp;"'"&amp;"!A:A"),结果表!B21,INDIRECT("'"&amp;D4&amp;"'"&amp;"!B:B"))</f>
        <v>27311</v>
      </c>
      <c r="E21" s="254"/>
      <c r="F21" s="106" t="s">
        <v>293</v>
      </c>
      <c r="G21" s="260">
        <f ca="1">ROUND(C21*$C$18+D21*$D$18,0)</f>
        <v>26551</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5.8953461802117468E-2</v>
      </c>
      <c r="E22" s="262"/>
      <c r="F22" s="263"/>
      <c r="G22" s="264">
        <f ca="1">ROUND(G19/('数据-汇总表'!D3/666.67),0)</f>
        <v>1770</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2"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69"/>
      <c r="B25" s="1125" t="s">
        <v>297</v>
      </c>
      <c r="C25" s="268">
        <f>IF(B30=0,0,C30)</f>
        <v>0</v>
      </c>
      <c r="D25" s="269"/>
      <c r="E25" s="287"/>
      <c r="F25" s="287"/>
      <c r="G25" s="287"/>
      <c r="H25" s="287"/>
      <c r="I25" s="287"/>
      <c r="J25" s="1636"/>
      <c r="K25" s="1062" t="str">
        <f ca="1">项目基本情况!A17&amp;"国有建设用地使用权价格："&amp;O38&amp;"万元"</f>
        <v>出让国有建设用地使用权价格：54064万元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大写金额：人民币伍亿肆仟零陆拾肆万元整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单位面积地价：26551元/平方米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楼面地价：11579元/平方米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抵押价格：53526万元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大写金额：人民币伍亿叁仟伍佰贰拾陆万元整</v>
      </c>
      <c r="L30" s="1061"/>
      <c r="M30" s="1061"/>
      <c r="N30" s="1061"/>
      <c r="O30" s="258"/>
      <c r="P30" s="1636"/>
      <c r="V30" s="1636"/>
    </row>
    <row r="31" spans="1:22" ht="24" customHeight="1" thickBot="1">
      <c r="A31" s="3565" t="s">
        <v>2250</v>
      </c>
      <c r="B31" s="3565"/>
      <c r="C31" s="3565"/>
      <c r="D31" s="3565"/>
      <c r="E31" s="3565"/>
      <c r="F31" s="3565"/>
      <c r="G31" s="3565"/>
      <c r="H31" s="3565"/>
      <c r="I31" s="3565"/>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54064</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11579</v>
      </c>
      <c r="D33" s="1173" t="s">
        <v>1224</v>
      </c>
      <c r="E33" s="3522"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26551</v>
      </c>
      <c r="D34" s="1173" t="s">
        <v>1224</v>
      </c>
      <c r="E34" s="3523"/>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1770</v>
      </c>
      <c r="D35" s="1176" t="s">
        <v>1226</v>
      </c>
      <c r="E35" s="3524"/>
      <c r="F35" s="278" t="s">
        <v>308</v>
      </c>
      <c r="G35" s="897">
        <f>E39</f>
        <v>538</v>
      </c>
      <c r="H35" s="896" t="s">
        <v>309</v>
      </c>
      <c r="I35" s="287"/>
      <c r="J35" s="1636"/>
      <c r="K35" s="3528" t="s">
        <v>316</v>
      </c>
      <c r="L35" s="3528" t="s">
        <v>317</v>
      </c>
      <c r="M35" s="1071" t="s">
        <v>318</v>
      </c>
      <c r="N35" s="3528" t="s">
        <v>319</v>
      </c>
      <c r="O35" s="3528" t="s">
        <v>320</v>
      </c>
      <c r="P35" s="1636"/>
      <c r="V35" s="1636"/>
    </row>
    <row r="36" spans="1:22" ht="16.5" customHeight="1">
      <c r="A36" s="280" t="s">
        <v>310</v>
      </c>
      <c r="B36" s="281" t="s">
        <v>299</v>
      </c>
      <c r="C36" s="282" t="s">
        <v>311</v>
      </c>
      <c r="D36" s="282" t="s">
        <v>312</v>
      </c>
      <c r="E36" s="283" t="s">
        <v>313</v>
      </c>
      <c r="F36" s="287"/>
      <c r="G36" s="287"/>
      <c r="H36" s="287"/>
      <c r="I36" s="287"/>
      <c r="J36" s="1644"/>
      <c r="K36" s="3529"/>
      <c r="L36" s="3529"/>
      <c r="M36" s="1073" t="s">
        <v>321</v>
      </c>
      <c r="N36" s="3529"/>
      <c r="O36" s="3529"/>
      <c r="P36" s="1636"/>
      <c r="V36" s="1636"/>
    </row>
    <row r="37" spans="1:22" ht="16.5" customHeight="1" thickBot="1">
      <c r="A37" s="1067" t="s">
        <v>314</v>
      </c>
      <c r="B37" s="270">
        <f>'数据-汇总表'!G20</f>
        <v>9011.2199999999993</v>
      </c>
      <c r="C37" s="270">
        <f>ROUND(15451*0.15*0.25,0)</f>
        <v>579</v>
      </c>
      <c r="D37" s="3411">
        <v>3.0499999999999999E-2</v>
      </c>
      <c r="E37" s="272">
        <f>ROUND(B37*C37*(1+D37)/10000,0)</f>
        <v>538</v>
      </c>
      <c r="F37" s="287"/>
      <c r="G37" s="287"/>
      <c r="H37" s="287"/>
      <c r="I37" s="287"/>
      <c r="J37" s="1644"/>
      <c r="K37" s="3530"/>
      <c r="L37" s="3530"/>
      <c r="M37" s="1074"/>
      <c r="N37" s="3530"/>
      <c r="O37" s="3530"/>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26551</v>
      </c>
      <c r="N38" s="1076">
        <f ca="1">C33</f>
        <v>11579</v>
      </c>
      <c r="O38" s="1077">
        <f ca="1">C32</f>
        <v>54064</v>
      </c>
      <c r="P38" s="1636"/>
      <c r="V38" s="1636"/>
    </row>
    <row r="39" spans="1:22" ht="16.5" customHeight="1" thickBot="1">
      <c r="A39" s="1072"/>
      <c r="B39" s="284"/>
      <c r="C39" s="285"/>
      <c r="D39" s="285"/>
      <c r="E39" s="286">
        <f>SUM(E37:E38)</f>
        <v>538</v>
      </c>
      <c r="F39" s="287"/>
      <c r="G39" s="287"/>
      <c r="H39" s="287"/>
      <c r="I39" s="287"/>
      <c r="J39" s="1644"/>
      <c r="K39" s="3541" t="str">
        <f>MID(A44,3,LEN(A44)-2)</f>
        <v>抵押价格</v>
      </c>
      <c r="L39" s="3542"/>
      <c r="M39" s="3542"/>
      <c r="N39" s="3543"/>
      <c r="O39" s="1178">
        <f ca="1">C44</f>
        <v>53526</v>
      </c>
      <c r="P39" s="1636"/>
      <c r="V39" s="1636"/>
    </row>
    <row r="40" spans="1:22" ht="19.5" thickBot="1">
      <c r="A40" s="95" t="s">
        <v>810</v>
      </c>
      <c r="B40" s="287"/>
      <c r="C40" s="287"/>
      <c r="D40" s="287"/>
      <c r="E40" s="287"/>
      <c r="F40" s="287"/>
      <c r="G40" s="287"/>
      <c r="H40" s="287"/>
      <c r="I40" s="287"/>
      <c r="J40" s="1644"/>
      <c r="K40" s="3541" t="str">
        <f>MID(A45,3,LEN(A45)-2)</f>
        <v/>
      </c>
      <c r="L40" s="3542"/>
      <c r="M40" s="3542"/>
      <c r="N40" s="3543"/>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1" t="str">
        <f>MID(A46,3,LEN(A46)-2)</f>
        <v/>
      </c>
      <c r="L41" s="3542"/>
      <c r="M41" s="3542"/>
      <c r="N41" s="3543"/>
      <c r="O41" s="1178" t="str">
        <f>C46</f>
        <v>——</v>
      </c>
      <c r="P41" s="1636"/>
      <c r="V41" s="1636"/>
    </row>
    <row r="42" spans="1:22" ht="29.25">
      <c r="A42" s="3570" t="s">
        <v>1585</v>
      </c>
      <c r="B42" s="3571"/>
      <c r="C42" s="244">
        <f ca="1">C32</f>
        <v>54064</v>
      </c>
      <c r="D42" s="293">
        <f ca="1">C33</f>
        <v>11579</v>
      </c>
      <c r="E42" s="293">
        <f ca="1">C34</f>
        <v>26551</v>
      </c>
      <c r="F42" s="294">
        <f ca="1">C35</f>
        <v>1770</v>
      </c>
      <c r="G42" s="287"/>
      <c r="H42" s="287"/>
      <c r="I42" s="295"/>
      <c r="J42" s="1644"/>
      <c r="K42" s="1078" t="s">
        <v>327</v>
      </c>
      <c r="L42" s="1660" t="s">
        <v>328</v>
      </c>
      <c r="M42" s="1079" t="s">
        <v>329</v>
      </c>
      <c r="N42" s="1661" t="s">
        <v>330</v>
      </c>
      <c r="O42" s="1662" t="s">
        <v>331</v>
      </c>
      <c r="P42" s="1636"/>
      <c r="V42" s="1636"/>
    </row>
    <row r="43" spans="1:22" ht="30">
      <c r="A43" s="3580" t="s">
        <v>2012</v>
      </c>
      <c r="B43" s="3581"/>
      <c r="C43" s="244">
        <f>IF(H33="正常操作",G33+G34+G35,G34+G35)</f>
        <v>538</v>
      </c>
      <c r="D43" s="293" t="s">
        <v>17</v>
      </c>
      <c r="E43" s="293" t="s">
        <v>18</v>
      </c>
      <c r="F43" s="294" t="s">
        <v>18</v>
      </c>
      <c r="G43" s="2171" t="s">
        <v>877</v>
      </c>
      <c r="H43" s="287"/>
      <c r="I43" s="295"/>
      <c r="J43" s="1644"/>
      <c r="K43" s="1080" t="str">
        <f>C4</f>
        <v>比较法-住宅、综合</v>
      </c>
      <c r="L43" s="1081">
        <f ca="1">IF(L42="估价结果/万元",C19,C20)</f>
        <v>52516</v>
      </c>
      <c r="M43" s="1082">
        <f>C18</f>
        <v>0.5</v>
      </c>
      <c r="N43" s="1083">
        <f ca="1">IF(N42="测算结果/万元",G19,G20)</f>
        <v>54064</v>
      </c>
      <c r="O43" s="1084">
        <f ca="1">IF(O42="最终结果/万元",C32,C33)</f>
        <v>54064</v>
      </c>
      <c r="P43" s="1636"/>
      <c r="V43" s="1636"/>
    </row>
    <row r="44" spans="1:22" ht="30.75" thickBot="1">
      <c r="A44" s="3570" t="str">
        <f>IF(OR(项目基本情况!E8="抵押价格",项目基本情况!E8="已注销及未注销"),"3.抵押价格","——")</f>
        <v>3.抵押价格</v>
      </c>
      <c r="B44" s="3571"/>
      <c r="C44" s="244">
        <f ca="1">IF(A44="——","——",C42-C43)</f>
        <v>53526</v>
      </c>
      <c r="D44" s="293">
        <f ca="1">ROUND(C44*10000/'数据-汇总表'!E3,0)</f>
        <v>11464</v>
      </c>
      <c r="E44" s="293">
        <f ca="1">ROUND(C44*10000/'数据-汇总表'!D3,0)</f>
        <v>26287</v>
      </c>
      <c r="F44" s="294">
        <f ca="1">ROUND(C44/('数据-汇总表'!D3/666.67),0)</f>
        <v>1752</v>
      </c>
      <c r="G44" s="287"/>
      <c r="H44" s="287"/>
      <c r="I44" s="295"/>
      <c r="J44" s="1644"/>
      <c r="K44" s="1085" t="str">
        <f>D4</f>
        <v>剩余法-待开发</v>
      </c>
      <c r="L44" s="1086">
        <f ca="1">IF(L42="估价结果/万元",D19,D20)</f>
        <v>55612</v>
      </c>
      <c r="M44" s="1087">
        <f>D18</f>
        <v>0.5</v>
      </c>
      <c r="N44" s="1088"/>
      <c r="O44" s="1089"/>
      <c r="P44" s="1636"/>
      <c r="V44" s="1636"/>
    </row>
    <row r="45" spans="1:22" ht="15">
      <c r="A45" s="3575" t="str">
        <f>IF(项目基本情况!E8="已注销及未注销","4.抵押担保权已注销时的抵押价格",IF(项目基本情况!E8="已注销","3.抵押担保权已注销时的抵押价格","——"))</f>
        <v>——</v>
      </c>
      <c r="B45" s="3576"/>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2" t="str">
        <f>IF(项目基本情况!E9="抵押净值",IF(A45="——","4.抵押净值","5.抵押净值"),"——")</f>
        <v>——</v>
      </c>
      <c r="B46" s="3573"/>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本次评估估价师知悉的法定优先受偿款为人民币538万元整。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33" t="s">
        <v>340</v>
      </c>
      <c r="B63" s="3534"/>
      <c r="C63" s="3535"/>
      <c r="D63" s="315">
        <f ca="1">ROUND(C42*F63,0)</f>
        <v>54064</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77" t="s">
        <v>344</v>
      </c>
      <c r="B64" s="3578"/>
      <c r="C64" s="3578"/>
      <c r="D64" s="3578"/>
      <c r="E64" s="3578"/>
      <c r="F64" s="3578"/>
      <c r="G64" s="3579"/>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74" t="s">
        <v>352</v>
      </c>
      <c r="B66" s="3540"/>
      <c r="C66" s="3540"/>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01" t="s">
        <v>351</v>
      </c>
      <c r="M66" s="3502"/>
      <c r="N66" s="1973"/>
      <c r="O66" s="1974"/>
      <c r="P66" s="1975"/>
      <c r="Q66" s="1636"/>
      <c r="R66" s="1636"/>
      <c r="S66" s="1636"/>
      <c r="T66" s="1636"/>
      <c r="U66" s="1636"/>
      <c r="V66" s="1636"/>
    </row>
    <row r="67" spans="1:22" ht="25.5" customHeight="1">
      <c r="A67" s="326" t="s">
        <v>355</v>
      </c>
      <c r="B67" s="3552" t="s">
        <v>356</v>
      </c>
      <c r="C67" s="3552"/>
      <c r="D67" s="327">
        <v>0</v>
      </c>
      <c r="E67" s="37" t="s">
        <v>357</v>
      </c>
      <c r="F67" s="58" t="s">
        <v>15</v>
      </c>
      <c r="G67" s="3536"/>
      <c r="H67" s="2541" t="s">
        <v>2251</v>
      </c>
      <c r="I67" s="2543"/>
      <c r="J67" s="1649"/>
      <c r="K67" s="1632">
        <v>2</v>
      </c>
      <c r="L67" s="3506" t="s">
        <v>354</v>
      </c>
      <c r="M67" s="3506"/>
      <c r="N67" s="1129">
        <f>'数据-取费表'!B2</f>
        <v>45541</v>
      </c>
      <c r="O67" s="1129"/>
      <c r="P67" s="1129"/>
      <c r="Q67" s="1636"/>
      <c r="R67" s="1636"/>
      <c r="S67" s="1636"/>
      <c r="T67" s="1636"/>
      <c r="U67" s="1636"/>
      <c r="V67" s="1636"/>
    </row>
    <row r="68" spans="1:22" ht="25.5" customHeight="1">
      <c r="A68" s="328"/>
      <c r="B68" s="3552" t="s">
        <v>359</v>
      </c>
      <c r="C68" s="3552"/>
      <c r="D68" s="329"/>
      <c r="E68" s="73"/>
      <c r="F68" s="330"/>
      <c r="G68" s="3537"/>
      <c r="H68" s="2542" t="s">
        <v>2252</v>
      </c>
      <c r="I68" s="2543"/>
      <c r="J68" s="1649"/>
      <c r="K68" s="1632">
        <v>3</v>
      </c>
      <c r="L68" s="3506" t="s">
        <v>358</v>
      </c>
      <c r="M68" s="3506"/>
      <c r="N68" s="1099">
        <f ca="1">C42</f>
        <v>54064</v>
      </c>
      <c r="O68" s="1099"/>
      <c r="P68" s="1099"/>
      <c r="Q68" s="1636"/>
      <c r="R68" s="1636"/>
      <c r="S68" s="1636"/>
      <c r="T68" s="1636"/>
      <c r="U68" s="1636"/>
      <c r="V68" s="1636"/>
    </row>
    <row r="69" spans="1:22" ht="23.45" customHeight="1">
      <c r="A69" s="331"/>
      <c r="B69" s="3552" t="s">
        <v>360</v>
      </c>
      <c r="C69" s="3552"/>
      <c r="D69" s="332"/>
      <c r="E69" s="69"/>
      <c r="F69" s="330"/>
      <c r="G69" s="3538"/>
      <c r="H69" s="2542" t="s">
        <v>2253</v>
      </c>
      <c r="I69" s="2543"/>
      <c r="J69" s="1649"/>
      <c r="K69" s="1100">
        <v>4</v>
      </c>
      <c r="L69" s="3507" t="s">
        <v>2155</v>
      </c>
      <c r="M69" s="3508"/>
      <c r="N69" s="1101">
        <f ca="1">C44</f>
        <v>53526</v>
      </c>
      <c r="O69" s="1101"/>
      <c r="P69" s="1101"/>
      <c r="Q69" s="1636"/>
      <c r="R69" s="1636"/>
      <c r="S69" s="1636"/>
      <c r="T69" s="1636"/>
      <c r="U69" s="1636"/>
      <c r="V69" s="1636"/>
    </row>
    <row r="70" spans="1:22" ht="24" customHeight="1">
      <c r="A70" s="333" t="s">
        <v>361</v>
      </c>
      <c r="B70" s="3552" t="s">
        <v>362</v>
      </c>
      <c r="C70" s="3552"/>
      <c r="D70" s="332">
        <f ca="1">ROUND(D63*'数据-取费表'!B41/(1+'数据-取费表'!C42),0)</f>
        <v>2832</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51" t="s">
        <v>2278</v>
      </c>
      <c r="C71" s="3568"/>
      <c r="D71" s="332">
        <f ca="1">ROUND(D63*'数据-取费表'!B41/(1+'数据-取费表'!C42),0)</f>
        <v>2832</v>
      </c>
      <c r="E71" s="14" t="s">
        <v>363</v>
      </c>
      <c r="F71" s="334">
        <f>'数据-取费表'!B41</f>
        <v>5.5000000000000007E-2</v>
      </c>
      <c r="G71" s="335"/>
      <c r="H71" s="287"/>
      <c r="I71" s="1098"/>
      <c r="J71" s="1649"/>
      <c r="K71" s="2331" t="s">
        <v>364</v>
      </c>
      <c r="L71" s="3509" t="s">
        <v>365</v>
      </c>
      <c r="M71" s="3509"/>
      <c r="N71" s="2331" t="s">
        <v>366</v>
      </c>
      <c r="O71" s="2331" t="s">
        <v>367</v>
      </c>
      <c r="P71" s="2331" t="s">
        <v>368</v>
      </c>
      <c r="Q71" s="1636"/>
      <c r="R71" s="1636"/>
      <c r="S71" s="1636"/>
      <c r="T71" s="1636"/>
      <c r="U71" s="1636"/>
      <c r="V71" s="1636"/>
    </row>
    <row r="72" spans="1:22" ht="12" customHeight="1">
      <c r="A72" s="333" t="s">
        <v>371</v>
      </c>
      <c r="B72" s="3551" t="s">
        <v>2279</v>
      </c>
      <c r="C72" s="3568"/>
      <c r="D72" s="332">
        <f ca="1">C86</f>
        <v>2832</v>
      </c>
      <c r="E72" s="69" t="s">
        <v>372</v>
      </c>
      <c r="F72" s="334">
        <f>'数据-取费表'!B41</f>
        <v>5.5000000000000007E-2</v>
      </c>
      <c r="G72" s="335"/>
      <c r="H72" s="1104"/>
      <c r="I72" s="1098"/>
      <c r="J72" s="1649"/>
      <c r="K72" s="1632">
        <v>1</v>
      </c>
      <c r="L72" s="3505" t="s">
        <v>370</v>
      </c>
      <c r="M72" s="3505"/>
      <c r="N72" s="1102" t="b">
        <f>D66</f>
        <v>0</v>
      </c>
      <c r="O72" s="1539" t="str">
        <f>E66</f>
        <v>销售额×税（费）率</v>
      </c>
      <c r="P72" s="1103">
        <f>F66</f>
        <v>5.5000000000000007E-2</v>
      </c>
      <c r="Q72" s="1636"/>
      <c r="R72" s="1636"/>
      <c r="S72" s="1636"/>
      <c r="T72" s="1636"/>
      <c r="U72" s="1636"/>
      <c r="V72" s="1636"/>
    </row>
    <row r="73" spans="1:22" ht="24" customHeight="1">
      <c r="A73" s="3539" t="s">
        <v>374</v>
      </c>
      <c r="B73" s="3540"/>
      <c r="C73" s="3540"/>
      <c r="D73" s="336">
        <f ca="1">IF(H73="个人住宅",0,ROUND(D63*I73,0))</f>
        <v>27</v>
      </c>
      <c r="E73" s="14" t="s">
        <v>375</v>
      </c>
      <c r="F73" s="334" t="str">
        <f>IF(H73="正常",I73,"免征")</f>
        <v>免征</v>
      </c>
      <c r="G73" s="335"/>
      <c r="H73" s="174"/>
      <c r="I73" s="334">
        <f>'数据-取费表'!B49</f>
        <v>5.0000000000000001E-4</v>
      </c>
      <c r="J73" s="1649"/>
      <c r="K73" s="1632">
        <v>2</v>
      </c>
      <c r="L73" s="3505" t="s">
        <v>373</v>
      </c>
      <c r="M73" s="3505"/>
      <c r="N73" s="1102">
        <f t="shared" ref="N73:P74" ca="1" si="0">D73</f>
        <v>27</v>
      </c>
      <c r="O73" s="1539" t="str">
        <f t="shared" si="0"/>
        <v>销售额×税（费）率</v>
      </c>
      <c r="P73" s="1103" t="str">
        <f t="shared" si="0"/>
        <v>免征</v>
      </c>
      <c r="Q73" s="1636"/>
      <c r="R73" s="1636"/>
      <c r="S73" s="1636"/>
      <c r="T73" s="1636"/>
      <c r="U73" s="1636"/>
      <c r="V73" s="1636"/>
    </row>
    <row r="74" spans="1:22" ht="24.75">
      <c r="A74" s="3539" t="s">
        <v>377</v>
      </c>
      <c r="B74" s="3540"/>
      <c r="C74" s="3540"/>
      <c r="D74" s="336">
        <f ca="1">IF(H74="个人住宅",D75,D76)</f>
        <v>30650</v>
      </c>
      <c r="E74" s="14" t="s">
        <v>378</v>
      </c>
      <c r="F74" s="334" t="str">
        <f>IF(H74="正常",F76,"免征")</f>
        <v>免征</v>
      </c>
      <c r="G74" s="898" t="s">
        <v>379</v>
      </c>
      <c r="H74" s="337"/>
      <c r="I74" s="38"/>
      <c r="J74" s="1649"/>
      <c r="K74" s="1632">
        <v>3</v>
      </c>
      <c r="L74" s="3505" t="s">
        <v>376</v>
      </c>
      <c r="M74" s="3505"/>
      <c r="N74" s="1102">
        <f t="shared" ca="1" si="0"/>
        <v>30650</v>
      </c>
      <c r="O74" s="1539" t="str">
        <f t="shared" si="0"/>
        <v>增值额×税（费）率</v>
      </c>
      <c r="P74" s="1105" t="str">
        <f t="shared" si="0"/>
        <v>免征</v>
      </c>
      <c r="Q74" s="1636"/>
      <c r="R74" s="1636"/>
      <c r="S74" s="1636"/>
      <c r="T74" s="1636"/>
      <c r="U74" s="1636"/>
      <c r="V74" s="1636"/>
    </row>
    <row r="75" spans="1:22" ht="12.75">
      <c r="A75" s="333" t="s">
        <v>380</v>
      </c>
      <c r="B75" s="3520" t="s">
        <v>381</v>
      </c>
      <c r="C75" s="3521"/>
      <c r="D75" s="338">
        <v>0</v>
      </c>
      <c r="E75" s="37" t="s">
        <v>382</v>
      </c>
      <c r="F75" s="339"/>
      <c r="G75" s="335"/>
      <c r="H75" s="38"/>
      <c r="I75" s="38"/>
      <c r="J75" s="1649"/>
      <c r="K75" s="1632">
        <f>IF(H77="非个人房产","",4)</f>
        <v>4</v>
      </c>
      <c r="L75" s="3505" t="str">
        <f>IF(H77="非个人房产","——","个人所得税")</f>
        <v>个人所得税</v>
      </c>
      <c r="M75" s="3505"/>
      <c r="N75" s="1106">
        <f>D77</f>
        <v>0</v>
      </c>
      <c r="O75" s="1540" t="str">
        <f>E77</f>
        <v>差额计税</v>
      </c>
      <c r="P75" s="1107">
        <f>F77</f>
        <v>0.01</v>
      </c>
      <c r="Q75" s="1636"/>
      <c r="R75" s="1636"/>
      <c r="S75" s="1636"/>
      <c r="T75" s="1636"/>
      <c r="U75" s="1636"/>
      <c r="V75" s="1636"/>
    </row>
    <row r="76" spans="1:22" ht="24.75">
      <c r="A76" s="333" t="s">
        <v>361</v>
      </c>
      <c r="B76" s="3520" t="s">
        <v>384</v>
      </c>
      <c r="C76" s="3562"/>
      <c r="D76" s="336">
        <f ca="1">IF(H76="转让取得",C99,C115)</f>
        <v>30650</v>
      </c>
      <c r="E76" s="14" t="s">
        <v>385</v>
      </c>
      <c r="F76" s="49" t="s">
        <v>15</v>
      </c>
      <c r="G76" s="335"/>
      <c r="H76" s="337"/>
      <c r="I76" s="38"/>
      <c r="J76" s="1649"/>
      <c r="K76" s="1632" t="str">
        <f>IF(项目基本情况!K6="上海银行",IF(K75="",4,K75+1),"")</f>
        <v/>
      </c>
      <c r="L76" s="3516" t="str">
        <f>IF(项目基本情况!K6="上海银行","其他处置费用","")</f>
        <v/>
      </c>
      <c r="M76" s="3517"/>
      <c r="N76" s="1102" t="str">
        <f>IF(项目基本情况!K6="上海银行",N89,"")</f>
        <v/>
      </c>
      <c r="O76" s="3518" t="str">
        <f>IF(项目基本情况!K6="上海银行","包含处置中涉及的律师、诉讼、拍卖、评估等费用","")</f>
        <v/>
      </c>
      <c r="P76" s="3519"/>
      <c r="Q76" s="1636"/>
      <c r="R76" s="1636"/>
      <c r="S76" s="1636"/>
      <c r="T76" s="1636"/>
      <c r="U76" s="1636"/>
      <c r="V76" s="1636"/>
    </row>
    <row r="77" spans="1:22" ht="24.75" thickBot="1">
      <c r="A77" s="3531" t="s">
        <v>387</v>
      </c>
      <c r="B77" s="3532"/>
      <c r="C77" s="3532"/>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27">
        <f>IF(AND(K75="",K76=""),4,IF(项目基本情况!K6="上海银行",K76+1,K75+1))</f>
        <v>5</v>
      </c>
      <c r="L77" s="3505" t="s">
        <v>2156</v>
      </c>
      <c r="M77" s="2330" t="s">
        <v>383</v>
      </c>
      <c r="N77" s="1108"/>
      <c r="O77" s="1109">
        <f ca="1">SUMIF(N72:N76,"&lt;9e307")</f>
        <v>30677</v>
      </c>
      <c r="P77" s="1110"/>
      <c r="Q77" s="2328">
        <f ca="1">O77/N69</f>
        <v>0.57312334192728764</v>
      </c>
      <c r="R77" s="1636"/>
      <c r="S77" s="1636"/>
      <c r="T77" s="1636"/>
      <c r="U77" s="1636"/>
      <c r="V77" s="1636"/>
    </row>
    <row r="78" spans="1:22" ht="12" customHeight="1">
      <c r="A78" s="1111"/>
      <c r="B78" s="287"/>
      <c r="C78" s="287"/>
      <c r="D78" s="287"/>
      <c r="E78" s="38"/>
      <c r="F78" s="38"/>
      <c r="G78" s="38"/>
      <c r="H78" s="867"/>
      <c r="I78" s="287"/>
      <c r="J78" s="1649"/>
      <c r="K78" s="3527"/>
      <c r="L78" s="3505"/>
      <c r="M78" s="2330" t="s">
        <v>386</v>
      </c>
      <c r="N78" s="1108"/>
      <c r="O78" s="1109" t="str">
        <f ca="1">NUMBERSTRING(INT(O77*10000),2)&amp;"元整"</f>
        <v>叁亿零陆佰柒拾柒万元整</v>
      </c>
      <c r="P78" s="1110"/>
      <c r="Q78" s="1636"/>
      <c r="R78" s="1636"/>
      <c r="S78" s="1636"/>
      <c r="T78" s="1636"/>
      <c r="U78" s="1636"/>
      <c r="V78" s="1636"/>
    </row>
    <row r="79" spans="1:22" ht="13.5" thickBot="1">
      <c r="A79" s="3582" t="s">
        <v>388</v>
      </c>
      <c r="B79" s="3582"/>
      <c r="C79" s="3582"/>
      <c r="D79" s="3582"/>
      <c r="E79" s="3582"/>
      <c r="F79" s="38"/>
      <c r="G79" s="38"/>
      <c r="H79" s="867"/>
      <c r="I79" s="287"/>
      <c r="J79" s="1649"/>
      <c r="K79" s="3503">
        <f>K77+1</f>
        <v>6</v>
      </c>
      <c r="L79" s="3505" t="s">
        <v>2157</v>
      </c>
      <c r="M79" s="2330" t="s">
        <v>383</v>
      </c>
      <c r="N79" s="1108"/>
      <c r="O79" s="1109">
        <f ca="1">N69-O77</f>
        <v>22849</v>
      </c>
      <c r="P79" s="1110"/>
      <c r="Q79" s="1636"/>
      <c r="R79" s="1636"/>
      <c r="S79" s="1636"/>
      <c r="T79" s="1636"/>
      <c r="U79" s="1636"/>
      <c r="V79" s="1636"/>
    </row>
    <row r="80" spans="1:22" ht="25.5">
      <c r="A80" s="3513" t="s">
        <v>389</v>
      </c>
      <c r="B80" s="3514"/>
      <c r="C80" s="908"/>
      <c r="D80" s="908" t="s">
        <v>390</v>
      </c>
      <c r="E80" s="340" t="s">
        <v>391</v>
      </c>
      <c r="F80" s="38"/>
      <c r="G80" s="38"/>
      <c r="H80" s="867"/>
      <c r="I80" s="287"/>
      <c r="J80" s="1636"/>
      <c r="K80" s="3504"/>
      <c r="L80" s="3505"/>
      <c r="M80" s="2330" t="s">
        <v>386</v>
      </c>
      <c r="N80" s="1108"/>
      <c r="O80" s="1109" t="str">
        <f ca="1">NUMBERSTRING(INT(O79*10000),2)&amp;"元整"</f>
        <v>贰亿贰仟捌佰肆拾玖万元整</v>
      </c>
      <c r="P80" s="1110"/>
      <c r="Q80" s="1636"/>
      <c r="R80" s="1636"/>
      <c r="S80" s="1636"/>
      <c r="T80" s="1636"/>
      <c r="U80" s="1636"/>
      <c r="V80" s="1636"/>
    </row>
    <row r="81" spans="1:26" ht="13.5" thickBot="1">
      <c r="A81" s="351" t="s">
        <v>1352</v>
      </c>
      <c r="B81" s="341" t="s">
        <v>392</v>
      </c>
      <c r="C81" s="342">
        <f ca="1">ROUND((C82+C83)/(1+'数据-取费表'!C42),0)</f>
        <v>51490</v>
      </c>
      <c r="D81" s="343"/>
      <c r="E81" s="344"/>
      <c r="F81" s="38"/>
      <c r="G81" s="38"/>
      <c r="H81" s="867"/>
      <c r="I81" s="287"/>
      <c r="J81" s="1636"/>
      <c r="K81" s="1632">
        <f>K79+1</f>
        <v>7</v>
      </c>
      <c r="L81" s="3525" t="s">
        <v>2158</v>
      </c>
      <c r="M81" s="3526"/>
      <c r="N81" s="1112"/>
      <c r="O81" s="1113">
        <f ca="1">ROUND(O79*10000/'数据-汇总表'!E3,0)</f>
        <v>4894</v>
      </c>
      <c r="P81" s="1114"/>
      <c r="Q81" s="1636"/>
      <c r="R81" s="1636"/>
      <c r="S81" s="1636"/>
      <c r="T81" s="1636"/>
      <c r="U81" s="1636"/>
      <c r="V81" s="1636"/>
    </row>
    <row r="82" spans="1:26" ht="13.5" thickTop="1">
      <c r="A82" s="345" t="s">
        <v>1353</v>
      </c>
      <c r="B82" s="346" t="s">
        <v>393</v>
      </c>
      <c r="C82" s="347">
        <f ca="1">D63</f>
        <v>54064</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15" t="s">
        <v>2146</v>
      </c>
      <c r="L83" s="2336" t="s">
        <v>2147</v>
      </c>
      <c r="M83" s="2326">
        <f ca="1">IF(N69&gt;10000,N69*0.5%,IF(AND(N69&gt;1000,N69&lt;=10000),N69*1%,IF(AND(N69&gt;100,N69&lt;=1000),N69*3%,IF(AND(N69&gt;10,N69&lt;=100),N69*5%,N69*8%))))</f>
        <v>267.63</v>
      </c>
      <c r="N83" s="49">
        <f ca="1">ROUND(M83,1)</f>
        <v>267.60000000000002</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15"/>
      <c r="L84" s="2336" t="s">
        <v>2148</v>
      </c>
      <c r="M84" s="2326">
        <f ca="1">IF(N69&gt;2000,N69*0.5%,IF(AND(N69&gt;1000,N69&lt;=2000),N69*0.6%,IF(AND(N69&gt;500,N69&lt;=1000),N69*0.7%,IF(AND(N69&gt;200,N69&lt;=500),N69*0.8%,IF(AND(N69&gt;100,N69&lt;=200),N69*0.9%,IF(AND(N69&gt;50,N69&lt;=100),N69*1%,IF(AND(N69&gt;20,N69&lt;=50),N69*1.5%,IF(AND(N69&gt;10,N69&lt;=20),N69*2%,IF(AND(N69&gt;1,N69&lt;=10),N69*2.5%)))))))))</f>
        <v>267.63</v>
      </c>
      <c r="N84" s="49">
        <f ca="1">ROUND(M84,1)</f>
        <v>267.60000000000002</v>
      </c>
      <c r="O84" s="1636" t="s">
        <v>2149</v>
      </c>
      <c r="P84" s="1636"/>
      <c r="Q84" s="1636"/>
      <c r="R84" s="1636"/>
      <c r="S84" s="1636"/>
      <c r="T84" s="1636"/>
      <c r="U84" s="1636"/>
      <c r="V84" s="1636"/>
    </row>
    <row r="85" spans="1:26" ht="12.75">
      <c r="A85" s="351" t="s">
        <v>1356</v>
      </c>
      <c r="B85" s="352" t="s">
        <v>396</v>
      </c>
      <c r="C85" s="355">
        <f ca="1">C81-C84</f>
        <v>51490</v>
      </c>
      <c r="D85" s="348" t="s">
        <v>13</v>
      </c>
      <c r="E85" s="349"/>
      <c r="F85" s="38"/>
      <c r="G85" s="38"/>
      <c r="H85" s="867"/>
      <c r="I85" s="287"/>
      <c r="J85" s="1636"/>
      <c r="K85" s="3515"/>
      <c r="L85" s="2336" t="s">
        <v>2150</v>
      </c>
      <c r="M85" s="2326">
        <f ca="1">IF(N69&gt;1000,N69*0.1%,IF(AND(N69&gt;500,N69&lt;=1000),N69*0.5%,IF(AND(N69&gt;50,N69&lt;=500),N69*1%,IF(AND(N69&gt;1,N69&lt;=50),N69*1.5%))))</f>
        <v>53.526000000000003</v>
      </c>
      <c r="N85" s="49">
        <f ca="1">ROUND(M85,1)</f>
        <v>53.5</v>
      </c>
      <c r="O85" s="1636" t="s">
        <v>2149</v>
      </c>
      <c r="P85" s="1636"/>
      <c r="Q85" s="1636"/>
      <c r="R85" s="1636"/>
      <c r="S85" s="1636"/>
      <c r="T85" s="1636"/>
      <c r="U85" s="1636"/>
      <c r="V85" s="1636"/>
    </row>
    <row r="86" spans="1:26" ht="13.5" thickBot="1">
      <c r="A86" s="356" t="s">
        <v>1357</v>
      </c>
      <c r="B86" s="357" t="s">
        <v>397</v>
      </c>
      <c r="C86" s="358">
        <f ca="1">IF(C85&lt;=0,0,ROUND(C85*D86,0))</f>
        <v>2832</v>
      </c>
      <c r="D86" s="359">
        <f>'数据-取费表'!B41</f>
        <v>5.5000000000000007E-2</v>
      </c>
      <c r="E86" s="360"/>
      <c r="F86" s="38"/>
      <c r="G86" s="38"/>
      <c r="H86" s="867"/>
      <c r="I86" s="287"/>
      <c r="J86" s="1636"/>
      <c r="K86" s="3515"/>
      <c r="L86" s="2336" t="s">
        <v>2151</v>
      </c>
      <c r="M86" s="2326">
        <f ca="1">N69*0.5%</f>
        <v>267.63</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15"/>
      <c r="L87" s="2336" t="s">
        <v>2153</v>
      </c>
      <c r="M87" s="2326">
        <f ca="1">IF(N69&gt;=10000,(8.25+(N69-10000)*0.01%),IF(AND(N69&gt;=8000,N69&lt;10000),(7.85+(N69-8000)*0.02%),IF(AND(N69&gt;=5000,N69&lt;8000),(6.65+(N69-5000)*0.04%),IF(AND(N69&gt;=2000,N69&lt;5000),(4.25+(PN69-2000)*0.08%),IF(AND(N69&gt;=1000,N69&lt;2000),(2.75+(N69-1000)*0.15%),IF(AND(N69&gt;=100,N69&lt;1000),(0.5+(N69-100)*0.25%),IF(AND(N69&gt;0,N69&lt;100),N69*0.5%)))))))</f>
        <v>12.602599999999999</v>
      </c>
      <c r="N87" s="49">
        <f ca="1">ROUND(M87*0.9,1)</f>
        <v>11.3</v>
      </c>
      <c r="O87" s="2329"/>
      <c r="P87" s="1636"/>
      <c r="Q87" s="1636"/>
      <c r="R87" s="1636"/>
      <c r="S87" s="1636"/>
      <c r="T87" s="1636"/>
      <c r="U87" s="1636"/>
      <c r="V87" s="1636"/>
    </row>
    <row r="88" spans="1:26" s="1008" customFormat="1" ht="15" thickBot="1">
      <c r="A88" s="3554" t="s">
        <v>398</v>
      </c>
      <c r="B88" s="3555"/>
      <c r="C88" s="3555"/>
      <c r="D88" s="3555"/>
      <c r="E88" s="3555"/>
      <c r="F88" s="3555"/>
      <c r="G88" s="3555"/>
      <c r="H88" s="3555"/>
      <c r="I88" s="1120"/>
      <c r="J88" s="1650"/>
      <c r="K88" s="3515"/>
      <c r="L88" s="2336" t="s">
        <v>2154</v>
      </c>
      <c r="M88" s="2326">
        <f ca="1">IF(N69&gt;10000,N69*0.5%,IF(AND(N69&gt;5000,N69&lt;=10000),N69*1%,IF(AND(N69&gt;1000,N69&lt;=5000),N69*2%,IF(AND(N69&gt;200,N69&lt;=1000),N69*3%,N69*5%))))</f>
        <v>267.63</v>
      </c>
      <c r="N88" s="49">
        <f ca="1">ROUND(M88,1)</f>
        <v>267.60000000000002</v>
      </c>
      <c r="O88" s="2329"/>
      <c r="P88" s="1647"/>
      <c r="Q88" s="1647"/>
      <c r="R88" s="1647"/>
      <c r="S88" s="1647"/>
      <c r="T88" s="1647"/>
      <c r="U88" s="1647"/>
      <c r="V88" s="1647"/>
      <c r="W88" s="1651"/>
      <c r="X88" s="1651"/>
      <c r="Y88" s="1651"/>
      <c r="Z88" s="1651"/>
    </row>
    <row r="89" spans="1:26" s="1008" customFormat="1" ht="14.25">
      <c r="A89" s="3513" t="s">
        <v>389</v>
      </c>
      <c r="B89" s="3514"/>
      <c r="C89" s="908"/>
      <c r="D89" s="908" t="s">
        <v>390</v>
      </c>
      <c r="E89" s="361" t="s">
        <v>399</v>
      </c>
      <c r="F89" s="362"/>
      <c r="G89" s="362"/>
      <c r="H89" s="363"/>
      <c r="I89" s="1121"/>
      <c r="J89" s="1652"/>
      <c r="K89" s="3515"/>
      <c r="L89" s="2336" t="s">
        <v>16</v>
      </c>
      <c r="M89" s="2327"/>
      <c r="N89" s="49">
        <f ca="1">ROUND(SUM(N83:N88),0)</f>
        <v>868</v>
      </c>
      <c r="O89" s="2337">
        <f ca="1">N89/N69</f>
        <v>1.6216418189291187E-2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51490</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257</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51" t="s">
        <v>407</v>
      </c>
      <c r="F94" s="3552"/>
      <c r="G94" s="3552"/>
      <c r="H94" s="3553"/>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257</v>
      </c>
      <c r="D96" s="376">
        <f>'数据-取费表'!B43</f>
        <v>5.000000000000001E-3</v>
      </c>
      <c r="E96" s="3510" t="s">
        <v>1780</v>
      </c>
      <c r="F96" s="3511"/>
      <c r="G96" s="3511"/>
      <c r="H96" s="3512"/>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51233</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199.35019455252919</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30650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4" t="s">
        <v>414</v>
      </c>
      <c r="B101" s="3555"/>
      <c r="C101" s="3555"/>
      <c r="D101" s="3555"/>
      <c r="E101" s="3555"/>
      <c r="F101" s="3555"/>
      <c r="G101" s="3555"/>
      <c r="H101" s="3555"/>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13" t="s">
        <v>389</v>
      </c>
      <c r="B102" s="3514"/>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51490</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257</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66" t="s">
        <v>2246</v>
      </c>
      <c r="H108" s="3567"/>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4" t="s">
        <v>422</v>
      </c>
      <c r="F109" s="3511"/>
      <c r="G109" s="3511"/>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4" t="s">
        <v>424</v>
      </c>
      <c r="F110" s="3511"/>
      <c r="G110" s="3511"/>
      <c r="H110" s="3512"/>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257</v>
      </c>
      <c r="D111" s="376">
        <f>'数据-取费表'!B43</f>
        <v>5.000000000000001E-3</v>
      </c>
      <c r="E111" s="3510" t="s">
        <v>1780</v>
      </c>
      <c r="F111" s="3511"/>
      <c r="G111" s="3511"/>
      <c r="H111" s="3512"/>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4" t="s">
        <v>1799</v>
      </c>
      <c r="F112" s="3511"/>
      <c r="G112" s="3511"/>
      <c r="H112" s="3512"/>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51233</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199.35019455252919</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30650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2" t="str">
        <f>项目基本情况!B1</f>
        <v>北京市顺义区仁和镇临河村棚户区改造土地开发A片区项目SY00-0702-15、16地块出让国有建设用地使用权抵押价格预评估</v>
      </c>
      <c r="C37" s="3412"/>
      <c r="D37" s="3412"/>
      <c r="E37" s="3412"/>
      <c r="F37" s="3412"/>
      <c r="G37" s="3412"/>
      <c r="H37" s="3412"/>
      <c r="I37" s="3412"/>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4" zoomScale="85" zoomScaleNormal="95" zoomScaleSheetLayoutView="85" workbookViewId="0">
      <selection activeCell="L16" sqref="L16"/>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52516</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11248</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25791</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1719</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6" t="s">
        <v>471</v>
      </c>
      <c r="D6" s="3607"/>
      <c r="E6" s="3606" t="s">
        <v>472</v>
      </c>
      <c r="F6" s="3607"/>
      <c r="G6" s="3606" t="s">
        <v>473</v>
      </c>
      <c r="H6" s="3607"/>
      <c r="I6" s="3606" t="s">
        <v>474</v>
      </c>
      <c r="J6" s="3607"/>
      <c r="K6" s="465" t="s">
        <v>475</v>
      </c>
      <c r="L6" s="1741"/>
      <c r="M6" s="1740"/>
      <c r="N6" s="1740"/>
      <c r="O6" s="1742"/>
      <c r="P6" s="3608" t="s">
        <v>476</v>
      </c>
      <c r="Q6" s="3609"/>
      <c r="R6" s="3592" t="s">
        <v>472</v>
      </c>
      <c r="S6" s="3593"/>
      <c r="T6" s="3592" t="s">
        <v>473</v>
      </c>
      <c r="U6" s="3593"/>
      <c r="V6" s="3614" t="s">
        <v>474</v>
      </c>
      <c r="W6" s="3614"/>
      <c r="X6" s="1302"/>
      <c r="Y6" s="3592" t="s">
        <v>476</v>
      </c>
      <c r="Z6" s="3593"/>
      <c r="AA6" s="3587" t="s">
        <v>472</v>
      </c>
      <c r="AB6" s="3588" t="s">
        <v>473</v>
      </c>
      <c r="AC6" s="3587" t="s">
        <v>474</v>
      </c>
    </row>
    <row r="7" spans="1:29" ht="65.099999999999994" customHeight="1">
      <c r="A7" s="466"/>
      <c r="B7" s="467"/>
      <c r="C7" s="3617" t="s">
        <v>2186</v>
      </c>
      <c r="D7" s="3618"/>
      <c r="E7" s="3617" t="str">
        <f>土地!A3</f>
        <v>北京市顺义区顺义新城第31街区SY00-3101- 0808、SY00-3101-0809地块R2二类居住用地、A334托幼用地</v>
      </c>
      <c r="F7" s="3618"/>
      <c r="G7" s="3617" t="str">
        <f>土地!A4</f>
        <v>北京市顺义区顺义新城土地一级开发项目SY00-1101-0601、0603地块R2二类居住用地、SY00-1101-6002地块A334托幼用地</v>
      </c>
      <c r="H7" s="3618"/>
      <c r="I7" s="3617" t="str">
        <f>土地!A5</f>
        <v>北京市顺义区顺义新城第5街区平各庄旧村改造项目SY00-0005-6046地块R2二类居住用地、SY00-0005-6045地块A334托幼用地</v>
      </c>
      <c r="J7" s="3618"/>
      <c r="K7" s="465"/>
      <c r="L7" s="1741"/>
      <c r="M7" s="1740"/>
      <c r="N7" s="1740"/>
      <c r="O7" s="1742"/>
      <c r="P7" s="3610"/>
      <c r="Q7" s="3611"/>
      <c r="R7" s="3594"/>
      <c r="S7" s="3595"/>
      <c r="T7" s="3594"/>
      <c r="U7" s="3595"/>
      <c r="V7" s="3614"/>
      <c r="W7" s="3614"/>
      <c r="X7" s="1302"/>
      <c r="Y7" s="3594"/>
      <c r="Z7" s="3595"/>
      <c r="AA7" s="3588"/>
      <c r="AB7" s="3588"/>
      <c r="AC7" s="3588"/>
    </row>
    <row r="8" spans="1:29" ht="21" thickBot="1">
      <c r="A8" s="466"/>
      <c r="B8" s="467"/>
      <c r="C8" s="3619" t="s">
        <v>2190</v>
      </c>
      <c r="D8" s="3620"/>
      <c r="E8" s="3619" t="s">
        <v>2190</v>
      </c>
      <c r="F8" s="3620"/>
      <c r="G8" s="3615" t="s">
        <v>2190</v>
      </c>
      <c r="H8" s="3616"/>
      <c r="I8" s="3615" t="s">
        <v>2190</v>
      </c>
      <c r="J8" s="3616"/>
      <c r="K8" s="465" t="s">
        <v>477</v>
      </c>
      <c r="L8" s="1741"/>
      <c r="M8" s="1740"/>
      <c r="N8" s="1740"/>
      <c r="O8" s="1742"/>
      <c r="P8" s="3612"/>
      <c r="Q8" s="3613"/>
      <c r="R8" s="3594"/>
      <c r="S8" s="3595"/>
      <c r="T8" s="3596"/>
      <c r="U8" s="3597"/>
      <c r="V8" s="3614"/>
      <c r="W8" s="3614"/>
      <c r="X8" s="1302"/>
      <c r="Y8" s="3596"/>
      <c r="Z8" s="3597"/>
      <c r="AA8" s="3589"/>
      <c r="AB8" s="3589"/>
      <c r="AC8" s="3589"/>
    </row>
    <row r="9" spans="1:29" s="1060" customFormat="1" ht="21" thickBot="1">
      <c r="A9" s="2208"/>
      <c r="B9" s="2215" t="s">
        <v>478</v>
      </c>
      <c r="C9" s="2207">
        <f>'数据-取费表'!B2</f>
        <v>45541</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590" t="s">
        <v>479</v>
      </c>
      <c r="Q9" s="3599"/>
      <c r="R9" s="1303" t="s">
        <v>5</v>
      </c>
      <c r="S9" s="1304">
        <f t="shared" ref="S9:S17" si="0">F9</f>
        <v>100</v>
      </c>
      <c r="T9" s="1303" t="s">
        <v>5</v>
      </c>
      <c r="U9" s="1304">
        <f t="shared" ref="U9:U17" si="1">H9</f>
        <v>100</v>
      </c>
      <c r="V9" s="1303" t="s">
        <v>5</v>
      </c>
      <c r="W9" s="1304">
        <f t="shared" ref="W9:W17" si="2">J9</f>
        <v>100</v>
      </c>
      <c r="X9" s="1305"/>
      <c r="Y9" s="3590" t="s">
        <v>479</v>
      </c>
      <c r="Z9" s="3591"/>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90" t="s">
        <v>482</v>
      </c>
      <c r="Q10" s="3591"/>
      <c r="R10" s="1303" t="s">
        <v>5</v>
      </c>
      <c r="S10" s="1304">
        <f t="shared" si="0"/>
        <v>100</v>
      </c>
      <c r="T10" s="1303" t="s">
        <v>5</v>
      </c>
      <c r="U10" s="1304">
        <f t="shared" si="1"/>
        <v>100</v>
      </c>
      <c r="V10" s="1303" t="s">
        <v>5</v>
      </c>
      <c r="W10" s="1304">
        <f t="shared" si="2"/>
        <v>100</v>
      </c>
      <c r="X10" s="1305"/>
      <c r="Y10" s="3590" t="s">
        <v>482</v>
      </c>
      <c r="Z10" s="3591"/>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598" t="s">
        <v>484</v>
      </c>
      <c r="Q11" s="818" t="str">
        <f t="shared" ref="Q11:Q17" si="6">B11</f>
        <v>用途</v>
      </c>
      <c r="R11" s="1303" t="s">
        <v>5</v>
      </c>
      <c r="S11" s="1304">
        <f t="shared" si="0"/>
        <v>100</v>
      </c>
      <c r="T11" s="1303" t="s">
        <v>5</v>
      </c>
      <c r="U11" s="1304">
        <f t="shared" si="1"/>
        <v>100</v>
      </c>
      <c r="V11" s="1303" t="s">
        <v>5</v>
      </c>
      <c r="W11" s="1304">
        <f t="shared" si="2"/>
        <v>100</v>
      </c>
      <c r="X11" s="1305"/>
      <c r="Y11" s="3550"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598"/>
      <c r="Q12" s="818" t="str">
        <f t="shared" si="6"/>
        <v>土地使用年限（年）</v>
      </c>
      <c r="R12" s="1303" t="s">
        <v>5</v>
      </c>
      <c r="S12" s="1304">
        <f t="shared" si="0"/>
        <v>100</v>
      </c>
      <c r="T12" s="1303" t="s">
        <v>5</v>
      </c>
      <c r="U12" s="1304">
        <f t="shared" si="1"/>
        <v>100</v>
      </c>
      <c r="V12" s="1303" t="s">
        <v>5</v>
      </c>
      <c r="W12" s="1304">
        <f t="shared" si="2"/>
        <v>100</v>
      </c>
      <c r="X12" s="1305"/>
      <c r="Y12" s="3550"/>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98</v>
      </c>
      <c r="K13" s="485">
        <v>2</v>
      </c>
      <c r="L13" s="1747"/>
      <c r="M13" s="1740"/>
      <c r="N13" s="1740"/>
      <c r="O13" s="1748"/>
      <c r="P13" s="3598"/>
      <c r="Q13" s="818" t="str">
        <f t="shared" si="6"/>
        <v>容积率</v>
      </c>
      <c r="R13" s="1303" t="s">
        <v>5</v>
      </c>
      <c r="S13" s="1304">
        <f t="shared" si="0"/>
        <v>100</v>
      </c>
      <c r="T13" s="1303" t="s">
        <v>5</v>
      </c>
      <c r="U13" s="1304">
        <f t="shared" si="1"/>
        <v>100</v>
      </c>
      <c r="V13" s="1303" t="s">
        <v>5</v>
      </c>
      <c r="W13" s="1304">
        <f t="shared" si="2"/>
        <v>98</v>
      </c>
      <c r="X13" s="1305"/>
      <c r="Y13" s="3550"/>
      <c r="Z13" s="997" t="str">
        <f t="shared" si="7"/>
        <v>容积率</v>
      </c>
      <c r="AA13" s="997">
        <f t="shared" si="3"/>
        <v>1</v>
      </c>
      <c r="AB13" s="997">
        <f t="shared" si="4"/>
        <v>1</v>
      </c>
      <c r="AC13" s="997">
        <f t="shared" si="5"/>
        <v>1.0204081632653061</v>
      </c>
    </row>
    <row r="14" spans="1:29" s="1060" customFormat="1" ht="20.25">
      <c r="A14" s="2209"/>
      <c r="B14" s="2218" t="s">
        <v>2041</v>
      </c>
      <c r="C14" s="3407" t="s">
        <v>3494</v>
      </c>
      <c r="D14" s="488">
        <v>100</v>
      </c>
      <c r="E14" s="3407" t="s">
        <v>3494</v>
      </c>
      <c r="F14" s="235">
        <f>SUMIF(83:83,E14,84:84)-SUMIF(83:83,C14,84:84)+100</f>
        <v>100</v>
      </c>
      <c r="G14" s="3407" t="s">
        <v>3494</v>
      </c>
      <c r="H14" s="235">
        <f>SUMIF(83:83,G14,84:84)-SUMIF(83:83,C14,84:84)+100</f>
        <v>100</v>
      </c>
      <c r="I14" s="3407" t="s">
        <v>3494</v>
      </c>
      <c r="J14" s="235">
        <f>SUMIF(83:83,I14,84:84)-SUMIF(83:83,C14,84:84)+100</f>
        <v>100</v>
      </c>
      <c r="K14" s="481"/>
      <c r="L14" s="1743"/>
      <c r="M14" s="1740"/>
      <c r="N14" s="1740"/>
      <c r="O14" s="1744"/>
      <c r="P14" s="3598"/>
      <c r="Q14" s="818" t="str">
        <f t="shared" si="6"/>
        <v>配建</v>
      </c>
      <c r="R14" s="1303" t="s">
        <v>5</v>
      </c>
      <c r="S14" s="1304">
        <f t="shared" si="0"/>
        <v>100</v>
      </c>
      <c r="T14" s="1303" t="s">
        <v>5</v>
      </c>
      <c r="U14" s="1304">
        <f t="shared" si="1"/>
        <v>100</v>
      </c>
      <c r="V14" s="1303" t="s">
        <v>5</v>
      </c>
      <c r="W14" s="1304">
        <f t="shared" si="2"/>
        <v>100</v>
      </c>
      <c r="X14" s="1305"/>
      <c r="Y14" s="3550"/>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8"/>
      <c r="Q15" s="818">
        <f t="shared" si="6"/>
        <v>111</v>
      </c>
      <c r="R15" s="1303" t="s">
        <v>5</v>
      </c>
      <c r="S15" s="1304">
        <f t="shared" si="0"/>
        <v>100</v>
      </c>
      <c r="T15" s="1303" t="s">
        <v>5</v>
      </c>
      <c r="U15" s="1304">
        <f t="shared" si="1"/>
        <v>100</v>
      </c>
      <c r="V15" s="1303" t="s">
        <v>5</v>
      </c>
      <c r="W15" s="1304">
        <f t="shared" si="2"/>
        <v>100</v>
      </c>
      <c r="X15" s="1305"/>
      <c r="Y15" s="3550"/>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8"/>
      <c r="Q16" s="818">
        <f t="shared" si="6"/>
        <v>111</v>
      </c>
      <c r="R16" s="1303" t="s">
        <v>5</v>
      </c>
      <c r="S16" s="1304">
        <f t="shared" si="0"/>
        <v>100</v>
      </c>
      <c r="T16" s="1303" t="s">
        <v>5</v>
      </c>
      <c r="U16" s="1304">
        <f t="shared" si="1"/>
        <v>100</v>
      </c>
      <c r="V16" s="1303" t="s">
        <v>5</v>
      </c>
      <c r="W16" s="1304">
        <f t="shared" si="2"/>
        <v>100</v>
      </c>
      <c r="X16" s="1305"/>
      <c r="Y16" s="3550"/>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103</v>
      </c>
      <c r="K17" s="485">
        <v>3</v>
      </c>
      <c r="L17" s="1749"/>
      <c r="M17" s="1740"/>
      <c r="N17" s="1740"/>
      <c r="O17" s="1748"/>
      <c r="P17" s="3600" t="s">
        <v>489</v>
      </c>
      <c r="Q17" s="1306" t="str">
        <f t="shared" si="6"/>
        <v>居住社区成熟度</v>
      </c>
      <c r="R17" s="1307" t="s">
        <v>5</v>
      </c>
      <c r="S17" s="1308">
        <f t="shared" si="0"/>
        <v>100</v>
      </c>
      <c r="T17" s="1307" t="s">
        <v>5</v>
      </c>
      <c r="U17" s="1308">
        <f t="shared" si="1"/>
        <v>103</v>
      </c>
      <c r="V17" s="1307" t="s">
        <v>5</v>
      </c>
      <c r="W17" s="1308">
        <f t="shared" si="2"/>
        <v>103</v>
      </c>
      <c r="X17" s="1302"/>
      <c r="Y17" s="3600" t="s">
        <v>489</v>
      </c>
      <c r="Z17" s="1309" t="str">
        <f t="shared" si="7"/>
        <v>居住社区成熟度</v>
      </c>
      <c r="AA17" s="1309">
        <f t="shared" si="3"/>
        <v>1</v>
      </c>
      <c r="AB17" s="1309">
        <f t="shared" si="4"/>
        <v>0.970873786407767</v>
      </c>
      <c r="AC17" s="1309">
        <f t="shared" si="5"/>
        <v>0.970873786407767</v>
      </c>
    </row>
    <row r="18" spans="1:29" ht="20.25">
      <c r="A18" s="482"/>
      <c r="B18" s="503"/>
      <c r="C18" s="504" t="s">
        <v>3356</v>
      </c>
      <c r="D18" s="507"/>
      <c r="E18" s="508" t="s">
        <v>3356</v>
      </c>
      <c r="F18" s="505"/>
      <c r="G18" s="504" t="s">
        <v>3501</v>
      </c>
      <c r="H18" s="509"/>
      <c r="I18" s="504" t="s">
        <v>3501</v>
      </c>
      <c r="J18" s="505"/>
      <c r="K18" s="481"/>
      <c r="L18" s="1749"/>
      <c r="M18" s="1740"/>
      <c r="N18" s="1740"/>
      <c r="O18" s="1748"/>
      <c r="P18" s="3601"/>
      <c r="Q18" s="1306"/>
      <c r="R18" s="1307"/>
      <c r="S18" s="1308"/>
      <c r="T18" s="1307"/>
      <c r="U18" s="1308"/>
      <c r="V18" s="1307"/>
      <c r="W18" s="1308"/>
      <c r="X18" s="1302"/>
      <c r="Y18" s="3601"/>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01"/>
      <c r="Q19" s="1306" t="str">
        <f>B19</f>
        <v>商业繁华度</v>
      </c>
      <c r="R19" s="1307" t="s">
        <v>5</v>
      </c>
      <c r="S19" s="1308">
        <f>F19</f>
        <v>100</v>
      </c>
      <c r="T19" s="1307" t="s">
        <v>5</v>
      </c>
      <c r="U19" s="1308">
        <f>H19</f>
        <v>100</v>
      </c>
      <c r="V19" s="1307" t="s">
        <v>5</v>
      </c>
      <c r="W19" s="1308">
        <f>J19</f>
        <v>100</v>
      </c>
      <c r="X19" s="1302"/>
      <c r="Y19" s="3601"/>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01"/>
      <c r="Q20" s="1306"/>
      <c r="R20" s="1307"/>
      <c r="S20" s="1308"/>
      <c r="T20" s="1307"/>
      <c r="U20" s="1308"/>
      <c r="V20" s="1307"/>
      <c r="W20" s="1308"/>
      <c r="X20" s="1302"/>
      <c r="Y20" s="3601"/>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01"/>
      <c r="Q21" s="1306" t="str">
        <f>B21</f>
        <v>办公集聚程度</v>
      </c>
      <c r="R21" s="1307" t="s">
        <v>5</v>
      </c>
      <c r="S21" s="1308">
        <f>F21</f>
        <v>100</v>
      </c>
      <c r="T21" s="1307" t="s">
        <v>5</v>
      </c>
      <c r="U21" s="1308">
        <f>H21</f>
        <v>100</v>
      </c>
      <c r="V21" s="1307" t="s">
        <v>5</v>
      </c>
      <c r="W21" s="1308">
        <f>J21</f>
        <v>100</v>
      </c>
      <c r="X21" s="1302"/>
      <c r="Y21" s="3601"/>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01"/>
      <c r="Q22" s="1306"/>
      <c r="R22" s="1307"/>
      <c r="S22" s="1308"/>
      <c r="T22" s="1307"/>
      <c r="U22" s="1308"/>
      <c r="V22" s="1307"/>
      <c r="W22" s="1308"/>
      <c r="X22" s="1302"/>
      <c r="Y22" s="3601"/>
      <c r="Z22" s="1309"/>
      <c r="AA22" s="1309">
        <v>1</v>
      </c>
      <c r="AB22" s="1309">
        <v>1</v>
      </c>
      <c r="AC22" s="1309">
        <v>1</v>
      </c>
    </row>
    <row r="23" spans="1:29" ht="20.25">
      <c r="A23" s="482"/>
      <c r="B23" s="510" t="s">
        <v>492</v>
      </c>
      <c r="C23" s="523" t="str">
        <f>估价对象房地状况!C18</f>
        <v>一般</v>
      </c>
      <c r="D23" s="513">
        <v>100</v>
      </c>
      <c r="E23" s="3408" t="s">
        <v>3505</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01"/>
      <c r="Q23" s="1306" t="str">
        <f>B23</f>
        <v>交通便捷度</v>
      </c>
      <c r="R23" s="1307" t="s">
        <v>5</v>
      </c>
      <c r="S23" s="1308">
        <f>F23</f>
        <v>102</v>
      </c>
      <c r="T23" s="1307" t="s">
        <v>5</v>
      </c>
      <c r="U23" s="1308">
        <f>H23</f>
        <v>100</v>
      </c>
      <c r="V23" s="1307" t="s">
        <v>5</v>
      </c>
      <c r="W23" s="1308">
        <f>J23</f>
        <v>100</v>
      </c>
      <c r="X23" s="1302"/>
      <c r="Y23" s="3601"/>
      <c r="Z23" s="1309" t="str">
        <f>Q23</f>
        <v>交通便捷度</v>
      </c>
      <c r="AA23" s="1309">
        <f t="shared" si="3"/>
        <v>0.98039215686274506</v>
      </c>
      <c r="AB23" s="1309">
        <f t="shared" si="4"/>
        <v>1</v>
      </c>
      <c r="AC23" s="1309">
        <f t="shared" si="5"/>
        <v>1</v>
      </c>
    </row>
    <row r="24" spans="1:29" ht="20.25">
      <c r="A24" s="482"/>
      <c r="B24" s="528"/>
      <c r="C24" s="504" t="s">
        <v>3356</v>
      </c>
      <c r="D24" s="507"/>
      <c r="E24" s="508" t="s">
        <v>3501</v>
      </c>
      <c r="F24" s="505"/>
      <c r="G24" s="504" t="s">
        <v>3356</v>
      </c>
      <c r="H24" s="505"/>
      <c r="I24" s="504" t="s">
        <v>3356</v>
      </c>
      <c r="J24" s="505"/>
      <c r="K24" s="481"/>
      <c r="L24" s="1749"/>
      <c r="M24" s="1740"/>
      <c r="N24" s="1740"/>
      <c r="O24" s="1748"/>
      <c r="P24" s="3601"/>
      <c r="Q24" s="1306"/>
      <c r="R24" s="1307"/>
      <c r="S24" s="1308"/>
      <c r="T24" s="1307"/>
      <c r="U24" s="1308"/>
      <c r="V24" s="1307"/>
      <c r="W24" s="1308"/>
      <c r="X24" s="1302"/>
      <c r="Y24" s="3601"/>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01"/>
      <c r="Q25" s="1306" t="str">
        <f t="shared" ref="Q25:Q39" si="8">B25</f>
        <v>区域土地利用方向</v>
      </c>
      <c r="R25" s="1307" t="s">
        <v>5</v>
      </c>
      <c r="S25" s="1308">
        <f>F25</f>
        <v>100</v>
      </c>
      <c r="T25" s="1307" t="s">
        <v>5</v>
      </c>
      <c r="U25" s="1308">
        <f>H25</f>
        <v>100</v>
      </c>
      <c r="V25" s="1307" t="s">
        <v>5</v>
      </c>
      <c r="W25" s="1308">
        <f>J25</f>
        <v>100</v>
      </c>
      <c r="X25" s="1302"/>
      <c r="Y25" s="3601"/>
      <c r="Z25" s="1309" t="str">
        <f>Q25</f>
        <v>区域土地利用方向</v>
      </c>
      <c r="AA25" s="1309">
        <f t="shared" si="3"/>
        <v>1</v>
      </c>
      <c r="AB25" s="1309">
        <f t="shared" si="4"/>
        <v>1</v>
      </c>
      <c r="AC25" s="1309">
        <f t="shared" si="5"/>
        <v>1</v>
      </c>
    </row>
    <row r="26" spans="1:29" ht="20.25">
      <c r="A26" s="466"/>
      <c r="B26" s="919"/>
      <c r="C26" s="504" t="s">
        <v>3501</v>
      </c>
      <c r="D26" s="507"/>
      <c r="E26" s="504" t="s">
        <v>3501</v>
      </c>
      <c r="F26" s="505"/>
      <c r="G26" s="504" t="s">
        <v>3501</v>
      </c>
      <c r="H26" s="505"/>
      <c r="I26" s="504" t="s">
        <v>3501</v>
      </c>
      <c r="J26" s="505"/>
      <c r="K26" s="481"/>
      <c r="L26" s="1749"/>
      <c r="M26" s="1740"/>
      <c r="N26" s="1740"/>
      <c r="O26" s="1748"/>
      <c r="P26" s="3601"/>
      <c r="Q26" s="1306"/>
      <c r="R26" s="1307"/>
      <c r="S26" s="1308"/>
      <c r="T26" s="1307"/>
      <c r="U26" s="1308"/>
      <c r="V26" s="1307"/>
      <c r="W26" s="1308"/>
      <c r="X26" s="1302"/>
      <c r="Y26" s="3601"/>
      <c r="Z26" s="1309"/>
      <c r="AA26" s="1309"/>
      <c r="AB26" s="1309"/>
      <c r="AC26" s="1309"/>
    </row>
    <row r="27" spans="1:29" ht="27">
      <c r="A27" s="466"/>
      <c r="B27" s="528" t="s">
        <v>494</v>
      </c>
      <c r="C27" s="511" t="str">
        <f>估价对象房地状况!C20</f>
        <v>一般</v>
      </c>
      <c r="D27" s="513">
        <v>100</v>
      </c>
      <c r="E27" s="514"/>
      <c r="F27" s="509">
        <f>SUMIF(99:99,E28,100:100)-SUMIF(99:99,C28,100:100)+100</f>
        <v>100</v>
      </c>
      <c r="G27" s="512"/>
      <c r="H27" s="509">
        <f>SUMIF(99:99,G28,100:100)-SUMIF(99:99,C28,100:100)+100</f>
        <v>103</v>
      </c>
      <c r="I27" s="514"/>
      <c r="J27" s="509">
        <f>SUMIF(99:99,I28,100:100)-SUMIF(99:99,C28,100:100)+100</f>
        <v>103</v>
      </c>
      <c r="K27" s="485">
        <v>3</v>
      </c>
      <c r="L27" s="1749"/>
      <c r="M27" s="1740"/>
      <c r="N27" s="1740"/>
      <c r="O27" s="1748"/>
      <c r="P27" s="3601"/>
      <c r="Q27" s="1306" t="str">
        <f t="shared" si="8"/>
        <v>自然及人文环境状况</v>
      </c>
      <c r="R27" s="1307" t="s">
        <v>5</v>
      </c>
      <c r="S27" s="1308">
        <f>F27</f>
        <v>100</v>
      </c>
      <c r="T27" s="1307" t="s">
        <v>5</v>
      </c>
      <c r="U27" s="1308">
        <f>H27</f>
        <v>103</v>
      </c>
      <c r="V27" s="1307" t="s">
        <v>5</v>
      </c>
      <c r="W27" s="1308">
        <f>J27</f>
        <v>103</v>
      </c>
      <c r="X27" s="1302"/>
      <c r="Y27" s="3601"/>
      <c r="Z27" s="1309" t="str">
        <f>Q27</f>
        <v>自然及人文环境状况</v>
      </c>
      <c r="AA27" s="1309">
        <f t="shared" si="3"/>
        <v>1</v>
      </c>
      <c r="AB27" s="1309">
        <f t="shared" si="4"/>
        <v>0.970873786407767</v>
      </c>
      <c r="AC27" s="1309">
        <f t="shared" si="5"/>
        <v>0.970873786407767</v>
      </c>
    </row>
    <row r="28" spans="1:29" ht="20.25">
      <c r="A28" s="466"/>
      <c r="B28" s="516"/>
      <c r="C28" s="504" t="s">
        <v>3356</v>
      </c>
      <c r="D28" s="507"/>
      <c r="E28" s="526" t="s">
        <v>3356</v>
      </c>
      <c r="F28" s="505"/>
      <c r="G28" s="526" t="s">
        <v>3501</v>
      </c>
      <c r="H28" s="505"/>
      <c r="I28" s="504" t="s">
        <v>3501</v>
      </c>
      <c r="J28" s="505"/>
      <c r="K28" s="481"/>
      <c r="L28" s="1749"/>
      <c r="M28" s="1740"/>
      <c r="N28" s="1740"/>
      <c r="O28" s="1748"/>
      <c r="P28" s="3601"/>
      <c r="Q28" s="1306"/>
      <c r="R28" s="1307"/>
      <c r="S28" s="1308"/>
      <c r="T28" s="1307"/>
      <c r="U28" s="1308"/>
      <c r="V28" s="1307"/>
      <c r="W28" s="1308"/>
      <c r="X28" s="1302"/>
      <c r="Y28" s="3601"/>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01"/>
      <c r="Q29" s="818" t="str">
        <f t="shared" si="8"/>
        <v>公共配套设施</v>
      </c>
      <c r="R29" s="1303" t="s">
        <v>5</v>
      </c>
      <c r="S29" s="1304">
        <f>F29</f>
        <v>100</v>
      </c>
      <c r="T29" s="1303" t="s">
        <v>5</v>
      </c>
      <c r="U29" s="1304">
        <f>H29</f>
        <v>100</v>
      </c>
      <c r="V29" s="1303" t="s">
        <v>5</v>
      </c>
      <c r="W29" s="1304">
        <f>J29</f>
        <v>100</v>
      </c>
      <c r="X29" s="1305"/>
      <c r="Y29" s="3601"/>
      <c r="Z29" s="997" t="str">
        <f>Q29</f>
        <v>公共配套设施</v>
      </c>
      <c r="AA29" s="1309">
        <f>D29/F29</f>
        <v>1</v>
      </c>
      <c r="AB29" s="1309">
        <f>D29/H29</f>
        <v>1</v>
      </c>
      <c r="AC29" s="1309">
        <f>D29/J29</f>
        <v>1</v>
      </c>
    </row>
    <row r="30" spans="1:29" s="1060" customFormat="1" ht="20.25">
      <c r="A30" s="527"/>
      <c r="B30" s="516"/>
      <c r="C30" s="504" t="s">
        <v>3356</v>
      </c>
      <c r="D30" s="507"/>
      <c r="E30" s="504" t="s">
        <v>3356</v>
      </c>
      <c r="F30" s="505"/>
      <c r="G30" s="504" t="s">
        <v>3356</v>
      </c>
      <c r="H30" s="505"/>
      <c r="I30" s="504" t="s">
        <v>3356</v>
      </c>
      <c r="J30" s="505"/>
      <c r="K30" s="481"/>
      <c r="L30" s="1743"/>
      <c r="M30" s="1740"/>
      <c r="N30" s="1740"/>
      <c r="O30" s="1744"/>
      <c r="P30" s="3601"/>
      <c r="Q30" s="818"/>
      <c r="R30" s="1303"/>
      <c r="S30" s="1304"/>
      <c r="T30" s="1303"/>
      <c r="U30" s="1304"/>
      <c r="V30" s="1303"/>
      <c r="W30" s="1304"/>
      <c r="X30" s="1305"/>
      <c r="Y30" s="3601"/>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01"/>
      <c r="Q31" s="818" t="str">
        <f>B31</f>
        <v>基础设施水平</v>
      </c>
      <c r="R31" s="1303" t="s">
        <v>5</v>
      </c>
      <c r="S31" s="1304">
        <f>F31</f>
        <v>100</v>
      </c>
      <c r="T31" s="1303" t="s">
        <v>5</v>
      </c>
      <c r="U31" s="1304">
        <f>H31</f>
        <v>100</v>
      </c>
      <c r="V31" s="1303" t="s">
        <v>5</v>
      </c>
      <c r="W31" s="1304">
        <f>J31</f>
        <v>100</v>
      </c>
      <c r="X31" s="1305"/>
      <c r="Y31" s="3601"/>
      <c r="Z31" s="997" t="str">
        <f>Q31</f>
        <v>基础设施水平</v>
      </c>
      <c r="AA31" s="1309">
        <f>D31/F31</f>
        <v>1</v>
      </c>
      <c r="AB31" s="1309">
        <f>D31/H31</f>
        <v>1</v>
      </c>
      <c r="AC31" s="1309">
        <f>D31/J31</f>
        <v>1</v>
      </c>
    </row>
    <row r="32" spans="1:29" s="1060" customFormat="1" ht="20.25">
      <c r="A32" s="527"/>
      <c r="B32" s="516"/>
      <c r="C32" s="529" t="s">
        <v>3503</v>
      </c>
      <c r="D32" s="507"/>
      <c r="E32" s="529" t="s">
        <v>3503</v>
      </c>
      <c r="F32" s="505"/>
      <c r="G32" s="529" t="s">
        <v>3503</v>
      </c>
      <c r="H32" s="505"/>
      <c r="I32" s="529" t="s">
        <v>3503</v>
      </c>
      <c r="J32" s="505"/>
      <c r="K32" s="481"/>
      <c r="L32" s="1743"/>
      <c r="M32" s="1740"/>
      <c r="N32" s="1740"/>
      <c r="O32" s="1744"/>
      <c r="P32" s="3601"/>
      <c r="Q32" s="818"/>
      <c r="R32" s="1303"/>
      <c r="S32" s="1304"/>
      <c r="T32" s="1303"/>
      <c r="U32" s="1304"/>
      <c r="V32" s="1303"/>
      <c r="W32" s="1304"/>
      <c r="X32" s="1305"/>
      <c r="Y32" s="3601"/>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1"/>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1"/>
      <c r="Z33" s="1309" t="str">
        <f t="shared" ref="Z33:Z47" si="12">Q33</f>
        <v>临街状况</v>
      </c>
      <c r="AA33" s="1309">
        <f t="shared" si="3"/>
        <v>1</v>
      </c>
      <c r="AB33" s="1309">
        <f t="shared" si="4"/>
        <v>1</v>
      </c>
      <c r="AC33" s="1309">
        <f t="shared" si="5"/>
        <v>1</v>
      </c>
    </row>
    <row r="34" spans="1:29" ht="28.5">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1"/>
      <c r="Q34" s="1306" t="str">
        <f t="shared" si="8"/>
        <v>毗邻道路的类型与等级</v>
      </c>
      <c r="R34" s="1307" t="s">
        <v>5</v>
      </c>
      <c r="S34" s="1308">
        <f t="shared" si="9"/>
        <v>100</v>
      </c>
      <c r="T34" s="1307" t="s">
        <v>5</v>
      </c>
      <c r="U34" s="1308">
        <f t="shared" si="10"/>
        <v>100</v>
      </c>
      <c r="V34" s="1307" t="s">
        <v>5</v>
      </c>
      <c r="W34" s="1308">
        <f t="shared" si="11"/>
        <v>100</v>
      </c>
      <c r="X34" s="1302"/>
      <c r="Y34" s="3601"/>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01"/>
      <c r="Q35" s="1306"/>
      <c r="R35" s="1307"/>
      <c r="S35" s="1308"/>
      <c r="T35" s="1307"/>
      <c r="U35" s="1308"/>
      <c r="V35" s="1307"/>
      <c r="W35" s="1308"/>
      <c r="X35" s="1302"/>
      <c r="Y35" s="3601"/>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01"/>
      <c r="Q36" s="1306" t="str">
        <f t="shared" si="8"/>
        <v>土地级别</v>
      </c>
      <c r="R36" s="1307" t="s">
        <v>5</v>
      </c>
      <c r="S36" s="1308">
        <f t="shared" si="9"/>
        <v>100</v>
      </c>
      <c r="T36" s="1307" t="s">
        <v>5</v>
      </c>
      <c r="U36" s="1308">
        <f t="shared" si="10"/>
        <v>100</v>
      </c>
      <c r="V36" s="1307" t="s">
        <v>5</v>
      </c>
      <c r="W36" s="1308">
        <f t="shared" si="11"/>
        <v>100</v>
      </c>
      <c r="X36" s="1302"/>
      <c r="Y36" s="3601"/>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01"/>
      <c r="Q37" s="1306">
        <f t="shared" si="8"/>
        <v>111</v>
      </c>
      <c r="R37" s="1307" t="s">
        <v>5</v>
      </c>
      <c r="S37" s="1308">
        <f t="shared" si="9"/>
        <v>100</v>
      </c>
      <c r="T37" s="1307" t="s">
        <v>5</v>
      </c>
      <c r="U37" s="1308">
        <f t="shared" si="10"/>
        <v>100</v>
      </c>
      <c r="V37" s="1307" t="s">
        <v>5</v>
      </c>
      <c r="W37" s="1308">
        <f t="shared" si="11"/>
        <v>100</v>
      </c>
      <c r="X37" s="1302"/>
      <c r="Y37" s="3601"/>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2" t="s">
        <v>499</v>
      </c>
      <c r="Q38" s="1306">
        <f t="shared" si="8"/>
        <v>111</v>
      </c>
      <c r="R38" s="1307" t="s">
        <v>5</v>
      </c>
      <c r="S38" s="1308">
        <f t="shared" si="9"/>
        <v>100</v>
      </c>
      <c r="T38" s="1307" t="s">
        <v>5</v>
      </c>
      <c r="U38" s="1308">
        <f t="shared" si="10"/>
        <v>100</v>
      </c>
      <c r="V38" s="1307" t="s">
        <v>5</v>
      </c>
      <c r="W38" s="1308">
        <f t="shared" si="11"/>
        <v>100</v>
      </c>
      <c r="X38" s="1302"/>
      <c r="Y38" s="3603"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03"/>
      <c r="Q39" s="1306">
        <f t="shared" si="8"/>
        <v>111</v>
      </c>
      <c r="R39" s="1310" t="s">
        <v>5</v>
      </c>
      <c r="S39" s="1311">
        <f t="shared" si="9"/>
        <v>100</v>
      </c>
      <c r="T39" s="1310" t="s">
        <v>5</v>
      </c>
      <c r="U39" s="1311">
        <f t="shared" si="10"/>
        <v>100</v>
      </c>
      <c r="V39" s="1310" t="s">
        <v>5</v>
      </c>
      <c r="W39" s="1311">
        <f t="shared" si="11"/>
        <v>100</v>
      </c>
      <c r="X39" s="1312"/>
      <c r="Y39" s="3603"/>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108</v>
      </c>
      <c r="I40" s="547">
        <f>土地!I5</f>
        <v>40739.620000000003</v>
      </c>
      <c r="J40" s="546">
        <f>LOOKUP(I40,118:118,119:119)-LOOKUP(C40,118:118,119:119)+100</f>
        <v>104</v>
      </c>
      <c r="K40" s="531"/>
      <c r="L40" s="1749"/>
      <c r="M40" s="1740"/>
      <c r="N40" s="1740"/>
      <c r="O40" s="1748"/>
      <c r="P40" s="3603"/>
      <c r="Q40" s="1306" t="str">
        <f>B40</f>
        <v>宗地面积</v>
      </c>
      <c r="R40" s="1307" t="s">
        <v>5</v>
      </c>
      <c r="S40" s="1308">
        <f t="shared" si="9"/>
        <v>100</v>
      </c>
      <c r="T40" s="1307" t="s">
        <v>5</v>
      </c>
      <c r="U40" s="1308">
        <f t="shared" si="10"/>
        <v>108</v>
      </c>
      <c r="V40" s="1307" t="s">
        <v>5</v>
      </c>
      <c r="W40" s="1308">
        <f t="shared" si="11"/>
        <v>104</v>
      </c>
      <c r="X40" s="1302"/>
      <c r="Y40" s="3603"/>
      <c r="Z40" s="1309" t="str">
        <f t="shared" si="12"/>
        <v>宗地面积</v>
      </c>
      <c r="AA40" s="1309">
        <f t="shared" si="3"/>
        <v>1</v>
      </c>
      <c r="AB40" s="1309">
        <f t="shared" si="4"/>
        <v>0.92592592592592593</v>
      </c>
      <c r="AC40" s="1309">
        <f t="shared" si="5"/>
        <v>0.96153846153846156</v>
      </c>
    </row>
    <row r="41" spans="1:29" ht="20.25">
      <c r="A41" s="543"/>
      <c r="B41" s="477" t="s">
        <v>502</v>
      </c>
      <c r="C41" s="548" t="s">
        <v>3504</v>
      </c>
      <c r="D41" s="490">
        <v>100</v>
      </c>
      <c r="E41" s="548" t="s">
        <v>3506</v>
      </c>
      <c r="F41" s="490">
        <f>SUMIF(120:120,E41,121:121)-SUMIF(120:120,C41,121:121)+100</f>
        <v>97</v>
      </c>
      <c r="G41" s="548" t="s">
        <v>3504</v>
      </c>
      <c r="H41" s="490">
        <f>SUMIF(120:120,G41,121:121)-SUMIF(120:120,C41,121:121)+100</f>
        <v>100</v>
      </c>
      <c r="I41" s="548" t="s">
        <v>3504</v>
      </c>
      <c r="J41" s="490">
        <f>SUMIF(120:120,I41,121:121)-SUMIF(120:120,C41,121:121)+100</f>
        <v>100</v>
      </c>
      <c r="K41" s="533">
        <v>3</v>
      </c>
      <c r="L41" s="1749"/>
      <c r="M41" s="1740"/>
      <c r="N41" s="1740"/>
      <c r="O41" s="1748"/>
      <c r="P41" s="3603"/>
      <c r="Q41" s="1306" t="str">
        <f t="shared" ref="Q41:Q47" si="13">B41</f>
        <v>宗地形状</v>
      </c>
      <c r="R41" s="1307" t="s">
        <v>5</v>
      </c>
      <c r="S41" s="1308">
        <f t="shared" si="9"/>
        <v>97</v>
      </c>
      <c r="T41" s="1307" t="s">
        <v>5</v>
      </c>
      <c r="U41" s="1308">
        <f t="shared" si="10"/>
        <v>100</v>
      </c>
      <c r="V41" s="1307" t="s">
        <v>5</v>
      </c>
      <c r="W41" s="1308">
        <f t="shared" si="11"/>
        <v>100</v>
      </c>
      <c r="X41" s="1302"/>
      <c r="Y41" s="3603"/>
      <c r="Z41" s="1309" t="str">
        <f t="shared" si="12"/>
        <v>宗地形状</v>
      </c>
      <c r="AA41" s="1309">
        <f t="shared" si="3"/>
        <v>1.0309278350515463</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03"/>
      <c r="Q42" s="1306" t="str">
        <f t="shared" si="13"/>
        <v>临街宽度及深度</v>
      </c>
      <c r="R42" s="1307" t="s">
        <v>5</v>
      </c>
      <c r="S42" s="1308">
        <f t="shared" si="9"/>
        <v>100</v>
      </c>
      <c r="T42" s="1307" t="s">
        <v>5</v>
      </c>
      <c r="U42" s="1308">
        <f t="shared" si="10"/>
        <v>100</v>
      </c>
      <c r="V42" s="1307" t="s">
        <v>5</v>
      </c>
      <c r="W42" s="1308">
        <f t="shared" si="11"/>
        <v>100</v>
      </c>
      <c r="X42" s="1302"/>
      <c r="Y42" s="3603"/>
      <c r="Z42" s="1309" t="str">
        <f t="shared" si="12"/>
        <v>临街宽度及深度</v>
      </c>
      <c r="AA42" s="1309">
        <f t="shared" si="3"/>
        <v>1</v>
      </c>
      <c r="AB42" s="1309">
        <f t="shared" si="4"/>
        <v>1</v>
      </c>
      <c r="AC42" s="1309">
        <f t="shared" si="5"/>
        <v>1</v>
      </c>
    </row>
    <row r="43" spans="1:29" s="1060" customFormat="1" ht="20.25">
      <c r="A43" s="549"/>
      <c r="B43" s="1554" t="s">
        <v>1776</v>
      </c>
      <c r="C43" s="550" t="s">
        <v>3502</v>
      </c>
      <c r="D43" s="235">
        <v>100</v>
      </c>
      <c r="E43" s="550" t="s">
        <v>3502</v>
      </c>
      <c r="F43" s="490">
        <f>SUMIF(124:124,E43,125:125)-SUMIF(124:124,C43,125:125)+100</f>
        <v>100</v>
      </c>
      <c r="G43" s="550" t="s">
        <v>3502</v>
      </c>
      <c r="H43" s="490">
        <f>SUMIF(124:124,G43,125:125)-SUMIF(124:124,C43,125:125)+100</f>
        <v>100</v>
      </c>
      <c r="I43" s="550" t="s">
        <v>3541</v>
      </c>
      <c r="J43" s="490">
        <f>SUMIF(124:124,I43,125:125)-SUMIF(124:124,C43,125:125)+100</f>
        <v>99</v>
      </c>
      <c r="K43" s="533">
        <v>0.5</v>
      </c>
      <c r="L43" s="1743"/>
      <c r="M43" s="1740"/>
      <c r="N43" s="1740"/>
      <c r="O43" s="1744"/>
      <c r="P43" s="3603"/>
      <c r="Q43" s="1306" t="str">
        <f t="shared" si="13"/>
        <v>宗地开发程度</v>
      </c>
      <c r="R43" s="1303" t="s">
        <v>5</v>
      </c>
      <c r="S43" s="1304">
        <f t="shared" si="9"/>
        <v>100</v>
      </c>
      <c r="T43" s="1303" t="s">
        <v>5</v>
      </c>
      <c r="U43" s="1304">
        <f t="shared" si="10"/>
        <v>100</v>
      </c>
      <c r="V43" s="1303" t="s">
        <v>5</v>
      </c>
      <c r="W43" s="1304">
        <f t="shared" si="11"/>
        <v>99</v>
      </c>
      <c r="X43" s="1305"/>
      <c r="Y43" s="3603"/>
      <c r="Z43" s="997" t="str">
        <f t="shared" si="12"/>
        <v>宗地开发程度</v>
      </c>
      <c r="AA43" s="997">
        <f t="shared" si="3"/>
        <v>1</v>
      </c>
      <c r="AB43" s="997">
        <f t="shared" si="4"/>
        <v>1</v>
      </c>
      <c r="AC43" s="997">
        <f t="shared" si="5"/>
        <v>1.0101010101010102</v>
      </c>
    </row>
    <row r="44" spans="1:29" ht="20.25">
      <c r="A44" s="543"/>
      <c r="B44" s="477" t="s">
        <v>504</v>
      </c>
      <c r="C44" s="548" t="s">
        <v>3501</v>
      </c>
      <c r="D44" s="490">
        <v>100</v>
      </c>
      <c r="E44" s="548" t="s">
        <v>3501</v>
      </c>
      <c r="F44" s="490">
        <f>SUMIF(126:126,E44,127:127)-SUMIF(126:126,C44,127:127)+100</f>
        <v>100</v>
      </c>
      <c r="G44" s="548" t="s">
        <v>3501</v>
      </c>
      <c r="H44" s="490">
        <f>SUMIF(126:126,G44,127:127)-SUMIF(126:126,C44,127:127)+100</f>
        <v>100</v>
      </c>
      <c r="I44" s="548" t="s">
        <v>3501</v>
      </c>
      <c r="J44" s="490">
        <f>SUMIF(126:126,I44,127:127)-SUMIF(126:126,C44,127:127)+100</f>
        <v>100</v>
      </c>
      <c r="K44" s="533">
        <v>2</v>
      </c>
      <c r="L44" s="1749"/>
      <c r="M44" s="1740"/>
      <c r="N44" s="1740"/>
      <c r="O44" s="1748"/>
      <c r="P44" s="3603" t="s">
        <v>499</v>
      </c>
      <c r="Q44" s="1306" t="str">
        <f t="shared" si="13"/>
        <v>工程地质条件</v>
      </c>
      <c r="R44" s="1307" t="s">
        <v>5</v>
      </c>
      <c r="S44" s="1308">
        <f t="shared" si="9"/>
        <v>100</v>
      </c>
      <c r="T44" s="1307" t="s">
        <v>5</v>
      </c>
      <c r="U44" s="1308">
        <f t="shared" si="10"/>
        <v>100</v>
      </c>
      <c r="V44" s="1307" t="s">
        <v>5</v>
      </c>
      <c r="W44" s="1308">
        <f t="shared" si="11"/>
        <v>100</v>
      </c>
      <c r="X44" s="1302"/>
      <c r="Y44" s="3603"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03"/>
      <c r="Q45" s="1306">
        <f t="shared" si="13"/>
        <v>111</v>
      </c>
      <c r="R45" s="1307" t="s">
        <v>5</v>
      </c>
      <c r="S45" s="1308">
        <f t="shared" si="9"/>
        <v>100</v>
      </c>
      <c r="T45" s="1307" t="s">
        <v>5</v>
      </c>
      <c r="U45" s="1308">
        <f t="shared" si="10"/>
        <v>100</v>
      </c>
      <c r="V45" s="1307" t="s">
        <v>5</v>
      </c>
      <c r="W45" s="1308">
        <f t="shared" si="11"/>
        <v>100</v>
      </c>
      <c r="X45" s="1302"/>
      <c r="Y45" s="3603"/>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03"/>
      <c r="Q46" s="1306">
        <f t="shared" si="13"/>
        <v>111</v>
      </c>
      <c r="R46" s="1307" t="s">
        <v>5</v>
      </c>
      <c r="S46" s="1308">
        <f t="shared" si="9"/>
        <v>100</v>
      </c>
      <c r="T46" s="1307" t="s">
        <v>5</v>
      </c>
      <c r="U46" s="1308">
        <f t="shared" si="10"/>
        <v>100</v>
      </c>
      <c r="V46" s="1307" t="s">
        <v>5</v>
      </c>
      <c r="W46" s="1308">
        <f t="shared" si="11"/>
        <v>100</v>
      </c>
      <c r="X46" s="1302"/>
      <c r="Y46" s="3603"/>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03"/>
      <c r="Q47" s="1306">
        <f t="shared" si="13"/>
        <v>111</v>
      </c>
      <c r="R47" s="1310" t="s">
        <v>5</v>
      </c>
      <c r="S47" s="1311">
        <f t="shared" si="9"/>
        <v>100</v>
      </c>
      <c r="T47" s="1310" t="s">
        <v>5</v>
      </c>
      <c r="U47" s="1311">
        <f t="shared" si="10"/>
        <v>100</v>
      </c>
      <c r="V47" s="1310" t="s">
        <v>5</v>
      </c>
      <c r="W47" s="1311">
        <f t="shared" si="11"/>
        <v>100</v>
      </c>
      <c r="X47" s="1312"/>
      <c r="Y47" s="3603"/>
      <c r="Z47" s="1313">
        <f t="shared" si="12"/>
        <v>111</v>
      </c>
      <c r="AA47" s="1309">
        <f t="shared" si="3"/>
        <v>1</v>
      </c>
      <c r="AB47" s="1309">
        <f t="shared" si="4"/>
        <v>1</v>
      </c>
      <c r="AC47" s="1309">
        <f t="shared" si="5"/>
        <v>1</v>
      </c>
    </row>
    <row r="48" spans="1:29" ht="20.25">
      <c r="A48" s="556" t="s">
        <v>505</v>
      </c>
      <c r="B48" s="557" t="s">
        <v>3542</v>
      </c>
      <c r="C48" s="558" t="s">
        <v>0</v>
      </c>
      <c r="D48" s="559"/>
      <c r="E48" s="560">
        <f>土地!AW3</f>
        <v>14486</v>
      </c>
      <c r="F48" s="561"/>
      <c r="G48" s="562">
        <f>土地!AW4</f>
        <v>18524</v>
      </c>
      <c r="H48" s="563"/>
      <c r="I48" s="560">
        <f>土地!AW5</f>
        <v>18671</v>
      </c>
      <c r="J48" s="563"/>
      <c r="K48" s="1135"/>
      <c r="L48" s="1751"/>
      <c r="M48" s="1740"/>
      <c r="N48" s="1740"/>
      <c r="O48" s="1742"/>
      <c r="P48" s="3598" t="str">
        <f>A48</f>
        <v>成交单价</v>
      </c>
      <c r="Q48" s="3598"/>
      <c r="R48" s="3614">
        <f>E48</f>
        <v>14486</v>
      </c>
      <c r="S48" s="3614"/>
      <c r="T48" s="3614">
        <f>G48</f>
        <v>18524</v>
      </c>
      <c r="U48" s="3614"/>
      <c r="V48" s="3614">
        <f>I48</f>
        <v>18671</v>
      </c>
      <c r="W48" s="3614"/>
      <c r="X48" s="799"/>
      <c r="Y48" s="1314"/>
      <c r="Z48" s="799"/>
      <c r="AA48" s="799"/>
      <c r="AB48" s="799"/>
      <c r="AC48" s="799"/>
    </row>
    <row r="49" spans="1:29" ht="21" thickBot="1">
      <c r="A49" s="564" t="s">
        <v>1975</v>
      </c>
      <c r="B49" s="565"/>
      <c r="C49" s="566">
        <f>R50</f>
        <v>16083</v>
      </c>
      <c r="D49" s="2549" t="s">
        <v>2255</v>
      </c>
      <c r="E49" s="566">
        <f>R49</f>
        <v>14641</v>
      </c>
      <c r="F49" s="2550"/>
      <c r="G49" s="567">
        <f>T49</f>
        <v>16167</v>
      </c>
      <c r="H49" s="2550"/>
      <c r="I49" s="566">
        <f>V49</f>
        <v>17442</v>
      </c>
      <c r="J49" s="2550"/>
      <c r="K49" s="2551">
        <f>F49+H49+J49</f>
        <v>0</v>
      </c>
      <c r="L49" s="1751"/>
      <c r="M49" s="1740"/>
      <c r="N49" s="1740"/>
      <c r="O49" s="1742"/>
      <c r="P49" s="3598" t="str">
        <f>A49</f>
        <v>比较价格（元/平方米）</v>
      </c>
      <c r="Q49" s="3598"/>
      <c r="R49" s="3622">
        <f>ROUND(PRODUCT(R48,AA9:AA47),0)</f>
        <v>14641</v>
      </c>
      <c r="S49" s="3622"/>
      <c r="T49" s="3622">
        <f>ROUND(PRODUCT(T48,AB9:AB47),0)</f>
        <v>16167</v>
      </c>
      <c r="U49" s="3622"/>
      <c r="V49" s="3622">
        <f>ROUND(PRODUCT(V48,AC9:AC47),0)</f>
        <v>17442</v>
      </c>
      <c r="W49" s="3622"/>
      <c r="X49" s="799"/>
      <c r="Y49" s="799"/>
      <c r="Z49" s="799"/>
      <c r="AA49" s="799"/>
      <c r="AB49" s="799"/>
      <c r="AC49" s="799"/>
    </row>
    <row r="50" spans="1:29" ht="21" thickBot="1">
      <c r="A50" s="568" t="s">
        <v>2192</v>
      </c>
      <c r="B50" s="569"/>
      <c r="C50" s="570">
        <f>R50</f>
        <v>16083</v>
      </c>
      <c r="D50" s="570"/>
      <c r="E50" s="570"/>
      <c r="F50" s="570"/>
      <c r="G50" s="570"/>
      <c r="H50" s="570"/>
      <c r="I50" s="570"/>
      <c r="J50" s="570"/>
      <c r="K50" s="1136"/>
      <c r="L50" s="1751"/>
      <c r="M50" s="1740"/>
      <c r="N50" s="1740"/>
      <c r="O50" s="1742"/>
      <c r="P50" s="3604" t="str">
        <f>A50</f>
        <v>估价对象XX用房的比较价格（楼面单价，元/平方米）</v>
      </c>
      <c r="Q50" s="3605"/>
      <c r="R50" s="3621">
        <f>ROUND(IF(D49="简单平均",AVERAGE(R49:W49),R49*F49+T49*H49+V49*J49),0)</f>
        <v>16083</v>
      </c>
      <c r="S50" s="3621"/>
      <c r="T50" s="3621"/>
      <c r="U50" s="3621"/>
      <c r="V50" s="3621"/>
      <c r="W50" s="3621"/>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1.0699986193566158E-2</v>
      </c>
      <c r="F53" s="574" t="str">
        <f>IF(OR(E53&gt;=0.3,E53&lt;=-0.3),"超过30%","")</f>
        <v/>
      </c>
      <c r="G53" s="573">
        <f>IF(G48&lt;G49,G49/G48-1,G48/G49-1)</f>
        <v>0.14579080843693948</v>
      </c>
      <c r="H53" s="574" t="str">
        <f>IF(OR(G53&gt;=0.3,G53&lt;=-0.3),"超过30%","")</f>
        <v/>
      </c>
      <c r="I53" s="573">
        <f>IF(I48&lt;I49,I49/I48-1,I48/I49-1)</f>
        <v>7.0462102969842899E-2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0.10422785328870976</v>
      </c>
      <c r="F54" s="574" t="str">
        <f>IF(OR(E54&gt;=0.2,E54&lt;=-0.2),"超过20%","")</f>
        <v/>
      </c>
      <c r="G54" s="573">
        <f>IF(G49&lt;I49,I49/G49-1,G49/I49-1)</f>
        <v>7.8864353312302793E-2</v>
      </c>
      <c r="H54" s="574" t="str">
        <f>IF(OR(G54&gt;=0.2,G54&lt;=-0.2),"超过20%","")</f>
        <v/>
      </c>
      <c r="I54" s="573">
        <f>IF(I49&lt;E49,E49/I49-1,I49/E49-1)</f>
        <v>0.19131206884775631</v>
      </c>
      <c r="J54" s="574" t="str">
        <f>IF(OR(I54&gt;=0.2,I54&lt;=-0.2),"超过20%","")</f>
        <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83" t="s">
        <v>1639</v>
      </c>
      <c r="H57" s="3584"/>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16083</v>
      </c>
      <c r="C58" s="582">
        <v>1</v>
      </c>
      <c r="D58" s="1822">
        <v>1</v>
      </c>
      <c r="E58" s="582">
        <f>'数据-汇总表'!E8+'数据-汇总表'!E9</f>
        <v>32315.351999999999</v>
      </c>
      <c r="F58" s="583">
        <f t="shared" ref="F58:F66" si="14">ROUND(B58*E58/10000,0)</f>
        <v>51973</v>
      </c>
      <c r="G58" s="3585"/>
      <c r="H58" s="3586"/>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2412</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1206</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1005</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1005</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1005</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603</v>
      </c>
      <c r="C64" s="348">
        <f t="shared" si="15"/>
        <v>0.15</v>
      </c>
      <c r="D64" s="1823">
        <v>0.25</v>
      </c>
      <c r="E64" s="588">
        <f>'数据-汇总表'!E13</f>
        <v>9011.2199999999993</v>
      </c>
      <c r="F64" s="583">
        <f t="shared" si="14"/>
        <v>543</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603</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603</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52516</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3493</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3495</v>
      </c>
      <c r="D83" s="1166" t="s">
        <v>3496</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60000(含)-80000</v>
      </c>
      <c r="G117" s="645" t="str">
        <f t="shared" si="24"/>
        <v>80000(含)-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60000</v>
      </c>
      <c r="G118" s="79">
        <v>80000</v>
      </c>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G119" si="25">D119+4</f>
        <v>108</v>
      </c>
      <c r="F119" s="666">
        <f t="shared" si="25"/>
        <v>112</v>
      </c>
      <c r="G119" s="666">
        <f t="shared" si="25"/>
        <v>116</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3497</v>
      </c>
      <c r="D120" s="3406" t="s">
        <v>3498</v>
      </c>
      <c r="E120" s="3406" t="s">
        <v>3499</v>
      </c>
      <c r="F120" s="3406" t="s">
        <v>3500</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97</v>
      </c>
      <c r="E121" s="621">
        <f t="shared" si="26"/>
        <v>94</v>
      </c>
      <c r="F121" s="621">
        <f t="shared" si="26"/>
        <v>91</v>
      </c>
      <c r="G121" s="621">
        <f t="shared" si="26"/>
        <v>88</v>
      </c>
      <c r="H121" s="621">
        <f t="shared" si="26"/>
        <v>85</v>
      </c>
      <c r="I121" s="621">
        <f t="shared" si="26"/>
        <v>82</v>
      </c>
      <c r="J121" s="621">
        <f t="shared" si="26"/>
        <v>79</v>
      </c>
      <c r="K121" s="621">
        <f t="shared" si="26"/>
        <v>76</v>
      </c>
      <c r="L121" s="621">
        <f t="shared" si="26"/>
        <v>73</v>
      </c>
      <c r="M121" s="622">
        <f t="shared" si="26"/>
        <v>70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99.5</v>
      </c>
      <c r="E125" s="621">
        <f t="shared" si="28"/>
        <v>99</v>
      </c>
      <c r="F125" s="621">
        <f t="shared" si="28"/>
        <v>98.5</v>
      </c>
      <c r="G125" s="621">
        <f t="shared" si="28"/>
        <v>98</v>
      </c>
      <c r="H125" s="621">
        <f t="shared" si="28"/>
        <v>97.5</v>
      </c>
      <c r="I125" s="621">
        <f t="shared" si="28"/>
        <v>97</v>
      </c>
      <c r="J125" s="621">
        <f t="shared" si="28"/>
        <v>96.5</v>
      </c>
      <c r="K125" s="621">
        <f t="shared" si="28"/>
        <v>96</v>
      </c>
      <c r="L125" s="621">
        <f t="shared" si="28"/>
        <v>95.5</v>
      </c>
      <c r="M125" s="622">
        <f t="shared" si="28"/>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85A52-5B37-40CF-BF6E-C3AD9D504376}">
  <dimension ref="A1:BI8"/>
  <sheetViews>
    <sheetView topLeftCell="O1" workbookViewId="0">
      <selection activeCell="AJ9" sqref="AJ9"/>
    </sheetView>
  </sheetViews>
  <sheetFormatPr defaultRowHeight="13.5"/>
  <cols>
    <col min="2" max="4" width="8.75" hidden="1" customWidth="1"/>
    <col min="5" max="6" width="8.75" customWidth="1"/>
    <col min="7" max="7" width="25.5" bestFit="1" customWidth="1"/>
    <col min="8" max="8" width="0" hidden="1" customWidth="1"/>
    <col min="11" max="14" width="0" hidden="1"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s>
  <sheetData>
    <row r="1" spans="1:61" s="2234" customFormat="1">
      <c r="A1" s="2234" t="s">
        <v>3358</v>
      </c>
      <c r="B1" s="2234" t="s">
        <v>3359</v>
      </c>
      <c r="C1" s="2234" t="s">
        <v>3360</v>
      </c>
      <c r="D1" s="2234" t="s">
        <v>3361</v>
      </c>
      <c r="E1" s="2234" t="s">
        <v>3362</v>
      </c>
      <c r="F1" s="2234" t="s">
        <v>3363</v>
      </c>
      <c r="G1" s="2234" t="s">
        <v>3364</v>
      </c>
      <c r="H1" s="2234" t="s">
        <v>3365</v>
      </c>
      <c r="I1" s="2234" t="s">
        <v>3366</v>
      </c>
      <c r="J1" s="2234" t="s">
        <v>3367</v>
      </c>
      <c r="K1" s="2234" t="s">
        <v>3368</v>
      </c>
      <c r="L1" s="2234" t="s">
        <v>3369</v>
      </c>
      <c r="M1" s="2234" t="s">
        <v>3370</v>
      </c>
      <c r="N1" s="2234" t="s">
        <v>3371</v>
      </c>
      <c r="O1" s="2234" t="s">
        <v>3372</v>
      </c>
      <c r="P1" s="2234" t="s">
        <v>3373</v>
      </c>
      <c r="Q1" s="2234" t="s">
        <v>3374</v>
      </c>
      <c r="R1" s="2234" t="s">
        <v>3375</v>
      </c>
      <c r="S1" s="2234" t="s">
        <v>1550</v>
      </c>
      <c r="T1" s="2234" t="s">
        <v>3376</v>
      </c>
      <c r="U1" s="2234" t="s">
        <v>3377</v>
      </c>
      <c r="V1" s="2234" t="s">
        <v>3378</v>
      </c>
      <c r="W1" s="2234" t="s">
        <v>3379</v>
      </c>
      <c r="X1" s="2234" t="s">
        <v>3380</v>
      </c>
      <c r="Y1" s="2234" t="s">
        <v>3381</v>
      </c>
      <c r="Z1" s="2234" t="s">
        <v>3382</v>
      </c>
      <c r="AA1" s="2234" t="s">
        <v>3383</v>
      </c>
      <c r="AB1" s="2234" t="s">
        <v>3384</v>
      </c>
      <c r="AC1" s="2234" t="s">
        <v>3385</v>
      </c>
      <c r="AD1" s="2234" t="s">
        <v>3386</v>
      </c>
      <c r="AE1" s="2234" t="s">
        <v>3387</v>
      </c>
      <c r="AF1" s="2234" t="s">
        <v>3388</v>
      </c>
      <c r="AG1" s="2234" t="s">
        <v>3389</v>
      </c>
      <c r="AH1" s="2234" t="s">
        <v>3390</v>
      </c>
      <c r="AI1" s="2234" t="s">
        <v>3391</v>
      </c>
      <c r="AJ1" s="2234" t="s">
        <v>3392</v>
      </c>
      <c r="AK1" s="2234" t="s">
        <v>3393</v>
      </c>
      <c r="AL1" s="2234" t="s">
        <v>3394</v>
      </c>
      <c r="AM1" s="2234" t="s">
        <v>3395</v>
      </c>
      <c r="AN1" s="2234" t="s">
        <v>3396</v>
      </c>
      <c r="AO1" s="2234" t="s">
        <v>3397</v>
      </c>
      <c r="AP1" s="2234" t="s">
        <v>3398</v>
      </c>
      <c r="AQ1" s="2234" t="s">
        <v>3399</v>
      </c>
      <c r="AR1" s="2234" t="s">
        <v>3400</v>
      </c>
      <c r="AS1" s="2234" t="s">
        <v>3401</v>
      </c>
      <c r="AT1" s="2234" t="s">
        <v>3402</v>
      </c>
      <c r="AU1" s="2234" t="s">
        <v>3403</v>
      </c>
      <c r="AV1" s="2234" t="s">
        <v>3404</v>
      </c>
      <c r="AW1" s="2234" t="s">
        <v>3405</v>
      </c>
      <c r="AX1" s="2234" t="s">
        <v>3406</v>
      </c>
      <c r="AY1" s="2234" t="s">
        <v>3407</v>
      </c>
      <c r="AZ1" s="2234" t="s">
        <v>3408</v>
      </c>
      <c r="BA1" s="2234" t="s">
        <v>3409</v>
      </c>
      <c r="BB1" s="2234" t="s">
        <v>3410</v>
      </c>
      <c r="BC1" s="2234" t="s">
        <v>3411</v>
      </c>
      <c r="BD1" s="2234" t="s">
        <v>3412</v>
      </c>
      <c r="BE1" s="2234" t="s">
        <v>3413</v>
      </c>
      <c r="BF1" s="2234" t="s">
        <v>3414</v>
      </c>
      <c r="BG1" s="2234" t="s">
        <v>3415</v>
      </c>
      <c r="BH1" s="2234" t="s">
        <v>3416</v>
      </c>
      <c r="BI1" s="2234" t="s">
        <v>3417</v>
      </c>
    </row>
    <row r="2" spans="1:61" s="3400" customFormat="1">
      <c r="A2" s="3400" t="s">
        <v>3418</v>
      </c>
      <c r="B2" s="3400" t="s">
        <v>1465</v>
      </c>
      <c r="C2" s="3400" t="s">
        <v>3419</v>
      </c>
      <c r="D2" s="3400" t="s">
        <v>3420</v>
      </c>
      <c r="E2" s="3400" t="s">
        <v>3421</v>
      </c>
      <c r="F2" s="3400" t="s">
        <v>3422</v>
      </c>
      <c r="G2" s="3400" t="s">
        <v>3423</v>
      </c>
      <c r="H2" s="3400" t="s">
        <v>3424</v>
      </c>
      <c r="I2" s="3400">
        <v>50136.84</v>
      </c>
      <c r="J2" s="3400">
        <v>77018.94</v>
      </c>
      <c r="K2" s="3400">
        <v>0</v>
      </c>
      <c r="L2" s="3400">
        <v>0</v>
      </c>
      <c r="M2" s="3400">
        <v>0</v>
      </c>
      <c r="N2" s="3400">
        <v>0</v>
      </c>
      <c r="O2" s="3400" t="s">
        <v>3425</v>
      </c>
      <c r="P2" s="3400" t="s">
        <v>3426</v>
      </c>
      <c r="Q2" s="3400" t="s">
        <v>3427</v>
      </c>
      <c r="R2" s="3400" t="s">
        <v>3428</v>
      </c>
      <c r="S2" s="3400" t="s">
        <v>3429</v>
      </c>
      <c r="T2" s="3400">
        <v>1.6</v>
      </c>
      <c r="U2" s="3400" t="s">
        <v>3430</v>
      </c>
      <c r="V2" s="3400">
        <v>30</v>
      </c>
      <c r="W2" s="3400" t="s">
        <v>3431</v>
      </c>
      <c r="X2" s="3400" t="s">
        <v>3432</v>
      </c>
      <c r="Y2" s="3400" t="s">
        <v>3433</v>
      </c>
      <c r="Z2" s="3400" t="s">
        <v>3434</v>
      </c>
      <c r="AA2" s="3400" t="s">
        <v>3435</v>
      </c>
      <c r="AB2" s="3400" t="s">
        <v>3430</v>
      </c>
      <c r="AC2" s="3400" t="s">
        <v>3430</v>
      </c>
      <c r="AD2" s="3401">
        <v>45436.000497685185</v>
      </c>
      <c r="AE2" s="3401">
        <v>45456.000497685185</v>
      </c>
      <c r="AF2" s="3401">
        <v>45470.000497685185</v>
      </c>
      <c r="AG2" s="3401">
        <v>45470.000497685185</v>
      </c>
      <c r="AH2" s="3400" t="s">
        <v>3436</v>
      </c>
      <c r="AI2" s="3400" t="s">
        <v>3437</v>
      </c>
      <c r="AJ2" s="3400" t="s">
        <v>3438</v>
      </c>
      <c r="AK2" s="3400" t="s">
        <v>3439</v>
      </c>
      <c r="AL2" s="3400" t="s">
        <v>3440</v>
      </c>
      <c r="AM2" s="3400" t="s">
        <v>3441</v>
      </c>
      <c r="AN2" s="3400">
        <v>119000</v>
      </c>
      <c r="AO2" s="3400">
        <v>23800</v>
      </c>
      <c r="AP2" s="3400" t="s">
        <v>3442</v>
      </c>
      <c r="AQ2" s="3400">
        <v>119000</v>
      </c>
      <c r="AR2" s="3400">
        <v>23735.040000000001</v>
      </c>
      <c r="AS2" s="3400">
        <v>23735.040000000001</v>
      </c>
      <c r="AT2" s="3400">
        <v>1582.34</v>
      </c>
      <c r="AU2" s="3400">
        <v>1582.34</v>
      </c>
      <c r="AV2" s="3400">
        <v>15451</v>
      </c>
      <c r="AW2" s="3400">
        <v>15451</v>
      </c>
      <c r="AX2" s="3400" t="s">
        <v>3430</v>
      </c>
      <c r="AY2" s="3400" t="s">
        <v>3430</v>
      </c>
      <c r="AZ2" s="3400">
        <v>0</v>
      </c>
      <c r="BA2" s="3400">
        <v>136850</v>
      </c>
      <c r="BB2" s="3400" t="s">
        <v>3443</v>
      </c>
      <c r="BC2" s="3400">
        <v>44000</v>
      </c>
      <c r="BD2" s="3400">
        <v>44000</v>
      </c>
      <c r="BE2" s="3400">
        <v>17768</v>
      </c>
      <c r="BF2" s="3400">
        <v>15</v>
      </c>
      <c r="BG2" s="3400">
        <v>27879</v>
      </c>
      <c r="BH2" s="3400" t="s">
        <v>3444</v>
      </c>
      <c r="BI2" s="3400" t="s">
        <v>3445</v>
      </c>
    </row>
    <row r="3" spans="1:61" s="3402" customFormat="1">
      <c r="A3" s="3402" t="s">
        <v>3446</v>
      </c>
      <c r="B3" s="3402" t="s">
        <v>1465</v>
      </c>
      <c r="C3" s="3402" t="s">
        <v>3419</v>
      </c>
      <c r="D3" s="3402" t="s">
        <v>3420</v>
      </c>
      <c r="E3" s="3402" t="s">
        <v>3447</v>
      </c>
      <c r="F3" s="3402" t="s">
        <v>3448</v>
      </c>
      <c r="G3" s="3402" t="s">
        <v>3449</v>
      </c>
      <c r="H3" s="3402" t="s">
        <v>3450</v>
      </c>
      <c r="I3" s="3402">
        <v>30551.17</v>
      </c>
      <c r="J3" s="3402">
        <v>42798.91</v>
      </c>
      <c r="K3" s="3402" t="s">
        <v>3430</v>
      </c>
      <c r="L3" s="3402" t="s">
        <v>3430</v>
      </c>
      <c r="M3" s="3402">
        <v>0</v>
      </c>
      <c r="N3" s="3402">
        <v>0</v>
      </c>
      <c r="O3" s="3402" t="s">
        <v>3425</v>
      </c>
      <c r="P3" s="3402" t="s">
        <v>3451</v>
      </c>
      <c r="Q3" s="3402" t="s">
        <v>3452</v>
      </c>
      <c r="R3" s="3402" t="s">
        <v>3453</v>
      </c>
      <c r="S3" s="3402" t="s">
        <v>3454</v>
      </c>
      <c r="T3" s="3402">
        <v>1.5</v>
      </c>
      <c r="U3" s="3402" t="s">
        <v>3430</v>
      </c>
      <c r="V3" s="3402">
        <v>30</v>
      </c>
      <c r="W3" s="3402" t="s">
        <v>3455</v>
      </c>
      <c r="X3" s="3402" t="s">
        <v>3432</v>
      </c>
      <c r="Y3" s="3402" t="s">
        <v>3433</v>
      </c>
      <c r="Z3" s="3402" t="s">
        <v>3434</v>
      </c>
      <c r="AA3" s="3402" t="s">
        <v>3430</v>
      </c>
      <c r="AB3" s="3402" t="s">
        <v>3430</v>
      </c>
      <c r="AC3" s="3402" t="s">
        <v>3430</v>
      </c>
      <c r="AD3" s="3403">
        <v>45330.000497685185</v>
      </c>
      <c r="AE3" s="3403">
        <v>45352.000497685185</v>
      </c>
      <c r="AF3" s="3403">
        <v>45366.000497685185</v>
      </c>
      <c r="AG3" s="3403">
        <v>45366.000497685185</v>
      </c>
      <c r="AH3" s="3402" t="s">
        <v>3436</v>
      </c>
      <c r="AI3" s="3402" t="s">
        <v>3437</v>
      </c>
      <c r="AJ3" s="3402" t="s">
        <v>3456</v>
      </c>
      <c r="AK3" s="3402" t="s">
        <v>3457</v>
      </c>
      <c r="AL3" s="3402" t="s">
        <v>3458</v>
      </c>
      <c r="AM3" s="3402" t="s">
        <v>3459</v>
      </c>
      <c r="AN3" s="3402">
        <v>62000</v>
      </c>
      <c r="AO3" s="3402">
        <v>12500</v>
      </c>
      <c r="AP3" s="3402" t="s">
        <v>3460</v>
      </c>
      <c r="AQ3" s="3402">
        <v>62000</v>
      </c>
      <c r="AR3" s="3402">
        <v>20293.82</v>
      </c>
      <c r="AS3" s="3402">
        <v>20293.82</v>
      </c>
      <c r="AT3" s="3402">
        <v>1352.92</v>
      </c>
      <c r="AU3" s="3402">
        <v>1352.92</v>
      </c>
      <c r="AV3" s="3402">
        <v>14486</v>
      </c>
      <c r="AW3" s="3402">
        <v>14486</v>
      </c>
      <c r="AX3" s="3402" t="s">
        <v>3430</v>
      </c>
      <c r="AY3" s="3402" t="s">
        <v>3430</v>
      </c>
      <c r="AZ3" s="3402">
        <v>0</v>
      </c>
      <c r="BA3" s="3402">
        <v>71300</v>
      </c>
      <c r="BB3" s="3402" t="s">
        <v>3443</v>
      </c>
      <c r="BC3" s="3402">
        <v>45000</v>
      </c>
      <c r="BD3" s="3402">
        <v>45000</v>
      </c>
      <c r="BE3" s="3402">
        <v>16659</v>
      </c>
      <c r="BF3" s="3402">
        <v>15</v>
      </c>
      <c r="BG3" s="3402">
        <v>29239</v>
      </c>
      <c r="BH3" s="3402" t="s">
        <v>3444</v>
      </c>
      <c r="BI3" s="3402" t="s">
        <v>3445</v>
      </c>
    </row>
    <row r="4" spans="1:61" s="3402" customFormat="1">
      <c r="A4" s="3402" t="s">
        <v>3461</v>
      </c>
      <c r="B4" s="3402" t="s">
        <v>1465</v>
      </c>
      <c r="C4" s="3402" t="s">
        <v>3419</v>
      </c>
      <c r="D4" s="3402" t="s">
        <v>3420</v>
      </c>
      <c r="E4" s="3402" t="s">
        <v>3462</v>
      </c>
      <c r="F4" s="3402" t="s">
        <v>3463</v>
      </c>
      <c r="G4" s="3402" t="s">
        <v>3464</v>
      </c>
      <c r="H4" s="3402" t="s">
        <v>3465</v>
      </c>
      <c r="I4" s="3402">
        <v>69893.14</v>
      </c>
      <c r="J4" s="3402">
        <v>107430.41</v>
      </c>
      <c r="K4" s="3402" t="s">
        <v>3430</v>
      </c>
      <c r="L4" s="3402" t="s">
        <v>3430</v>
      </c>
      <c r="M4" s="3402">
        <v>0</v>
      </c>
      <c r="N4" s="3402">
        <v>0</v>
      </c>
      <c r="O4" s="3402" t="s">
        <v>3425</v>
      </c>
      <c r="P4" s="3402" t="s">
        <v>3466</v>
      </c>
      <c r="Q4" s="3402" t="s">
        <v>3467</v>
      </c>
      <c r="R4" s="3402" t="s">
        <v>3468</v>
      </c>
      <c r="S4" s="3402" t="s">
        <v>3469</v>
      </c>
      <c r="T4" s="3402">
        <v>1.7</v>
      </c>
      <c r="U4" s="3402" t="s">
        <v>3430</v>
      </c>
      <c r="V4" s="3402" t="s">
        <v>3470</v>
      </c>
      <c r="W4" s="3402">
        <v>36</v>
      </c>
      <c r="X4" s="3402" t="s">
        <v>3432</v>
      </c>
      <c r="Y4" s="3402" t="s">
        <v>3433</v>
      </c>
      <c r="Z4" s="3402" t="s">
        <v>3434</v>
      </c>
      <c r="AA4" s="3402" t="s">
        <v>3430</v>
      </c>
      <c r="AB4" s="3402" t="s">
        <v>3430</v>
      </c>
      <c r="AC4" s="3402" t="s">
        <v>3430</v>
      </c>
      <c r="AD4" s="3403">
        <v>45254.000497685185</v>
      </c>
      <c r="AE4" s="3403">
        <v>45274.000497685185</v>
      </c>
      <c r="AF4" s="3403">
        <v>45288.000497685185</v>
      </c>
      <c r="AG4" s="3403">
        <v>45288.000497685185</v>
      </c>
      <c r="AH4" s="3402" t="s">
        <v>3436</v>
      </c>
      <c r="AI4" s="3402" t="s">
        <v>3437</v>
      </c>
      <c r="AJ4" s="3402" t="s">
        <v>3471</v>
      </c>
      <c r="AK4" s="3402" t="s">
        <v>3472</v>
      </c>
      <c r="AL4" s="3402" t="s">
        <v>3473</v>
      </c>
      <c r="AM4" s="3402" t="s">
        <v>3430</v>
      </c>
      <c r="AN4" s="3402">
        <v>199000</v>
      </c>
      <c r="AO4" s="3402">
        <v>40000</v>
      </c>
      <c r="AP4" s="3402" t="s">
        <v>3474</v>
      </c>
      <c r="AQ4" s="3402">
        <v>199000</v>
      </c>
      <c r="AR4" s="3402">
        <v>28472.03</v>
      </c>
      <c r="AS4" s="3402">
        <v>28472.03</v>
      </c>
      <c r="AT4" s="3402">
        <v>1898.14</v>
      </c>
      <c r="AU4" s="3402">
        <v>1898.14</v>
      </c>
      <c r="AV4" s="3402">
        <v>18524</v>
      </c>
      <c r="AW4" s="3402">
        <v>18524</v>
      </c>
      <c r="AX4" s="3402" t="s">
        <v>3430</v>
      </c>
      <c r="AY4" s="3402" t="s">
        <v>3430</v>
      </c>
      <c r="AZ4" s="3402">
        <v>0</v>
      </c>
      <c r="BA4" s="3402">
        <v>228850</v>
      </c>
      <c r="BB4" s="3402" t="s">
        <v>3443</v>
      </c>
      <c r="BC4" s="3402">
        <v>43000</v>
      </c>
      <c r="BD4" s="3402">
        <v>43000</v>
      </c>
      <c r="BE4" s="3402">
        <v>21302</v>
      </c>
      <c r="BF4" s="3402">
        <v>15</v>
      </c>
      <c r="BG4" s="3402">
        <v>23745</v>
      </c>
      <c r="BH4" s="3402" t="s">
        <v>3475</v>
      </c>
      <c r="BI4" s="3402" t="s">
        <v>3476</v>
      </c>
    </row>
    <row r="5" spans="1:61" s="3402" customFormat="1">
      <c r="A5" s="3402" t="s">
        <v>3477</v>
      </c>
      <c r="B5" s="3402" t="s">
        <v>1465</v>
      </c>
      <c r="C5" s="3402" t="s">
        <v>3419</v>
      </c>
      <c r="D5" s="3402" t="s">
        <v>3420</v>
      </c>
      <c r="E5" s="3402" t="s">
        <v>3478</v>
      </c>
      <c r="F5" s="3402" t="s">
        <v>3479</v>
      </c>
      <c r="G5" s="3402" t="s">
        <v>3480</v>
      </c>
      <c r="H5" s="3402" t="s">
        <v>3481</v>
      </c>
      <c r="I5" s="3402">
        <v>40739.620000000003</v>
      </c>
      <c r="J5" s="3402">
        <v>75359.210000000006</v>
      </c>
      <c r="K5" s="3402" t="s">
        <v>3430</v>
      </c>
      <c r="L5" s="3402" t="s">
        <v>3430</v>
      </c>
      <c r="M5" s="3402">
        <v>0</v>
      </c>
      <c r="N5" s="3402">
        <v>0</v>
      </c>
      <c r="O5" s="3402" t="s">
        <v>3425</v>
      </c>
      <c r="P5" s="3402" t="s">
        <v>3426</v>
      </c>
      <c r="Q5" s="3402" t="s">
        <v>3427</v>
      </c>
      <c r="R5" s="3402" t="s">
        <v>3482</v>
      </c>
      <c r="S5" s="3402" t="s">
        <v>3483</v>
      </c>
      <c r="T5" s="3402">
        <v>2</v>
      </c>
      <c r="U5" s="3402">
        <v>0</v>
      </c>
      <c r="V5" s="3402">
        <v>0.3</v>
      </c>
      <c r="W5" s="3402" t="s">
        <v>3484</v>
      </c>
      <c r="X5" s="3402" t="s">
        <v>3432</v>
      </c>
      <c r="Y5" s="3402" t="s">
        <v>3485</v>
      </c>
      <c r="Z5" s="3402" t="s">
        <v>3486</v>
      </c>
      <c r="AA5" s="3402" t="s">
        <v>3487</v>
      </c>
      <c r="AB5" s="3402" t="s">
        <v>3430</v>
      </c>
      <c r="AC5" s="3402" t="s">
        <v>3430</v>
      </c>
      <c r="AD5" s="3403">
        <v>44568.000497685185</v>
      </c>
      <c r="AE5" s="3403">
        <v>44589.000497685185</v>
      </c>
      <c r="AF5" s="3403">
        <v>44608.000497685185</v>
      </c>
      <c r="AG5" s="3403">
        <v>44608.000497685185</v>
      </c>
      <c r="AH5" s="3402" t="s">
        <v>3436</v>
      </c>
      <c r="AI5" s="3402" t="s">
        <v>3488</v>
      </c>
      <c r="AJ5" s="3402" t="s">
        <v>3489</v>
      </c>
      <c r="AK5" s="3402" t="s">
        <v>3490</v>
      </c>
      <c r="AL5" s="3402" t="s">
        <v>3491</v>
      </c>
      <c r="AM5" s="3402" t="s">
        <v>3430</v>
      </c>
      <c r="AN5" s="3402">
        <v>140000</v>
      </c>
      <c r="AO5" s="3402">
        <v>28000</v>
      </c>
      <c r="AP5" s="3402" t="s">
        <v>3492</v>
      </c>
      <c r="AQ5" s="3402">
        <v>140700</v>
      </c>
      <c r="AR5" s="3402">
        <v>34364.58</v>
      </c>
      <c r="AS5" s="3402">
        <v>34536.400000000001</v>
      </c>
      <c r="AT5" s="3402">
        <v>2290.9699999999998</v>
      </c>
      <c r="AU5" s="3402">
        <v>2302.4299999999998</v>
      </c>
      <c r="AV5" s="3402">
        <v>18578</v>
      </c>
      <c r="AW5" s="3402">
        <v>18671</v>
      </c>
      <c r="AX5" s="3402" t="s">
        <v>3430</v>
      </c>
      <c r="AY5" s="3402" t="s">
        <v>3430</v>
      </c>
      <c r="AZ5" s="3402">
        <v>0.5</v>
      </c>
      <c r="BA5" s="3402">
        <v>161000</v>
      </c>
      <c r="BB5" s="3402" t="s">
        <v>3443</v>
      </c>
      <c r="BC5" s="3402">
        <v>44000</v>
      </c>
      <c r="BD5" s="3402">
        <v>44000</v>
      </c>
      <c r="BE5" s="3402">
        <v>21364</v>
      </c>
      <c r="BF5" s="3402">
        <v>15</v>
      </c>
      <c r="BG5" s="3402">
        <v>24260</v>
      </c>
      <c r="BH5" s="3402" t="s">
        <v>3444</v>
      </c>
      <c r="BI5" s="3402" t="s">
        <v>3445</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9" sqref="D9"/>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55612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11911</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27311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1821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116551</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34447</v>
      </c>
      <c r="D8" s="2140">
        <f>'不动产比较法-车位'!B3</f>
        <v>5808</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111317</v>
      </c>
      <c r="D10" s="2314">
        <f>ROUND(D8*D9/10000,0)</f>
        <v>5234</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25060</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752</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501</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28297</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585</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2331</v>
      </c>
      <c r="D24" s="444"/>
      <c r="E24" s="442"/>
      <c r="F24" s="2161">
        <f>'数据-取费表'!B38</f>
        <v>0.02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1077</v>
      </c>
      <c r="D26" s="436">
        <f ca="1">C27</f>
        <v>7.0099999999999996E-2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7.0099999999999996E-2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1077</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6105</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39340</v>
      </c>
      <c r="D30" s="446">
        <f ca="1">C32</f>
        <v>9.9099999999999994E-2</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39340</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9.9099999999999994E-2</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5788</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5788</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55612</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25060</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752</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501</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28297</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566</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967</v>
      </c>
      <c r="D20" s="431">
        <f ca="1">ROUND(((1+F20)^'数据-取费表'!B20)-1,4)</f>
        <v>6.8099999999999994E-2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5195</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3" t="s">
        <v>1394</v>
      </c>
      <c r="B24" s="3624"/>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3" t="s">
        <v>2289</v>
      </c>
      <c r="B25" s="3624"/>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3" t="s">
        <v>2290</v>
      </c>
      <c r="B26" s="3624"/>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5" t="s">
        <v>2288</v>
      </c>
      <c r="B27" s="3626"/>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06" t="s">
        <v>471</v>
      </c>
      <c r="D6" s="3607"/>
      <c r="E6" s="3632" t="s">
        <v>472</v>
      </c>
      <c r="F6" s="3633"/>
      <c r="G6" s="3606" t="s">
        <v>473</v>
      </c>
      <c r="H6" s="3607"/>
      <c r="I6" s="3606" t="s">
        <v>474</v>
      </c>
      <c r="J6" s="3607"/>
      <c r="K6" s="465" t="s">
        <v>475</v>
      </c>
      <c r="L6" s="1741"/>
      <c r="M6" s="1742"/>
      <c r="N6" s="1742"/>
      <c r="O6" s="1742"/>
      <c r="P6" s="3608" t="s">
        <v>476</v>
      </c>
      <c r="Q6" s="3609"/>
      <c r="R6" s="3592" t="s">
        <v>472</v>
      </c>
      <c r="S6" s="3593"/>
      <c r="T6" s="3592" t="s">
        <v>473</v>
      </c>
      <c r="U6" s="3593"/>
      <c r="V6" s="3614" t="s">
        <v>474</v>
      </c>
      <c r="W6" s="3614"/>
      <c r="X6" s="1302"/>
      <c r="Y6" s="3592" t="s">
        <v>476</v>
      </c>
      <c r="Z6" s="3593"/>
      <c r="AA6" s="3587" t="s">
        <v>472</v>
      </c>
      <c r="AB6" s="3588" t="s">
        <v>473</v>
      </c>
      <c r="AC6" s="3587" t="s">
        <v>474</v>
      </c>
    </row>
    <row r="7" spans="1:29" ht="15">
      <c r="A7" s="466"/>
      <c r="B7" s="467"/>
      <c r="C7" s="3617" t="s">
        <v>2186</v>
      </c>
      <c r="D7" s="3618"/>
      <c r="E7" s="3634" t="s">
        <v>2187</v>
      </c>
      <c r="F7" s="3635"/>
      <c r="G7" s="3617" t="s">
        <v>2188</v>
      </c>
      <c r="H7" s="3618"/>
      <c r="I7" s="3617" t="s">
        <v>2189</v>
      </c>
      <c r="J7" s="3618"/>
      <c r="K7" s="465"/>
      <c r="L7" s="1741"/>
      <c r="M7" s="1742"/>
      <c r="N7" s="1742"/>
      <c r="O7" s="1742"/>
      <c r="P7" s="3610"/>
      <c r="Q7" s="3611"/>
      <c r="R7" s="3594"/>
      <c r="S7" s="3595"/>
      <c r="T7" s="3594"/>
      <c r="U7" s="3595"/>
      <c r="V7" s="3614"/>
      <c r="W7" s="3614"/>
      <c r="X7" s="1302"/>
      <c r="Y7" s="3594"/>
      <c r="Z7" s="3595"/>
      <c r="AA7" s="3588"/>
      <c r="AB7" s="3588"/>
      <c r="AC7" s="3588"/>
    </row>
    <row r="8" spans="1:29" ht="15.75" thickBot="1">
      <c r="A8" s="468"/>
      <c r="B8" s="469"/>
      <c r="C8" s="3615" t="s">
        <v>2190</v>
      </c>
      <c r="D8" s="3616"/>
      <c r="E8" s="3636" t="s">
        <v>2190</v>
      </c>
      <c r="F8" s="3637"/>
      <c r="G8" s="3615" t="s">
        <v>2190</v>
      </c>
      <c r="H8" s="3616"/>
      <c r="I8" s="3615" t="s">
        <v>2190</v>
      </c>
      <c r="J8" s="3616"/>
      <c r="K8" s="465" t="s">
        <v>477</v>
      </c>
      <c r="L8" s="1741"/>
      <c r="M8" s="1742"/>
      <c r="N8" s="1742"/>
      <c r="O8" s="1742"/>
      <c r="P8" s="3612"/>
      <c r="Q8" s="3613"/>
      <c r="R8" s="3594"/>
      <c r="S8" s="3595"/>
      <c r="T8" s="3596"/>
      <c r="U8" s="3597"/>
      <c r="V8" s="3614"/>
      <c r="W8" s="3614"/>
      <c r="X8" s="1302"/>
      <c r="Y8" s="3596"/>
      <c r="Z8" s="3597"/>
      <c r="AA8" s="3589"/>
      <c r="AB8" s="3589"/>
      <c r="AC8" s="3589"/>
    </row>
    <row r="9" spans="1:29" s="1060" customFormat="1" ht="15.75" thickBot="1">
      <c r="A9" s="2208"/>
      <c r="B9" s="2215" t="s">
        <v>478</v>
      </c>
      <c r="C9" s="470">
        <f>'数据-取费表'!B2</f>
        <v>45541</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90" t="s">
        <v>479</v>
      </c>
      <c r="Q9" s="3599"/>
      <c r="R9" s="1303" t="s">
        <v>5</v>
      </c>
      <c r="S9" s="1304">
        <f t="shared" ref="S9:S17" si="0">F9</f>
        <v>0</v>
      </c>
      <c r="T9" s="1303" t="s">
        <v>5</v>
      </c>
      <c r="U9" s="1304">
        <f t="shared" ref="U9:U17" si="1">H9</f>
        <v>0</v>
      </c>
      <c r="V9" s="1303" t="s">
        <v>5</v>
      </c>
      <c r="W9" s="1304">
        <f t="shared" ref="W9:W17" si="2">J9</f>
        <v>0</v>
      </c>
      <c r="X9" s="1305"/>
      <c r="Y9" s="3590" t="s">
        <v>479</v>
      </c>
      <c r="Z9" s="3591"/>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90" t="s">
        <v>482</v>
      </c>
      <c r="Q10" s="3591"/>
      <c r="R10" s="1303" t="s">
        <v>5</v>
      </c>
      <c r="S10" s="1304">
        <f t="shared" si="0"/>
        <v>0</v>
      </c>
      <c r="T10" s="1303" t="s">
        <v>5</v>
      </c>
      <c r="U10" s="1304">
        <f t="shared" si="1"/>
        <v>0</v>
      </c>
      <c r="V10" s="1303" t="s">
        <v>5</v>
      </c>
      <c r="W10" s="1304">
        <f t="shared" si="2"/>
        <v>0</v>
      </c>
      <c r="X10" s="1305"/>
      <c r="Y10" s="3590" t="s">
        <v>482</v>
      </c>
      <c r="Z10" s="3591"/>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8" t="s">
        <v>484</v>
      </c>
      <c r="Q11" s="818" t="str">
        <f t="shared" ref="Q11:Q17" si="6">B11</f>
        <v>用途</v>
      </c>
      <c r="R11" s="1303" t="s">
        <v>5</v>
      </c>
      <c r="S11" s="1304">
        <f t="shared" si="0"/>
        <v>100</v>
      </c>
      <c r="T11" s="1303" t="s">
        <v>5</v>
      </c>
      <c r="U11" s="1304">
        <f t="shared" si="1"/>
        <v>100</v>
      </c>
      <c r="V11" s="1303" t="s">
        <v>5</v>
      </c>
      <c r="W11" s="1304">
        <f t="shared" si="2"/>
        <v>100</v>
      </c>
      <c r="X11" s="1305"/>
      <c r="Y11" s="3550"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98"/>
      <c r="Q12" s="818" t="str">
        <f t="shared" si="6"/>
        <v>土地使用年限（年）</v>
      </c>
      <c r="R12" s="1303" t="s">
        <v>5</v>
      </c>
      <c r="S12" s="1304">
        <f t="shared" si="0"/>
        <v>100</v>
      </c>
      <c r="T12" s="1303" t="s">
        <v>5</v>
      </c>
      <c r="U12" s="1304">
        <f t="shared" si="1"/>
        <v>100</v>
      </c>
      <c r="V12" s="1303" t="s">
        <v>5</v>
      </c>
      <c r="W12" s="1304">
        <f t="shared" si="2"/>
        <v>100</v>
      </c>
      <c r="X12" s="1305"/>
      <c r="Y12" s="3550"/>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8"/>
      <c r="Q13" s="818" t="str">
        <f t="shared" si="6"/>
        <v>容积率</v>
      </c>
      <c r="R13" s="1303" t="s">
        <v>5</v>
      </c>
      <c r="S13" s="1304" t="e">
        <f t="shared" si="0"/>
        <v>#N/A</v>
      </c>
      <c r="T13" s="1303" t="s">
        <v>5</v>
      </c>
      <c r="U13" s="1304" t="e">
        <f t="shared" si="1"/>
        <v>#N/A</v>
      </c>
      <c r="V13" s="1303" t="s">
        <v>5</v>
      </c>
      <c r="W13" s="1304" t="e">
        <f t="shared" si="2"/>
        <v>#N/A</v>
      </c>
      <c r="X13" s="1305"/>
      <c r="Y13" s="3550"/>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8"/>
      <c r="Q14" s="818">
        <f t="shared" si="6"/>
        <v>111</v>
      </c>
      <c r="R14" s="1303" t="s">
        <v>5</v>
      </c>
      <c r="S14" s="1304">
        <f t="shared" si="0"/>
        <v>100</v>
      </c>
      <c r="T14" s="1303" t="s">
        <v>5</v>
      </c>
      <c r="U14" s="1304">
        <f t="shared" si="1"/>
        <v>100</v>
      </c>
      <c r="V14" s="1303" t="s">
        <v>5</v>
      </c>
      <c r="W14" s="1304">
        <f t="shared" si="2"/>
        <v>100</v>
      </c>
      <c r="X14" s="1305"/>
      <c r="Y14" s="3550"/>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8"/>
      <c r="Q15" s="818">
        <f t="shared" si="6"/>
        <v>111</v>
      </c>
      <c r="R15" s="1303" t="s">
        <v>5</v>
      </c>
      <c r="S15" s="1304">
        <f t="shared" si="0"/>
        <v>100</v>
      </c>
      <c r="T15" s="1303" t="s">
        <v>5</v>
      </c>
      <c r="U15" s="1304">
        <f t="shared" si="1"/>
        <v>100</v>
      </c>
      <c r="V15" s="1303" t="s">
        <v>5</v>
      </c>
      <c r="W15" s="1304">
        <f t="shared" si="2"/>
        <v>100</v>
      </c>
      <c r="X15" s="1305"/>
      <c r="Y15" s="3550"/>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8"/>
      <c r="Q16" s="818">
        <f t="shared" si="6"/>
        <v>111</v>
      </c>
      <c r="R16" s="1303" t="s">
        <v>5</v>
      </c>
      <c r="S16" s="1304">
        <f t="shared" si="0"/>
        <v>100</v>
      </c>
      <c r="T16" s="1303" t="s">
        <v>5</v>
      </c>
      <c r="U16" s="1304">
        <f t="shared" si="1"/>
        <v>100</v>
      </c>
      <c r="V16" s="1303" t="s">
        <v>5</v>
      </c>
      <c r="W16" s="1304">
        <f t="shared" si="2"/>
        <v>100</v>
      </c>
      <c r="X16" s="1305"/>
      <c r="Y16" s="3550"/>
      <c r="Z16" s="997">
        <f t="shared" si="7"/>
        <v>111</v>
      </c>
      <c r="AA16" s="997">
        <f t="shared" si="3"/>
        <v>1</v>
      </c>
      <c r="AB16" s="997">
        <f t="shared" si="4"/>
        <v>1</v>
      </c>
      <c r="AC16" s="997">
        <f t="shared" si="5"/>
        <v>1</v>
      </c>
    </row>
    <row r="17" spans="1:29" ht="71.25">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00" t="s">
        <v>489</v>
      </c>
      <c r="Q17" s="1306" t="str">
        <f t="shared" si="6"/>
        <v>产业集聚程度</v>
      </c>
      <c r="R17" s="1307" t="s">
        <v>5</v>
      </c>
      <c r="S17" s="1308">
        <f t="shared" si="0"/>
        <v>100</v>
      </c>
      <c r="T17" s="1307" t="s">
        <v>5</v>
      </c>
      <c r="U17" s="1308">
        <f t="shared" si="1"/>
        <v>100</v>
      </c>
      <c r="V17" s="1307" t="s">
        <v>5</v>
      </c>
      <c r="W17" s="1308">
        <f t="shared" si="2"/>
        <v>100</v>
      </c>
      <c r="X17" s="1302"/>
      <c r="Y17" s="3600"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01"/>
      <c r="Q18" s="1306"/>
      <c r="R18" s="1307"/>
      <c r="S18" s="1308"/>
      <c r="T18" s="1307"/>
      <c r="U18" s="1308"/>
      <c r="V18" s="1307"/>
      <c r="W18" s="1308"/>
      <c r="X18" s="1302"/>
      <c r="Y18" s="3601"/>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01"/>
      <c r="Q19" s="1306" t="str">
        <f>B19</f>
        <v>交通便捷度</v>
      </c>
      <c r="R19" s="1307" t="s">
        <v>5</v>
      </c>
      <c r="S19" s="1308">
        <f>F19</f>
        <v>100</v>
      </c>
      <c r="T19" s="1307" t="s">
        <v>5</v>
      </c>
      <c r="U19" s="1308">
        <f>H19</f>
        <v>100</v>
      </c>
      <c r="V19" s="1307" t="s">
        <v>5</v>
      </c>
      <c r="W19" s="1308">
        <f>J19</f>
        <v>100</v>
      </c>
      <c r="X19" s="1302"/>
      <c r="Y19" s="3601"/>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01"/>
      <c r="Q20" s="1306"/>
      <c r="R20" s="1307"/>
      <c r="S20" s="1308"/>
      <c r="T20" s="1307"/>
      <c r="U20" s="1308"/>
      <c r="V20" s="1307"/>
      <c r="W20" s="1308"/>
      <c r="X20" s="1302"/>
      <c r="Y20" s="3601"/>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01"/>
      <c r="Q21" s="1306" t="str">
        <f t="shared" ref="Q21:Q35" si="8">B21</f>
        <v>区域土地利用方向</v>
      </c>
      <c r="R21" s="1307" t="s">
        <v>5</v>
      </c>
      <c r="S21" s="1308">
        <f>F21</f>
        <v>100</v>
      </c>
      <c r="T21" s="1307" t="s">
        <v>5</v>
      </c>
      <c r="U21" s="1308">
        <f>H21</f>
        <v>100</v>
      </c>
      <c r="V21" s="1307" t="s">
        <v>5</v>
      </c>
      <c r="W21" s="1308">
        <f>J21</f>
        <v>100</v>
      </c>
      <c r="X21" s="1302"/>
      <c r="Y21" s="3601"/>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01"/>
      <c r="Q22" s="1306"/>
      <c r="R22" s="1307"/>
      <c r="S22" s="1308"/>
      <c r="T22" s="1307"/>
      <c r="U22" s="1308"/>
      <c r="V22" s="1307"/>
      <c r="W22" s="1308"/>
      <c r="X22" s="1302"/>
      <c r="Y22" s="3601"/>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01"/>
      <c r="Q23" s="1306" t="str">
        <f t="shared" si="8"/>
        <v>环境状况</v>
      </c>
      <c r="R23" s="1307" t="s">
        <v>5</v>
      </c>
      <c r="S23" s="1308">
        <f>F23</f>
        <v>100</v>
      </c>
      <c r="T23" s="1307" t="s">
        <v>5</v>
      </c>
      <c r="U23" s="1308">
        <f>H23</f>
        <v>100</v>
      </c>
      <c r="V23" s="1307" t="s">
        <v>5</v>
      </c>
      <c r="W23" s="1308">
        <f>J23</f>
        <v>100</v>
      </c>
      <c r="X23" s="1302"/>
      <c r="Y23" s="3601"/>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01"/>
      <c r="Q24" s="1306"/>
      <c r="R24" s="1307"/>
      <c r="S24" s="1308"/>
      <c r="T24" s="1307"/>
      <c r="U24" s="1308"/>
      <c r="V24" s="1307"/>
      <c r="W24" s="1308"/>
      <c r="X24" s="1302"/>
      <c r="Y24" s="3601"/>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1"/>
      <c r="Q25" s="818" t="str">
        <f t="shared" si="8"/>
        <v>公共配套设施</v>
      </c>
      <c r="R25" s="1303" t="s">
        <v>5</v>
      </c>
      <c r="S25" s="1304">
        <f>F25</f>
        <v>100</v>
      </c>
      <c r="T25" s="1303" t="s">
        <v>5</v>
      </c>
      <c r="U25" s="1304">
        <f>H25</f>
        <v>100</v>
      </c>
      <c r="V25" s="1303" t="s">
        <v>5</v>
      </c>
      <c r="W25" s="1304">
        <f>J25</f>
        <v>100</v>
      </c>
      <c r="X25" s="1305"/>
      <c r="Y25" s="3601"/>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01"/>
      <c r="Q26" s="818"/>
      <c r="R26" s="1303"/>
      <c r="S26" s="1304"/>
      <c r="T26" s="1303"/>
      <c r="U26" s="1304"/>
      <c r="V26" s="1303"/>
      <c r="W26" s="1304"/>
      <c r="X26" s="1305"/>
      <c r="Y26" s="3601"/>
      <c r="Z26" s="997"/>
      <c r="AA26" s="997">
        <v>1</v>
      </c>
      <c r="AB26" s="997">
        <v>1</v>
      </c>
      <c r="AC26" s="997">
        <v>1</v>
      </c>
    </row>
    <row r="27" spans="1:29" s="1060" customFormat="1" ht="42.7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01"/>
      <c r="Q27" s="818" t="str">
        <f>B27</f>
        <v>基础设施水平</v>
      </c>
      <c r="R27" s="1303" t="s">
        <v>5</v>
      </c>
      <c r="S27" s="1304">
        <f>F27</f>
        <v>100</v>
      </c>
      <c r="T27" s="1303" t="s">
        <v>5</v>
      </c>
      <c r="U27" s="1304">
        <f>H27</f>
        <v>100</v>
      </c>
      <c r="V27" s="1303" t="s">
        <v>5</v>
      </c>
      <c r="W27" s="1304">
        <f>J27</f>
        <v>100</v>
      </c>
      <c r="X27" s="1305"/>
      <c r="Y27" s="3601"/>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01"/>
      <c r="Q28" s="818"/>
      <c r="R28" s="1303"/>
      <c r="S28" s="1304"/>
      <c r="T28" s="1303"/>
      <c r="U28" s="1304"/>
      <c r="V28" s="1303"/>
      <c r="W28" s="1304"/>
      <c r="X28" s="1305"/>
      <c r="Y28" s="3601"/>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1"/>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1"/>
      <c r="Z29" s="1309" t="str">
        <f t="shared" ref="Z29:Z42" si="12">Q29</f>
        <v>临街状况</v>
      </c>
      <c r="AA29" s="1309">
        <f t="shared" si="3"/>
        <v>1</v>
      </c>
      <c r="AB29" s="1309">
        <f t="shared" si="4"/>
        <v>1</v>
      </c>
      <c r="AC29" s="1309">
        <f t="shared" si="5"/>
        <v>1</v>
      </c>
    </row>
    <row r="30" spans="1:29" ht="28.5">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1"/>
      <c r="Q30" s="1306" t="str">
        <f t="shared" si="8"/>
        <v>毗邻道路的类型与等级</v>
      </c>
      <c r="R30" s="1307" t="s">
        <v>5</v>
      </c>
      <c r="S30" s="1308">
        <f t="shared" si="9"/>
        <v>100</v>
      </c>
      <c r="T30" s="1307" t="s">
        <v>5</v>
      </c>
      <c r="U30" s="1308">
        <f t="shared" si="10"/>
        <v>100</v>
      </c>
      <c r="V30" s="1307" t="s">
        <v>5</v>
      </c>
      <c r="W30" s="1308">
        <f t="shared" si="11"/>
        <v>100</v>
      </c>
      <c r="X30" s="1302"/>
      <c r="Y30" s="3601"/>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1"/>
      <c r="Q31" s="1306"/>
      <c r="R31" s="1307"/>
      <c r="S31" s="1308"/>
      <c r="T31" s="1307"/>
      <c r="U31" s="1308"/>
      <c r="V31" s="1307"/>
      <c r="W31" s="1308"/>
      <c r="X31" s="1302"/>
      <c r="Y31" s="3601"/>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01"/>
      <c r="Q32" s="1306" t="str">
        <f t="shared" si="8"/>
        <v>土地级别</v>
      </c>
      <c r="R32" s="1307" t="s">
        <v>5</v>
      </c>
      <c r="S32" s="1308">
        <f t="shared" si="9"/>
        <v>100</v>
      </c>
      <c r="T32" s="1307" t="s">
        <v>5</v>
      </c>
      <c r="U32" s="1308">
        <f t="shared" si="10"/>
        <v>100</v>
      </c>
      <c r="V32" s="1307" t="s">
        <v>5</v>
      </c>
      <c r="W32" s="1308">
        <f t="shared" si="11"/>
        <v>100</v>
      </c>
      <c r="X32" s="1302"/>
      <c r="Y32" s="3601"/>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1"/>
      <c r="Q33" s="1306">
        <f t="shared" si="8"/>
        <v>111</v>
      </c>
      <c r="R33" s="1307" t="s">
        <v>5</v>
      </c>
      <c r="S33" s="1308">
        <f t="shared" si="9"/>
        <v>100</v>
      </c>
      <c r="T33" s="1307" t="s">
        <v>5</v>
      </c>
      <c r="U33" s="1308">
        <f t="shared" si="10"/>
        <v>100</v>
      </c>
      <c r="V33" s="1307" t="s">
        <v>5</v>
      </c>
      <c r="W33" s="1308">
        <f t="shared" si="11"/>
        <v>100</v>
      </c>
      <c r="X33" s="1302"/>
      <c r="Y33" s="3601"/>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2" t="s">
        <v>499</v>
      </c>
      <c r="Q34" s="1306">
        <f t="shared" si="8"/>
        <v>111</v>
      </c>
      <c r="R34" s="1307" t="s">
        <v>5</v>
      </c>
      <c r="S34" s="1308">
        <f t="shared" si="9"/>
        <v>100</v>
      </c>
      <c r="T34" s="1307" t="s">
        <v>5</v>
      </c>
      <c r="U34" s="1308">
        <f t="shared" si="10"/>
        <v>100</v>
      </c>
      <c r="V34" s="1307" t="s">
        <v>5</v>
      </c>
      <c r="W34" s="1308">
        <f t="shared" si="11"/>
        <v>100</v>
      </c>
      <c r="X34" s="1302"/>
      <c r="Y34" s="3603"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03"/>
      <c r="Q35" s="1306">
        <f t="shared" si="8"/>
        <v>111</v>
      </c>
      <c r="R35" s="1310" t="s">
        <v>5</v>
      </c>
      <c r="S35" s="1311">
        <f t="shared" si="9"/>
        <v>100</v>
      </c>
      <c r="T35" s="1310" t="s">
        <v>5</v>
      </c>
      <c r="U35" s="1311">
        <f t="shared" si="10"/>
        <v>100</v>
      </c>
      <c r="V35" s="1310" t="s">
        <v>5</v>
      </c>
      <c r="W35" s="1311">
        <f t="shared" si="11"/>
        <v>100</v>
      </c>
      <c r="X35" s="1312"/>
      <c r="Y35" s="3603"/>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03"/>
      <c r="Q36" s="1306" t="str">
        <f>B36</f>
        <v>宗地面积</v>
      </c>
      <c r="R36" s="1307" t="s">
        <v>5</v>
      </c>
      <c r="S36" s="1308" t="e">
        <f t="shared" si="9"/>
        <v>#N/A</v>
      </c>
      <c r="T36" s="1307" t="s">
        <v>5</v>
      </c>
      <c r="U36" s="1308" t="e">
        <f t="shared" si="10"/>
        <v>#N/A</v>
      </c>
      <c r="V36" s="1307" t="s">
        <v>5</v>
      </c>
      <c r="W36" s="1308" t="e">
        <f t="shared" si="11"/>
        <v>#N/A</v>
      </c>
      <c r="X36" s="1302"/>
      <c r="Y36" s="3603"/>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03"/>
      <c r="Q37" s="1306" t="str">
        <f t="shared" ref="Q37:Q42" si="13">B37</f>
        <v>宗地形状</v>
      </c>
      <c r="R37" s="1307" t="s">
        <v>5</v>
      </c>
      <c r="S37" s="1308">
        <f t="shared" si="9"/>
        <v>100</v>
      </c>
      <c r="T37" s="1307" t="s">
        <v>5</v>
      </c>
      <c r="U37" s="1308">
        <f t="shared" si="10"/>
        <v>100</v>
      </c>
      <c r="V37" s="1307" t="s">
        <v>5</v>
      </c>
      <c r="W37" s="1308">
        <f t="shared" si="11"/>
        <v>100</v>
      </c>
      <c r="X37" s="1302"/>
      <c r="Y37" s="3603"/>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03"/>
      <c r="Q38" s="1306" t="str">
        <f t="shared" si="13"/>
        <v>宗地开发程度</v>
      </c>
      <c r="R38" s="1303" t="s">
        <v>5</v>
      </c>
      <c r="S38" s="1304">
        <f t="shared" si="9"/>
        <v>100</v>
      </c>
      <c r="T38" s="1303" t="s">
        <v>5</v>
      </c>
      <c r="U38" s="1304">
        <f t="shared" si="10"/>
        <v>100</v>
      </c>
      <c r="V38" s="1303" t="s">
        <v>5</v>
      </c>
      <c r="W38" s="1304">
        <f t="shared" si="11"/>
        <v>100</v>
      </c>
      <c r="X38" s="1305"/>
      <c r="Y38" s="3603"/>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03" t="s">
        <v>549</v>
      </c>
      <c r="Q39" s="1306" t="str">
        <f t="shared" si="13"/>
        <v>工程地质条件</v>
      </c>
      <c r="R39" s="1307" t="s">
        <v>5</v>
      </c>
      <c r="S39" s="1308">
        <f t="shared" si="9"/>
        <v>100</v>
      </c>
      <c r="T39" s="1307" t="s">
        <v>5</v>
      </c>
      <c r="U39" s="1308">
        <f t="shared" si="10"/>
        <v>100</v>
      </c>
      <c r="V39" s="1307" t="s">
        <v>5</v>
      </c>
      <c r="W39" s="1308">
        <f t="shared" si="11"/>
        <v>100</v>
      </c>
      <c r="X39" s="1302"/>
      <c r="Y39" s="3603"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03"/>
      <c r="Q40" s="1306">
        <f t="shared" si="13"/>
        <v>111</v>
      </c>
      <c r="R40" s="1307" t="s">
        <v>5</v>
      </c>
      <c r="S40" s="1308">
        <f t="shared" si="9"/>
        <v>100</v>
      </c>
      <c r="T40" s="1307" t="s">
        <v>5</v>
      </c>
      <c r="U40" s="1308">
        <f t="shared" si="10"/>
        <v>100</v>
      </c>
      <c r="V40" s="1307" t="s">
        <v>5</v>
      </c>
      <c r="W40" s="1308">
        <f t="shared" si="11"/>
        <v>100</v>
      </c>
      <c r="X40" s="1302"/>
      <c r="Y40" s="3603"/>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03"/>
      <c r="Q41" s="1306">
        <f t="shared" si="13"/>
        <v>111</v>
      </c>
      <c r="R41" s="1307" t="s">
        <v>5</v>
      </c>
      <c r="S41" s="1308">
        <f t="shared" si="9"/>
        <v>100</v>
      </c>
      <c r="T41" s="1307" t="s">
        <v>5</v>
      </c>
      <c r="U41" s="1308">
        <f t="shared" si="10"/>
        <v>100</v>
      </c>
      <c r="V41" s="1307" t="s">
        <v>5</v>
      </c>
      <c r="W41" s="1308">
        <f t="shared" si="11"/>
        <v>100</v>
      </c>
      <c r="X41" s="1302"/>
      <c r="Y41" s="3603"/>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03"/>
      <c r="Q42" s="1306">
        <f t="shared" si="13"/>
        <v>111</v>
      </c>
      <c r="R42" s="1310" t="s">
        <v>5</v>
      </c>
      <c r="S42" s="1311">
        <f t="shared" si="9"/>
        <v>100</v>
      </c>
      <c r="T42" s="1310" t="s">
        <v>5</v>
      </c>
      <c r="U42" s="1311">
        <f t="shared" si="10"/>
        <v>100</v>
      </c>
      <c r="V42" s="1310" t="s">
        <v>5</v>
      </c>
      <c r="W42" s="1311">
        <f t="shared" si="11"/>
        <v>100</v>
      </c>
      <c r="X42" s="1312"/>
      <c r="Y42" s="3603"/>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598" t="str">
        <f>A43</f>
        <v>成交单价</v>
      </c>
      <c r="Q43" s="3598"/>
      <c r="R43" s="3614">
        <f>E43</f>
        <v>0</v>
      </c>
      <c r="S43" s="3614"/>
      <c r="T43" s="3614">
        <f>G43</f>
        <v>0</v>
      </c>
      <c r="U43" s="3614"/>
      <c r="V43" s="3614">
        <f>I43</f>
        <v>0</v>
      </c>
      <c r="W43" s="3614"/>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598" t="str">
        <f>A44</f>
        <v>比较价格（元/平方米）</v>
      </c>
      <c r="Q44" s="3598"/>
      <c r="R44" s="3622" t="e">
        <f>ROUND(PRODUCT(R43,AA9:AA42),0)</f>
        <v>#DIV/0!</v>
      </c>
      <c r="S44" s="3622"/>
      <c r="T44" s="3622" t="e">
        <f>ROUND(PRODUCT(T43,AB9:AB42),0)</f>
        <v>#DIV/0!</v>
      </c>
      <c r="U44" s="3622"/>
      <c r="V44" s="3622" t="e">
        <f>ROUND(PRODUCT(V43,AC9:AC42),0)</f>
        <v>#DIV/0!</v>
      </c>
      <c r="W44" s="3622"/>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04" t="str">
        <f>A45</f>
        <v>估价对象XX用房的比较价格（楼面单价，元/平方米）</v>
      </c>
      <c r="Q45" s="3605"/>
      <c r="R45" s="3631" t="e">
        <f>ROUND(IF(D44="简单平均",AVERAGE(R44:W44),R44*F44+T44*H44+V44*J44),0)</f>
        <v>#DIV/0!</v>
      </c>
      <c r="S45" s="3631"/>
      <c r="T45" s="3631"/>
      <c r="U45" s="3631"/>
      <c r="V45" s="3631"/>
      <c r="W45" s="3631"/>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27" t="s">
        <v>1642</v>
      </c>
      <c r="H52" s="3628"/>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29"/>
      <c r="H53" s="3630"/>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46" t="s">
        <v>2060</v>
      </c>
      <c r="X8" s="364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45"/>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45"/>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39" t="s">
        <v>1370</v>
      </c>
      <c r="B20" s="1205" t="s">
        <v>875</v>
      </c>
      <c r="C20" s="948" t="e">
        <f>ROUND(IF(F21="与级别开发程度一致",0,(G21-E21)/C21),0)</f>
        <v>#DIV/0!</v>
      </c>
      <c r="D20" s="3651" t="s">
        <v>879</v>
      </c>
      <c r="E20" s="3652"/>
      <c r="F20" s="3651" t="s">
        <v>876</v>
      </c>
      <c r="G20" s="3652"/>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40"/>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45541</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14</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3"/>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43"/>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44"/>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4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44"/>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4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41" t="s">
        <v>1172</v>
      </c>
      <c r="B104" s="3641"/>
      <c r="C104" s="3641"/>
      <c r="D104" s="3641"/>
      <c r="E104" s="3641"/>
      <c r="F104" s="3641"/>
      <c r="G104" s="3641"/>
      <c r="H104" s="3641"/>
      <c r="I104" s="3641"/>
      <c r="J104" s="3641"/>
      <c r="K104" s="1001"/>
      <c r="L104" s="1001"/>
      <c r="M104" s="1001"/>
      <c r="N104" s="1001"/>
    </row>
    <row r="105" spans="1:36">
      <c r="A105" s="3642" t="s">
        <v>1161</v>
      </c>
      <c r="B105" s="3642" t="s">
        <v>1173</v>
      </c>
      <c r="C105" s="989" t="s">
        <v>1174</v>
      </c>
      <c r="D105" s="990"/>
      <c r="E105" s="990"/>
      <c r="F105" s="990"/>
      <c r="G105" s="990"/>
      <c r="H105" s="990"/>
      <c r="I105" s="990"/>
      <c r="J105" s="991"/>
      <c r="K105" s="984"/>
      <c r="L105" s="984"/>
      <c r="M105" s="984"/>
      <c r="N105" s="984"/>
    </row>
    <row r="106" spans="1:36">
      <c r="A106" s="3642"/>
      <c r="B106" s="364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48"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9"/>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38" t="s">
        <v>1175</v>
      </c>
      <c r="B114" s="3638"/>
      <c r="C114" s="3638"/>
      <c r="D114" s="3638"/>
      <c r="E114" s="3638"/>
      <c r="F114" s="3638"/>
      <c r="G114" s="3638"/>
      <c r="H114" s="3638"/>
      <c r="I114" s="3638"/>
      <c r="J114" s="3638"/>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57" t="s">
        <v>2445</v>
      </c>
      <c r="B20" s="3660" t="s">
        <v>2455</v>
      </c>
      <c r="C20" s="3008" t="s">
        <v>2456</v>
      </c>
      <c r="D20" s="3009"/>
      <c r="E20" s="3010">
        <v>1</v>
      </c>
      <c r="F20" s="3011" t="s">
        <v>2457</v>
      </c>
      <c r="G20" s="984"/>
    </row>
    <row r="21" spans="1:13">
      <c r="A21" s="3658"/>
      <c r="B21" s="3656"/>
      <c r="C21" s="3012" t="s">
        <v>2458</v>
      </c>
      <c r="D21" s="3013"/>
      <c r="E21" s="3014">
        <v>1</v>
      </c>
      <c r="F21" s="3011" t="s">
        <v>2459</v>
      </c>
      <c r="G21" s="984"/>
    </row>
    <row r="22" spans="1:13">
      <c r="A22" s="3658"/>
      <c r="B22" s="3656"/>
      <c r="C22" s="3012" t="s">
        <v>2460</v>
      </c>
      <c r="D22" s="3013"/>
      <c r="E22" s="3014">
        <v>0.9</v>
      </c>
      <c r="F22" s="3011" t="s">
        <v>2461</v>
      </c>
      <c r="G22" s="984"/>
    </row>
    <row r="23" spans="1:13">
      <c r="A23" s="3658"/>
      <c r="B23" s="3656"/>
      <c r="C23" s="3012" t="s">
        <v>2462</v>
      </c>
      <c r="D23" s="3013"/>
      <c r="E23" s="3014">
        <v>0.9</v>
      </c>
      <c r="F23" s="3011" t="s">
        <v>2463</v>
      </c>
      <c r="G23" s="984"/>
    </row>
    <row r="24" spans="1:13">
      <c r="A24" s="3658"/>
      <c r="B24" s="3656"/>
      <c r="C24" s="3012" t="s">
        <v>2464</v>
      </c>
      <c r="D24" s="3013"/>
      <c r="E24" s="3014">
        <v>0.8</v>
      </c>
      <c r="F24" s="3011" t="s">
        <v>2465</v>
      </c>
      <c r="G24" s="984"/>
    </row>
    <row r="25" spans="1:13" ht="14.25" thickBot="1">
      <c r="A25" s="3659"/>
      <c r="B25" s="3661"/>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62" t="s">
        <v>2450</v>
      </c>
      <c r="B27" s="3660" t="s">
        <v>2450</v>
      </c>
      <c r="C27" s="3008" t="s">
        <v>2470</v>
      </c>
      <c r="D27" s="3009"/>
      <c r="E27" s="3010">
        <v>1</v>
      </c>
      <c r="F27" s="3011" t="s">
        <v>2471</v>
      </c>
      <c r="G27" s="984"/>
    </row>
    <row r="28" spans="1:13">
      <c r="A28" s="3663"/>
      <c r="B28" s="3656"/>
      <c r="C28" s="3012" t="s">
        <v>2472</v>
      </c>
      <c r="D28" s="3013"/>
      <c r="E28" s="3014">
        <v>1</v>
      </c>
      <c r="F28" s="3011" t="s">
        <v>2473</v>
      </c>
      <c r="G28" s="984"/>
    </row>
    <row r="29" spans="1:13">
      <c r="A29" s="3663"/>
      <c r="B29" s="3656"/>
      <c r="C29" s="3012" t="s">
        <v>2474</v>
      </c>
      <c r="D29" s="3013"/>
      <c r="E29" s="3014">
        <v>0.8</v>
      </c>
      <c r="F29" s="3011" t="s">
        <v>2475</v>
      </c>
      <c r="G29" s="984"/>
    </row>
    <row r="30" spans="1:13">
      <c r="A30" s="3663"/>
      <c r="B30" s="3656"/>
      <c r="C30" s="3012" t="s">
        <v>2476</v>
      </c>
      <c r="D30" s="3013"/>
      <c r="E30" s="3014">
        <v>0.8</v>
      </c>
      <c r="F30" s="3011" t="s">
        <v>2477</v>
      </c>
      <c r="G30" s="984"/>
    </row>
    <row r="31" spans="1:13">
      <c r="A31" s="3663"/>
      <c r="B31" s="3656"/>
      <c r="C31" s="3012" t="s">
        <v>2478</v>
      </c>
      <c r="D31" s="3013"/>
      <c r="E31" s="3014">
        <v>0.8</v>
      </c>
      <c r="F31" s="3011" t="s">
        <v>2479</v>
      </c>
      <c r="G31" s="984"/>
    </row>
    <row r="32" spans="1:13">
      <c r="A32" s="3663"/>
      <c r="B32" s="3656"/>
      <c r="C32" s="3012" t="s">
        <v>2480</v>
      </c>
      <c r="D32" s="3013"/>
      <c r="E32" s="3014">
        <v>0.7</v>
      </c>
      <c r="F32" s="3011" t="s">
        <v>2481</v>
      </c>
      <c r="G32" s="984"/>
    </row>
    <row r="33" spans="1:7">
      <c r="A33" s="3663"/>
      <c r="B33" s="3656"/>
      <c r="C33" s="3012" t="s">
        <v>2482</v>
      </c>
      <c r="D33" s="3013"/>
      <c r="E33" s="3014">
        <v>0.8</v>
      </c>
      <c r="F33" s="3011" t="s">
        <v>2483</v>
      </c>
      <c r="G33" s="984"/>
    </row>
    <row r="34" spans="1:7">
      <c r="A34" s="3663"/>
      <c r="B34" s="3656"/>
      <c r="C34" s="3012" t="s">
        <v>2484</v>
      </c>
      <c r="D34" s="3013"/>
      <c r="E34" s="3014">
        <v>0.6</v>
      </c>
      <c r="F34" s="3011" t="s">
        <v>2485</v>
      </c>
      <c r="G34" s="984"/>
    </row>
    <row r="35" spans="1:7">
      <c r="A35" s="3663"/>
      <c r="B35" s="3656"/>
      <c r="C35" s="3012" t="s">
        <v>2486</v>
      </c>
      <c r="D35" s="3013"/>
      <c r="E35" s="3014">
        <v>0.2</v>
      </c>
      <c r="F35" s="3011" t="s">
        <v>2487</v>
      </c>
      <c r="G35" s="984"/>
    </row>
    <row r="36" spans="1:7">
      <c r="A36" s="3663"/>
      <c r="B36" s="3656"/>
      <c r="C36" s="3012" t="s">
        <v>2488</v>
      </c>
      <c r="D36" s="3013"/>
      <c r="E36" s="3014">
        <v>0.2</v>
      </c>
      <c r="F36" s="3011" t="s">
        <v>2489</v>
      </c>
      <c r="G36" s="984"/>
    </row>
    <row r="37" spans="1:7">
      <c r="A37" s="3663"/>
      <c r="B37" s="3654" t="s">
        <v>2490</v>
      </c>
      <c r="C37" s="3012" t="s">
        <v>2491</v>
      </c>
      <c r="D37" s="3013"/>
      <c r="E37" s="3014">
        <v>0.6</v>
      </c>
      <c r="F37" s="3011" t="s">
        <v>2492</v>
      </c>
      <c r="G37" s="984"/>
    </row>
    <row r="38" spans="1:7">
      <c r="A38" s="3663"/>
      <c r="B38" s="3656"/>
      <c r="C38" s="3012" t="s">
        <v>2493</v>
      </c>
      <c r="D38" s="3013"/>
      <c r="E38" s="3014">
        <v>0.6</v>
      </c>
      <c r="F38" s="3011" t="s">
        <v>2494</v>
      </c>
      <c r="G38" s="984"/>
    </row>
    <row r="39" spans="1:7" ht="14.25" thickBot="1">
      <c r="A39" s="3664"/>
      <c r="B39" s="3661"/>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57" t="s">
        <v>2448</v>
      </c>
      <c r="B41" s="3660" t="s">
        <v>2499</v>
      </c>
      <c r="C41" s="3008" t="s">
        <v>2500</v>
      </c>
      <c r="D41" s="3009"/>
      <c r="E41" s="3010">
        <v>1</v>
      </c>
      <c r="F41" s="3011" t="s">
        <v>2501</v>
      </c>
      <c r="G41" s="984"/>
    </row>
    <row r="42" spans="1:7">
      <c r="A42" s="3658"/>
      <c r="B42" s="3656"/>
      <c r="C42" s="3012" t="s">
        <v>2502</v>
      </c>
      <c r="D42" s="3013"/>
      <c r="E42" s="3014">
        <v>1</v>
      </c>
      <c r="F42" s="3011" t="s">
        <v>2503</v>
      </c>
      <c r="G42" s="984"/>
    </row>
    <row r="43" spans="1:7">
      <c r="A43" s="3658"/>
      <c r="B43" s="3655"/>
      <c r="C43" s="3012" t="s">
        <v>2504</v>
      </c>
      <c r="D43" s="3013"/>
      <c r="E43" s="3014">
        <v>1.5</v>
      </c>
      <c r="F43" s="3011" t="s">
        <v>2505</v>
      </c>
      <c r="G43" s="984"/>
    </row>
    <row r="44" spans="1:7">
      <c r="A44" s="3658"/>
      <c r="B44" s="3023" t="s">
        <v>2450</v>
      </c>
      <c r="C44" s="3012" t="s">
        <v>2449</v>
      </c>
      <c r="D44" s="3013"/>
      <c r="E44" s="3014">
        <v>2</v>
      </c>
      <c r="F44" s="3011" t="s">
        <v>2506</v>
      </c>
      <c r="G44" s="984"/>
    </row>
    <row r="45" spans="1:7">
      <c r="A45" s="3658"/>
      <c r="B45" s="3654" t="s">
        <v>2507</v>
      </c>
      <c r="C45" s="3012" t="s">
        <v>2508</v>
      </c>
      <c r="D45" s="3013"/>
      <c r="E45" s="3014">
        <v>1</v>
      </c>
      <c r="F45" s="3011" t="s">
        <v>2509</v>
      </c>
      <c r="G45" s="984"/>
    </row>
    <row r="46" spans="1:7">
      <c r="A46" s="3658"/>
      <c r="B46" s="3656"/>
      <c r="C46" s="3012" t="s">
        <v>2510</v>
      </c>
      <c r="D46" s="3013"/>
      <c r="E46" s="3014">
        <v>1</v>
      </c>
      <c r="F46" s="3011" t="s">
        <v>2511</v>
      </c>
      <c r="G46" s="984"/>
    </row>
    <row r="47" spans="1:7">
      <c r="A47" s="3658"/>
      <c r="B47" s="3656"/>
      <c r="C47" s="3012" t="s">
        <v>2512</v>
      </c>
      <c r="D47" s="3013"/>
      <c r="E47" s="3014">
        <v>1</v>
      </c>
      <c r="F47" s="3011" t="s">
        <v>2513</v>
      </c>
      <c r="G47" s="984"/>
    </row>
    <row r="48" spans="1:7">
      <c r="A48" s="3658"/>
      <c r="B48" s="3656"/>
      <c r="C48" s="3012" t="s">
        <v>2514</v>
      </c>
      <c r="D48" s="3013"/>
      <c r="E48" s="3014">
        <v>1</v>
      </c>
      <c r="F48" s="3011" t="s">
        <v>2515</v>
      </c>
      <c r="G48" s="984"/>
    </row>
    <row r="49" spans="1:9">
      <c r="A49" s="3658"/>
      <c r="B49" s="3656"/>
      <c r="C49" s="3012" t="s">
        <v>2516</v>
      </c>
      <c r="D49" s="3013"/>
      <c r="E49" s="3014">
        <v>1</v>
      </c>
      <c r="F49" s="3011" t="s">
        <v>2517</v>
      </c>
      <c r="G49" s="984"/>
    </row>
    <row r="50" spans="1:9">
      <c r="A50" s="3658"/>
      <c r="B50" s="3656"/>
      <c r="C50" s="3012" t="s">
        <v>2518</v>
      </c>
      <c r="D50" s="3013"/>
      <c r="E50" s="3014">
        <v>1</v>
      </c>
      <c r="F50" s="3011" t="s">
        <v>2519</v>
      </c>
      <c r="G50" s="984"/>
    </row>
    <row r="51" spans="1:9" ht="14.25" thickBot="1">
      <c r="A51" s="3659"/>
      <c r="B51" s="3661"/>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54" t="s">
        <v>2523</v>
      </c>
      <c r="C73" s="3001" t="s">
        <v>2524</v>
      </c>
      <c r="D73" s="3001" t="s">
        <v>2525</v>
      </c>
      <c r="E73" s="3024">
        <v>0.2</v>
      </c>
      <c r="F73" s="3023">
        <v>25</v>
      </c>
      <c r="H73" s="974">
        <f>SUMIF(C71:C139,基准地价!C8,E71:E139)</f>
        <v>0</v>
      </c>
    </row>
    <row r="74" spans="1:8" s="974" customFormat="1" ht="24">
      <c r="A74" s="3023">
        <v>2</v>
      </c>
      <c r="B74" s="3656"/>
      <c r="C74" s="3001" t="s">
        <v>2526</v>
      </c>
      <c r="D74" s="3001" t="s">
        <v>2527</v>
      </c>
      <c r="E74" s="3024">
        <v>0.2</v>
      </c>
      <c r="F74" s="3023">
        <v>25</v>
      </c>
    </row>
    <row r="75" spans="1:8" s="974" customFormat="1" ht="24">
      <c r="A75" s="3023">
        <v>3</v>
      </c>
      <c r="B75" s="3656"/>
      <c r="C75" s="3001" t="s">
        <v>2528</v>
      </c>
      <c r="D75" s="3001" t="s">
        <v>2529</v>
      </c>
      <c r="E75" s="3024">
        <v>0.2</v>
      </c>
      <c r="F75" s="3023">
        <v>25</v>
      </c>
    </row>
    <row r="76" spans="1:8" s="974" customFormat="1">
      <c r="A76" s="3023">
        <v>4</v>
      </c>
      <c r="B76" s="3656"/>
      <c r="C76" s="3001" t="s">
        <v>2530</v>
      </c>
      <c r="D76" s="3001" t="s">
        <v>2531</v>
      </c>
      <c r="E76" s="3024">
        <v>0.15</v>
      </c>
      <c r="F76" s="3023">
        <v>20</v>
      </c>
    </row>
    <row r="77" spans="1:8" s="974" customFormat="1" ht="24">
      <c r="A77" s="3023">
        <v>5</v>
      </c>
      <c r="B77" s="3656"/>
      <c r="C77" s="3001" t="s">
        <v>2532</v>
      </c>
      <c r="D77" s="3001" t="s">
        <v>2533</v>
      </c>
      <c r="E77" s="3024">
        <v>0.15</v>
      </c>
      <c r="F77" s="3023">
        <v>20</v>
      </c>
    </row>
    <row r="78" spans="1:8" s="974" customFormat="1" ht="24">
      <c r="A78" s="3023">
        <v>6</v>
      </c>
      <c r="B78" s="3656"/>
      <c r="C78" s="3001" t="s">
        <v>2534</v>
      </c>
      <c r="D78" s="3001" t="s">
        <v>2535</v>
      </c>
      <c r="E78" s="3024">
        <v>0.15</v>
      </c>
      <c r="F78" s="3023">
        <v>20</v>
      </c>
    </row>
    <row r="79" spans="1:8" s="974" customFormat="1" ht="24">
      <c r="A79" s="3023">
        <v>7</v>
      </c>
      <c r="B79" s="3656"/>
      <c r="C79" s="3001" t="s">
        <v>2536</v>
      </c>
      <c r="D79" s="3001" t="s">
        <v>2537</v>
      </c>
      <c r="E79" s="3024">
        <v>0.15</v>
      </c>
      <c r="F79" s="3023">
        <v>20</v>
      </c>
    </row>
    <row r="80" spans="1:8" s="974" customFormat="1" ht="24">
      <c r="A80" s="3023">
        <v>8</v>
      </c>
      <c r="B80" s="3656"/>
      <c r="C80" s="3001" t="s">
        <v>2538</v>
      </c>
      <c r="D80" s="3001" t="s">
        <v>2539</v>
      </c>
      <c r="E80" s="3024">
        <v>0.1</v>
      </c>
      <c r="F80" s="3023">
        <v>15</v>
      </c>
    </row>
    <row r="81" spans="1:6" s="974" customFormat="1" ht="24">
      <c r="A81" s="3023">
        <v>9</v>
      </c>
      <c r="B81" s="3656"/>
      <c r="C81" s="3001" t="s">
        <v>2540</v>
      </c>
      <c r="D81" s="3001" t="s">
        <v>2541</v>
      </c>
      <c r="E81" s="3024">
        <v>0.1</v>
      </c>
      <c r="F81" s="3023">
        <v>15</v>
      </c>
    </row>
    <row r="82" spans="1:6" s="974" customFormat="1" ht="24">
      <c r="A82" s="3023">
        <v>10</v>
      </c>
      <c r="B82" s="3656"/>
      <c r="C82" s="3001" t="s">
        <v>2542</v>
      </c>
      <c r="D82" s="3001" t="s">
        <v>2543</v>
      </c>
      <c r="E82" s="3024">
        <v>0.1</v>
      </c>
      <c r="F82" s="3023">
        <v>15</v>
      </c>
    </row>
    <row r="83" spans="1:6" s="974" customFormat="1" ht="24">
      <c r="A83" s="3023">
        <v>11</v>
      </c>
      <c r="B83" s="3656"/>
      <c r="C83" s="3001" t="s">
        <v>2544</v>
      </c>
      <c r="D83" s="3001" t="s">
        <v>2545</v>
      </c>
      <c r="E83" s="3024">
        <v>0.1</v>
      </c>
      <c r="F83" s="3023">
        <v>15</v>
      </c>
    </row>
    <row r="84" spans="1:6" s="974" customFormat="1" ht="24">
      <c r="A84" s="3023">
        <v>12</v>
      </c>
      <c r="B84" s="3656"/>
      <c r="C84" s="3001" t="s">
        <v>2546</v>
      </c>
      <c r="D84" s="3001" t="s">
        <v>2547</v>
      </c>
      <c r="E84" s="3024">
        <v>0.1</v>
      </c>
      <c r="F84" s="3023">
        <v>15</v>
      </c>
    </row>
    <row r="85" spans="1:6" s="974" customFormat="1">
      <c r="A85" s="3023">
        <v>13</v>
      </c>
      <c r="B85" s="3656"/>
      <c r="C85" s="3001" t="s">
        <v>2548</v>
      </c>
      <c r="D85" s="3001" t="s">
        <v>2549</v>
      </c>
      <c r="E85" s="3024">
        <v>0.1</v>
      </c>
      <c r="F85" s="3023">
        <v>15</v>
      </c>
    </row>
    <row r="86" spans="1:6" s="974" customFormat="1">
      <c r="A86" s="3023">
        <v>14</v>
      </c>
      <c r="B86" s="3656"/>
      <c r="C86" s="3001" t="s">
        <v>2550</v>
      </c>
      <c r="D86" s="3001" t="s">
        <v>2551</v>
      </c>
      <c r="E86" s="3024">
        <v>0.1</v>
      </c>
      <c r="F86" s="3023">
        <v>15</v>
      </c>
    </row>
    <row r="87" spans="1:6" s="974" customFormat="1">
      <c r="A87" s="3023">
        <v>15</v>
      </c>
      <c r="B87" s="3656"/>
      <c r="C87" s="3001" t="s">
        <v>2552</v>
      </c>
      <c r="D87" s="3001" t="s">
        <v>2553</v>
      </c>
      <c r="E87" s="3024">
        <v>0.1</v>
      </c>
      <c r="F87" s="3023">
        <v>15</v>
      </c>
    </row>
    <row r="88" spans="1:6" s="974" customFormat="1" ht="24">
      <c r="A88" s="3023">
        <v>16</v>
      </c>
      <c r="B88" s="3656"/>
      <c r="C88" s="3001" t="s">
        <v>2554</v>
      </c>
      <c r="D88" s="3001" t="s">
        <v>2555</v>
      </c>
      <c r="E88" s="3024">
        <v>0.1</v>
      </c>
      <c r="F88" s="3023">
        <v>15</v>
      </c>
    </row>
    <row r="89" spans="1:6" s="974" customFormat="1" ht="24">
      <c r="A89" s="3023">
        <v>17</v>
      </c>
      <c r="B89" s="3655"/>
      <c r="C89" s="3001" t="s">
        <v>2556</v>
      </c>
      <c r="D89" s="3001" t="s">
        <v>2557</v>
      </c>
      <c r="E89" s="3024">
        <v>0.1</v>
      </c>
      <c r="F89" s="3023">
        <v>15</v>
      </c>
    </row>
    <row r="90" spans="1:6" s="974" customFormat="1">
      <c r="A90" s="3023">
        <v>18</v>
      </c>
      <c r="B90" s="3654" t="s">
        <v>2558</v>
      </c>
      <c r="C90" s="3001" t="s">
        <v>2559</v>
      </c>
      <c r="D90" s="3001" t="s">
        <v>2560</v>
      </c>
      <c r="E90" s="3024">
        <v>0.2</v>
      </c>
      <c r="F90" s="3023">
        <v>25</v>
      </c>
    </row>
    <row r="91" spans="1:6" s="974" customFormat="1" ht="24">
      <c r="A91" s="3023">
        <v>19</v>
      </c>
      <c r="B91" s="3656"/>
      <c r="C91" s="3001" t="s">
        <v>2561</v>
      </c>
      <c r="D91" s="3001" t="s">
        <v>2562</v>
      </c>
      <c r="E91" s="3024">
        <v>0.2</v>
      </c>
      <c r="F91" s="3023">
        <v>25</v>
      </c>
    </row>
    <row r="92" spans="1:6" s="974" customFormat="1">
      <c r="A92" s="3023">
        <v>20</v>
      </c>
      <c r="B92" s="3656"/>
      <c r="C92" s="3001" t="s">
        <v>2563</v>
      </c>
      <c r="D92" s="3001" t="s">
        <v>2564</v>
      </c>
      <c r="E92" s="3024">
        <v>0.15</v>
      </c>
      <c r="F92" s="3023">
        <v>20</v>
      </c>
    </row>
    <row r="93" spans="1:6" s="974" customFormat="1" ht="24">
      <c r="A93" s="3023">
        <v>21</v>
      </c>
      <c r="B93" s="3656"/>
      <c r="C93" s="3001" t="s">
        <v>2565</v>
      </c>
      <c r="D93" s="3001" t="s">
        <v>2566</v>
      </c>
      <c r="E93" s="3024">
        <v>0.15</v>
      </c>
      <c r="F93" s="3023">
        <v>20</v>
      </c>
    </row>
    <row r="94" spans="1:6" s="974" customFormat="1" ht="24">
      <c r="A94" s="3023">
        <v>22</v>
      </c>
      <c r="B94" s="3656"/>
      <c r="C94" s="3001" t="s">
        <v>2567</v>
      </c>
      <c r="D94" s="3001" t="s">
        <v>2568</v>
      </c>
      <c r="E94" s="3024">
        <v>0.15</v>
      </c>
      <c r="F94" s="3023">
        <v>20</v>
      </c>
    </row>
    <row r="95" spans="1:6" s="974" customFormat="1" ht="36">
      <c r="A95" s="3023">
        <v>23</v>
      </c>
      <c r="B95" s="3656"/>
      <c r="C95" s="3001" t="s">
        <v>2569</v>
      </c>
      <c r="D95" s="3001" t="s">
        <v>2570</v>
      </c>
      <c r="E95" s="3024">
        <v>0.15</v>
      </c>
      <c r="F95" s="3023">
        <v>20</v>
      </c>
    </row>
    <row r="96" spans="1:6" s="974" customFormat="1">
      <c r="A96" s="3023">
        <v>24</v>
      </c>
      <c r="B96" s="3656"/>
      <c r="C96" s="3001" t="s">
        <v>2571</v>
      </c>
      <c r="D96" s="3001" t="s">
        <v>2572</v>
      </c>
      <c r="E96" s="3024">
        <v>0.1</v>
      </c>
      <c r="F96" s="3023">
        <v>15</v>
      </c>
    </row>
    <row r="97" spans="1:6" s="974" customFormat="1" ht="24">
      <c r="A97" s="3023">
        <v>25</v>
      </c>
      <c r="B97" s="3656"/>
      <c r="C97" s="3001" t="s">
        <v>2573</v>
      </c>
      <c r="D97" s="3001" t="s">
        <v>2574</v>
      </c>
      <c r="E97" s="3024">
        <v>0.1</v>
      </c>
      <c r="F97" s="3023">
        <v>15</v>
      </c>
    </row>
    <row r="98" spans="1:6" s="974" customFormat="1" ht="24">
      <c r="A98" s="3023">
        <v>26</v>
      </c>
      <c r="B98" s="3656"/>
      <c r="C98" s="3001" t="s">
        <v>2575</v>
      </c>
      <c r="D98" s="3001" t="s">
        <v>2576</v>
      </c>
      <c r="E98" s="3024">
        <v>0.1</v>
      </c>
      <c r="F98" s="3023">
        <v>15</v>
      </c>
    </row>
    <row r="99" spans="1:6" s="974" customFormat="1" ht="24">
      <c r="A99" s="3023">
        <v>27</v>
      </c>
      <c r="B99" s="3656"/>
      <c r="C99" s="3001" t="s">
        <v>2577</v>
      </c>
      <c r="D99" s="3001" t="s">
        <v>2578</v>
      </c>
      <c r="E99" s="3024">
        <v>0.1</v>
      </c>
      <c r="F99" s="3023">
        <v>15</v>
      </c>
    </row>
    <row r="100" spans="1:6" s="974" customFormat="1" ht="24">
      <c r="A100" s="3023">
        <v>28</v>
      </c>
      <c r="B100" s="3656"/>
      <c r="C100" s="3001" t="s">
        <v>2579</v>
      </c>
      <c r="D100" s="3001" t="s">
        <v>2580</v>
      </c>
      <c r="E100" s="3024">
        <v>0.1</v>
      </c>
      <c r="F100" s="3023">
        <v>15</v>
      </c>
    </row>
    <row r="101" spans="1:6" s="974" customFormat="1" ht="24">
      <c r="A101" s="3023">
        <v>29</v>
      </c>
      <c r="B101" s="3656"/>
      <c r="C101" s="3001" t="s">
        <v>2581</v>
      </c>
      <c r="D101" s="3001" t="s">
        <v>2582</v>
      </c>
      <c r="E101" s="3024">
        <v>0.1</v>
      </c>
      <c r="F101" s="3023">
        <v>15</v>
      </c>
    </row>
    <row r="102" spans="1:6" s="974" customFormat="1" ht="24">
      <c r="A102" s="3023">
        <v>30</v>
      </c>
      <c r="B102" s="3656"/>
      <c r="C102" s="3001" t="s">
        <v>2583</v>
      </c>
      <c r="D102" s="3001" t="s">
        <v>2584</v>
      </c>
      <c r="E102" s="3024">
        <v>0.1</v>
      </c>
      <c r="F102" s="3023">
        <v>15</v>
      </c>
    </row>
    <row r="103" spans="1:6" s="974" customFormat="1" ht="24">
      <c r="A103" s="3023">
        <v>31</v>
      </c>
      <c r="B103" s="3656"/>
      <c r="C103" s="3001" t="s">
        <v>2585</v>
      </c>
      <c r="D103" s="3001" t="s">
        <v>2586</v>
      </c>
      <c r="E103" s="3024">
        <v>0.1</v>
      </c>
      <c r="F103" s="3023">
        <v>15</v>
      </c>
    </row>
    <row r="104" spans="1:6" s="974" customFormat="1" ht="24">
      <c r="A104" s="3023">
        <v>32</v>
      </c>
      <c r="B104" s="3656"/>
      <c r="C104" s="3001" t="s">
        <v>2587</v>
      </c>
      <c r="D104" s="3001" t="s">
        <v>2588</v>
      </c>
      <c r="E104" s="3024">
        <v>0.1</v>
      </c>
      <c r="F104" s="3023">
        <v>15</v>
      </c>
    </row>
    <row r="105" spans="1:6" s="974" customFormat="1" ht="24">
      <c r="A105" s="3023">
        <v>33</v>
      </c>
      <c r="B105" s="3656"/>
      <c r="C105" s="3001" t="s">
        <v>2589</v>
      </c>
      <c r="D105" s="3001" t="s">
        <v>2590</v>
      </c>
      <c r="E105" s="3024">
        <v>0.1</v>
      </c>
      <c r="F105" s="3023">
        <v>15</v>
      </c>
    </row>
    <row r="106" spans="1:6" s="974" customFormat="1" ht="24">
      <c r="A106" s="3023">
        <v>34</v>
      </c>
      <c r="B106" s="3655"/>
      <c r="C106" s="3001" t="s">
        <v>2591</v>
      </c>
      <c r="D106" s="3001" t="s">
        <v>2592</v>
      </c>
      <c r="E106" s="3024">
        <v>0.1</v>
      </c>
      <c r="F106" s="3023">
        <v>15</v>
      </c>
    </row>
    <row r="107" spans="1:6" s="974" customFormat="1" ht="24">
      <c r="A107" s="3023">
        <v>35</v>
      </c>
      <c r="B107" s="3654" t="s">
        <v>2593</v>
      </c>
      <c r="C107" s="3023" t="s">
        <v>2594</v>
      </c>
      <c r="D107" s="3001" t="s">
        <v>2595</v>
      </c>
      <c r="E107" s="3024">
        <v>0.15</v>
      </c>
      <c r="F107" s="3023">
        <v>20</v>
      </c>
    </row>
    <row r="108" spans="1:6" s="974" customFormat="1" ht="24">
      <c r="A108" s="3023">
        <v>36</v>
      </c>
      <c r="B108" s="3656"/>
      <c r="C108" s="3023" t="s">
        <v>2596</v>
      </c>
      <c r="D108" s="3001" t="s">
        <v>2597</v>
      </c>
      <c r="E108" s="3024">
        <v>0.15</v>
      </c>
      <c r="F108" s="3023">
        <v>20</v>
      </c>
    </row>
    <row r="109" spans="1:6" s="974" customFormat="1" ht="24">
      <c r="A109" s="3023">
        <v>37</v>
      </c>
      <c r="B109" s="3656"/>
      <c r="C109" s="3023" t="s">
        <v>2598</v>
      </c>
      <c r="D109" s="3001" t="s">
        <v>2599</v>
      </c>
      <c r="E109" s="3024">
        <v>0.15</v>
      </c>
      <c r="F109" s="3023">
        <v>20</v>
      </c>
    </row>
    <row r="110" spans="1:6" s="974" customFormat="1">
      <c r="A110" s="3023">
        <v>38</v>
      </c>
      <c r="B110" s="3656"/>
      <c r="C110" s="3023" t="s">
        <v>2600</v>
      </c>
      <c r="D110" s="3001" t="s">
        <v>2601</v>
      </c>
      <c r="E110" s="3024">
        <v>0.1</v>
      </c>
      <c r="F110" s="3023">
        <v>15</v>
      </c>
    </row>
    <row r="111" spans="1:6" s="974" customFormat="1" ht="24">
      <c r="A111" s="3023">
        <v>39</v>
      </c>
      <c r="B111" s="3656"/>
      <c r="C111" s="3023" t="s">
        <v>2602</v>
      </c>
      <c r="D111" s="3001" t="s">
        <v>2603</v>
      </c>
      <c r="E111" s="3024">
        <v>0.1</v>
      </c>
      <c r="F111" s="3023">
        <v>15</v>
      </c>
    </row>
    <row r="112" spans="1:6" s="974" customFormat="1" ht="24">
      <c r="A112" s="3023">
        <v>40</v>
      </c>
      <c r="B112" s="3655"/>
      <c r="C112" s="3023" t="s">
        <v>2604</v>
      </c>
      <c r="D112" s="3001" t="s">
        <v>2605</v>
      </c>
      <c r="E112" s="3024">
        <v>0.1</v>
      </c>
      <c r="F112" s="3023">
        <v>15</v>
      </c>
    </row>
    <row r="113" spans="1:6" s="974" customFormat="1" ht="24">
      <c r="A113" s="3023">
        <v>41</v>
      </c>
      <c r="B113" s="3653" t="s">
        <v>2606</v>
      </c>
      <c r="C113" s="3023" t="s">
        <v>2607</v>
      </c>
      <c r="D113" s="3001" t="s">
        <v>2608</v>
      </c>
      <c r="E113" s="3024">
        <v>0.1</v>
      </c>
      <c r="F113" s="3023">
        <v>15</v>
      </c>
    </row>
    <row r="114" spans="1:6" s="974" customFormat="1">
      <c r="A114" s="3023">
        <v>42</v>
      </c>
      <c r="B114" s="3653"/>
      <c r="C114" s="3023" t="s">
        <v>2609</v>
      </c>
      <c r="D114" s="3001" t="s">
        <v>2610</v>
      </c>
      <c r="E114" s="3024">
        <v>0.1</v>
      </c>
      <c r="F114" s="3023">
        <v>15</v>
      </c>
    </row>
    <row r="115" spans="1:6" s="974" customFormat="1" ht="24">
      <c r="A115" s="3023">
        <v>43</v>
      </c>
      <c r="B115" s="3653"/>
      <c r="C115" s="3023" t="s">
        <v>2611</v>
      </c>
      <c r="D115" s="3001" t="s">
        <v>2612</v>
      </c>
      <c r="E115" s="3024">
        <v>0.1</v>
      </c>
      <c r="F115" s="3023">
        <v>15</v>
      </c>
    </row>
    <row r="116" spans="1:6" s="974" customFormat="1" ht="24">
      <c r="A116" s="3023">
        <v>44</v>
      </c>
      <c r="B116" s="3654" t="s">
        <v>2613</v>
      </c>
      <c r="C116" s="3023" t="s">
        <v>2614</v>
      </c>
      <c r="D116" s="3001" t="s">
        <v>2615</v>
      </c>
      <c r="E116" s="3024">
        <v>0.1</v>
      </c>
      <c r="F116" s="3023">
        <v>15</v>
      </c>
    </row>
    <row r="117" spans="1:6" s="974" customFormat="1" ht="24">
      <c r="A117" s="3023">
        <v>45</v>
      </c>
      <c r="B117" s="3655"/>
      <c r="C117" s="3001" t="s">
        <v>2616</v>
      </c>
      <c r="D117" s="3001" t="s">
        <v>2617</v>
      </c>
      <c r="E117" s="3024">
        <v>0.1</v>
      </c>
      <c r="F117" s="3023">
        <v>15</v>
      </c>
    </row>
    <row r="118" spans="1:6" s="974" customFormat="1" ht="24">
      <c r="A118" s="3023">
        <v>46</v>
      </c>
      <c r="B118" s="3654" t="s">
        <v>2618</v>
      </c>
      <c r="C118" s="3023" t="s">
        <v>2619</v>
      </c>
      <c r="D118" s="3001" t="s">
        <v>2620</v>
      </c>
      <c r="E118" s="3024">
        <v>0.1</v>
      </c>
      <c r="F118" s="3023">
        <v>15</v>
      </c>
    </row>
    <row r="119" spans="1:6" s="974" customFormat="1" ht="24">
      <c r="A119" s="3023">
        <v>47</v>
      </c>
      <c r="B119" s="3655"/>
      <c r="C119" s="3023" t="s">
        <v>2621</v>
      </c>
      <c r="D119" s="3001" t="s">
        <v>2622</v>
      </c>
      <c r="E119" s="3024">
        <v>0.1</v>
      </c>
      <c r="F119" s="3023">
        <v>15</v>
      </c>
    </row>
    <row r="120" spans="1:6" s="974" customFormat="1" ht="24">
      <c r="A120" s="3023">
        <v>48</v>
      </c>
      <c r="B120" s="3654" t="s">
        <v>2623</v>
      </c>
      <c r="C120" s="3023" t="s">
        <v>2624</v>
      </c>
      <c r="D120" s="3001" t="s">
        <v>2625</v>
      </c>
      <c r="E120" s="3024">
        <v>0.1</v>
      </c>
      <c r="F120" s="3023">
        <v>15</v>
      </c>
    </row>
    <row r="121" spans="1:6" s="974" customFormat="1">
      <c r="A121" s="3023">
        <v>49</v>
      </c>
      <c r="B121" s="3655"/>
      <c r="C121" s="3023" t="s">
        <v>2626</v>
      </c>
      <c r="D121" s="3001" t="s">
        <v>2627</v>
      </c>
      <c r="E121" s="3024">
        <v>0.1</v>
      </c>
      <c r="F121" s="3023">
        <v>15</v>
      </c>
    </row>
    <row r="122" spans="1:6" s="974" customFormat="1" ht="24">
      <c r="A122" s="3023">
        <v>50</v>
      </c>
      <c r="B122" s="3653" t="s">
        <v>2628</v>
      </c>
      <c r="C122" s="3023" t="s">
        <v>2629</v>
      </c>
      <c r="D122" s="3001" t="s">
        <v>2630</v>
      </c>
      <c r="E122" s="3024">
        <v>0.1</v>
      </c>
      <c r="F122" s="3023">
        <v>15</v>
      </c>
    </row>
    <row r="123" spans="1:6" s="974" customFormat="1" ht="24">
      <c r="A123" s="3023">
        <v>51</v>
      </c>
      <c r="B123" s="3653"/>
      <c r="C123" s="3023" t="s">
        <v>2631</v>
      </c>
      <c r="D123" s="3001" t="s">
        <v>2632</v>
      </c>
      <c r="E123" s="3024">
        <v>0.1</v>
      </c>
      <c r="F123" s="3023">
        <v>15</v>
      </c>
    </row>
    <row r="124" spans="1:6" s="974" customFormat="1" ht="24">
      <c r="A124" s="3023">
        <v>52</v>
      </c>
      <c r="B124" s="3653" t="s">
        <v>2633</v>
      </c>
      <c r="C124" s="3023" t="s">
        <v>2634</v>
      </c>
      <c r="D124" s="3001" t="s">
        <v>2635</v>
      </c>
      <c r="E124" s="3024">
        <v>0.1</v>
      </c>
      <c r="F124" s="3023">
        <v>15</v>
      </c>
    </row>
    <row r="125" spans="1:6" s="974" customFormat="1" ht="24">
      <c r="A125" s="3023">
        <v>53</v>
      </c>
      <c r="B125" s="3653"/>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53" t="s">
        <v>2641</v>
      </c>
      <c r="C127" s="3023" t="s">
        <v>2642</v>
      </c>
      <c r="D127" s="3001" t="s">
        <v>2643</v>
      </c>
      <c r="E127" s="3024">
        <v>0.1</v>
      </c>
      <c r="F127" s="3023">
        <v>15</v>
      </c>
    </row>
    <row r="128" spans="1:6">
      <c r="A128" s="3023">
        <v>56</v>
      </c>
      <c r="B128" s="3653"/>
      <c r="C128" s="3023" t="s">
        <v>2644</v>
      </c>
      <c r="D128" s="3001" t="s">
        <v>2645</v>
      </c>
      <c r="E128" s="3024">
        <v>0.1</v>
      </c>
      <c r="F128" s="3023">
        <v>15</v>
      </c>
    </row>
    <row r="129" spans="1:14" ht="24">
      <c r="A129" s="3023">
        <v>57</v>
      </c>
      <c r="B129" s="3653"/>
      <c r="C129" s="3023" t="s">
        <v>2646</v>
      </c>
      <c r="D129" s="3001" t="s">
        <v>2647</v>
      </c>
      <c r="E129" s="3024">
        <v>0.1</v>
      </c>
      <c r="F129" s="3023">
        <v>15</v>
      </c>
    </row>
    <row r="130" spans="1:14" ht="24">
      <c r="A130" s="3023">
        <v>58</v>
      </c>
      <c r="B130" s="3653" t="s">
        <v>2648</v>
      </c>
      <c r="C130" s="3023" t="s">
        <v>2649</v>
      </c>
      <c r="D130" s="3001" t="s">
        <v>2650</v>
      </c>
      <c r="E130" s="3024">
        <v>0.1</v>
      </c>
      <c r="F130" s="3023">
        <v>15</v>
      </c>
    </row>
    <row r="131" spans="1:14" ht="24">
      <c r="A131" s="3023">
        <v>59</v>
      </c>
      <c r="B131" s="3653"/>
      <c r="C131" s="3023" t="s">
        <v>2651</v>
      </c>
      <c r="D131" s="3001" t="s">
        <v>2652</v>
      </c>
      <c r="E131" s="3024">
        <v>0.1</v>
      </c>
      <c r="F131" s="3023">
        <v>15</v>
      </c>
    </row>
    <row r="132" spans="1:14" ht="24">
      <c r="A132" s="3023">
        <v>60</v>
      </c>
      <c r="B132" s="3654" t="s">
        <v>2653</v>
      </c>
      <c r="C132" s="3023" t="s">
        <v>2654</v>
      </c>
      <c r="D132" s="3001" t="s">
        <v>2655</v>
      </c>
      <c r="E132" s="3024">
        <v>0.1</v>
      </c>
      <c r="F132" s="3023">
        <v>15</v>
      </c>
    </row>
    <row r="133" spans="1:14" ht="24">
      <c r="A133" s="3023">
        <v>61</v>
      </c>
      <c r="B133" s="3655"/>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53" t="s">
        <v>2661</v>
      </c>
      <c r="C135" s="3023" t="s">
        <v>2662</v>
      </c>
      <c r="D135" s="3001" t="s">
        <v>2663</v>
      </c>
      <c r="E135" s="3024">
        <v>0.1</v>
      </c>
      <c r="F135" s="3023">
        <v>15</v>
      </c>
    </row>
    <row r="136" spans="1:14">
      <c r="A136" s="3023">
        <v>64</v>
      </c>
      <c r="B136" s="3653"/>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5" t="s">
        <v>2809</v>
      </c>
      <c r="B1" s="3665"/>
      <c r="C1" s="3665"/>
      <c r="D1" s="3665"/>
      <c r="E1" s="3665"/>
      <c r="F1" s="3665"/>
      <c r="G1" s="3666"/>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67"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68"/>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9" t="s">
        <v>3184</v>
      </c>
      <c r="B1" s="3669"/>
      <c r="C1" s="3669"/>
      <c r="D1" s="3669"/>
      <c r="E1" s="3669"/>
      <c r="F1" s="3670"/>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1" t="s">
        <v>3022</v>
      </c>
      <c r="B1" s="3671"/>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74" t="s">
        <v>1858</v>
      </c>
      <c r="C1" s="3674"/>
      <c r="D1" s="3674"/>
      <c r="E1" s="3674"/>
      <c r="F1" s="3674"/>
      <c r="G1" s="3673" t="s">
        <v>1859</v>
      </c>
      <c r="H1" s="3673"/>
      <c r="I1" s="3673"/>
      <c r="J1" s="3673"/>
      <c r="K1" s="3673"/>
      <c r="L1" s="3673"/>
      <c r="N1" s="3673" t="s">
        <v>1860</v>
      </c>
      <c r="O1" s="3673"/>
      <c r="P1" s="3673"/>
      <c r="Q1" s="3673"/>
      <c r="S1" s="3673" t="s">
        <v>1861</v>
      </c>
      <c r="T1" s="3673"/>
      <c r="U1" s="3673"/>
      <c r="V1" s="3673"/>
      <c r="X1" s="3672" t="s">
        <v>1921</v>
      </c>
      <c r="Y1" s="3673"/>
      <c r="Z1" s="3673"/>
      <c r="AA1" s="3673"/>
      <c r="AB1" s="3673"/>
      <c r="AD1" s="3672" t="s">
        <v>1925</v>
      </c>
      <c r="AE1" s="3673"/>
      <c r="AF1" s="3673"/>
      <c r="AG1" s="3673"/>
      <c r="AH1" s="3673"/>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76">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76"/>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76"/>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82"/>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81">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76"/>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76"/>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82"/>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81">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76"/>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76"/>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77"/>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5">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76"/>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76"/>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77"/>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5">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76"/>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76"/>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77"/>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78">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79"/>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79"/>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0"/>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5">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76"/>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76"/>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77"/>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5">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76">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76">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77">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5">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76">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76">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77">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5">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76">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76">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77">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5">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76">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76">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77">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5">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76">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76">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77">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5">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76">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76">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77">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5">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76">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76">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77">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5">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76">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76">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77">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5">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76">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76">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77">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5">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76">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76">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77">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45541</v>
      </c>
      <c r="B1" s="3088" t="s">
        <v>2785</v>
      </c>
      <c r="C1" s="3089"/>
      <c r="D1" s="3089"/>
      <c r="E1" s="3089"/>
      <c r="F1" s="3089"/>
      <c r="G1" s="3089"/>
      <c r="H1" s="3089"/>
      <c r="I1" s="3089"/>
      <c r="J1" s="3090"/>
      <c r="K1" s="3089" t="s">
        <v>2786</v>
      </c>
      <c r="L1" s="3089"/>
      <c r="M1" s="3089"/>
      <c r="N1" s="3089"/>
      <c r="O1" s="3089"/>
      <c r="P1" s="3089"/>
      <c r="Q1" s="3090"/>
      <c r="R1" s="3683" t="s">
        <v>2795</v>
      </c>
      <c r="S1" s="3684"/>
      <c r="T1" s="3684"/>
      <c r="U1" s="3684"/>
      <c r="V1" s="3684"/>
      <c r="W1" s="3684"/>
      <c r="X1" s="3090"/>
      <c r="Y1" s="3683" t="s">
        <v>2806</v>
      </c>
      <c r="Z1" s="3684"/>
      <c r="AA1" s="3684"/>
      <c r="AB1" s="3684"/>
      <c r="AC1" s="3684"/>
      <c r="AD1" s="3684"/>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3" t="s">
        <v>2802</v>
      </c>
      <c r="S24" s="3684"/>
      <c r="T24" s="3684"/>
      <c r="U24" s="3684"/>
      <c r="V24" s="3684"/>
      <c r="W24" s="3684"/>
      <c r="X24" s="3090"/>
      <c r="Y24" s="3683" t="s">
        <v>1925</v>
      </c>
      <c r="Z24" s="3684"/>
      <c r="AA24" s="3684"/>
      <c r="AB24" s="3684"/>
      <c r="AC24" s="3684"/>
      <c r="AD24" s="3684"/>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86" t="s">
        <v>1807</v>
      </c>
      <c r="C8" s="1516">
        <f ca="1">ROUND(F8*F10*F9*(1-F11)/10000,0)</f>
        <v>0</v>
      </c>
      <c r="D8" s="317" t="s">
        <v>1817</v>
      </c>
      <c r="E8" s="57" t="s">
        <v>585</v>
      </c>
      <c r="F8" s="720">
        <f ca="1">INDIRECT("'数据-取费表'!u"&amp;$G$1)</f>
        <v>0</v>
      </c>
      <c r="G8" s="1145"/>
      <c r="H8" s="2009" t="s">
        <v>1353</v>
      </c>
      <c r="I8" s="3686" t="s">
        <v>1807</v>
      </c>
      <c r="J8" s="718">
        <f ca="1">ROUND(M8*M10*M9*(1-M11)/10000,0)</f>
        <v>0</v>
      </c>
      <c r="K8" s="315" t="s">
        <v>1817</v>
      </c>
      <c r="L8" s="719" t="s">
        <v>1267</v>
      </c>
      <c r="M8" s="720">
        <f ca="1">INDIRECT("'数据-取费表'!z"&amp;$G$1)</f>
        <v>0</v>
      </c>
    </row>
    <row r="9" spans="1:25" ht="18" customHeight="1">
      <c r="A9" s="2005"/>
      <c r="B9" s="3687"/>
      <c r="C9" s="1517"/>
      <c r="D9" s="330"/>
      <c r="E9" s="57" t="s">
        <v>586</v>
      </c>
      <c r="F9" s="720">
        <f ca="1">IF(INDIRECT("'数据-取费表'!ah"&amp;$G$1)="",INDIRECT("'数据-取费表'!k"&amp;$G$1),INDIRECT("'数据-取费表'!ah"&amp;$G$1))</f>
        <v>0</v>
      </c>
      <c r="G9" s="1145"/>
      <c r="H9" s="1994"/>
      <c r="I9" s="3687"/>
      <c r="J9" s="723"/>
      <c r="K9" s="724"/>
      <c r="L9" s="719" t="s">
        <v>1268</v>
      </c>
      <c r="M9" s="720">
        <f ca="1">F9</f>
        <v>0</v>
      </c>
    </row>
    <row r="10" spans="1:25" ht="18" customHeight="1">
      <c r="A10" s="1998"/>
      <c r="B10" s="3688"/>
      <c r="C10" s="1517"/>
      <c r="D10" s="330"/>
      <c r="E10" s="57" t="s">
        <v>587</v>
      </c>
      <c r="F10" s="720">
        <f ca="1">INDIRECT("'数据-取费表'!ai"&amp;$G$1)</f>
        <v>0</v>
      </c>
      <c r="G10" s="1145"/>
      <c r="H10" s="1994"/>
      <c r="I10" s="3688"/>
      <c r="J10" s="723"/>
      <c r="K10" s="724"/>
      <c r="L10" s="719" t="s">
        <v>1269</v>
      </c>
      <c r="M10" s="720">
        <f ca="1">INDIRECT("'数据-取费表'!ai"&amp;$G$1)</f>
        <v>0</v>
      </c>
    </row>
    <row r="11" spans="1:25" ht="18" customHeight="1">
      <c r="A11" s="721"/>
      <c r="B11" s="3689"/>
      <c r="C11" s="1517"/>
      <c r="D11" s="330"/>
      <c r="E11" s="57" t="s">
        <v>588</v>
      </c>
      <c r="F11" s="729">
        <f ca="1">INDIRECT("'数据-取费表'!w"&amp;$G$1)</f>
        <v>0</v>
      </c>
      <c r="G11" s="1145"/>
      <c r="H11" s="2010"/>
      <c r="I11" s="3688"/>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6.9999999999999999E-4</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5"/>
      <c r="J36" s="1690"/>
      <c r="K36" s="1691"/>
      <c r="L36" s="1690"/>
      <c r="M36" s="1690"/>
    </row>
    <row r="37" spans="1:18" ht="18" customHeight="1">
      <c r="A37" s="749"/>
      <c r="B37" s="728"/>
      <c r="C37" s="65"/>
      <c r="D37" s="750"/>
      <c r="E37" s="719" t="s">
        <v>621</v>
      </c>
      <c r="F37" s="720">
        <f ca="1">INDIRECT("'数据-取费表'!r"&amp;$G$1)</f>
        <v>0</v>
      </c>
      <c r="G37" s="1668"/>
      <c r="H37" s="1677"/>
      <c r="I37" s="3685"/>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v>
      </c>
      <c r="K54" s="3690"/>
      <c r="L54" s="3691"/>
      <c r="O54" s="1960" t="s">
        <v>1742</v>
      </c>
      <c r="P54" s="1958" t="s">
        <v>1743</v>
      </c>
      <c r="Q54" s="1959">
        <f ca="1">J54</f>
        <v>-2</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9" zoomScaleNormal="60" zoomScaleSheetLayoutView="100" workbookViewId="0">
      <selection activeCell="M43" sqref="M43"/>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3530</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111317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34447</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6" t="s">
        <v>471</v>
      </c>
      <c r="D4" s="3607"/>
      <c r="E4" s="3632" t="s">
        <v>472</v>
      </c>
      <c r="F4" s="3633"/>
      <c r="G4" s="3606" t="s">
        <v>473</v>
      </c>
      <c r="H4" s="3607"/>
      <c r="I4" s="3606" t="s">
        <v>474</v>
      </c>
      <c r="J4" s="3607"/>
      <c r="K4" s="787" t="s">
        <v>475</v>
      </c>
      <c r="L4" s="1741"/>
      <c r="M4" s="1742"/>
      <c r="N4" s="1742"/>
      <c r="O4" s="1742"/>
      <c r="P4" s="3608" t="s">
        <v>476</v>
      </c>
      <c r="Q4" s="3609"/>
      <c r="R4" s="3592" t="s">
        <v>472</v>
      </c>
      <c r="S4" s="3593"/>
      <c r="T4" s="3592" t="s">
        <v>473</v>
      </c>
      <c r="U4" s="3593"/>
      <c r="V4" s="3614" t="s">
        <v>474</v>
      </c>
      <c r="W4" s="3614"/>
      <c r="X4" s="1302"/>
      <c r="Y4" s="3592" t="s">
        <v>476</v>
      </c>
      <c r="Z4" s="3593"/>
      <c r="AA4" s="3587" t="s">
        <v>472</v>
      </c>
      <c r="AB4" s="3587" t="s">
        <v>473</v>
      </c>
      <c r="AC4" s="3587" t="s">
        <v>474</v>
      </c>
    </row>
    <row r="5" spans="1:29" ht="15">
      <c r="A5" s="466"/>
      <c r="B5" s="467"/>
      <c r="C5" s="3617" t="s">
        <v>2186</v>
      </c>
      <c r="D5" s="3618"/>
      <c r="E5" s="3692" t="s">
        <v>3509</v>
      </c>
      <c r="F5" s="3635"/>
      <c r="G5" s="3693" t="s">
        <v>3527</v>
      </c>
      <c r="H5" s="3618"/>
      <c r="I5" s="3693" t="s">
        <v>3528</v>
      </c>
      <c r="J5" s="3618"/>
      <c r="K5" s="788"/>
      <c r="L5" s="1741"/>
      <c r="M5" s="1742"/>
      <c r="N5" s="1742"/>
      <c r="O5" s="1742"/>
      <c r="P5" s="3610"/>
      <c r="Q5" s="3611"/>
      <c r="R5" s="3594"/>
      <c r="S5" s="3595"/>
      <c r="T5" s="3594"/>
      <c r="U5" s="3595"/>
      <c r="V5" s="3614"/>
      <c r="W5" s="3614"/>
      <c r="X5" s="1302"/>
      <c r="Y5" s="3594"/>
      <c r="Z5" s="3595"/>
      <c r="AA5" s="3588"/>
      <c r="AB5" s="3588"/>
      <c r="AC5" s="3588"/>
    </row>
    <row r="6" spans="1:29" ht="15.75" thickBot="1">
      <c r="A6" s="468"/>
      <c r="B6" s="469"/>
      <c r="C6" s="3615" t="s">
        <v>2190</v>
      </c>
      <c r="D6" s="3616"/>
      <c r="E6" s="3636" t="s">
        <v>2190</v>
      </c>
      <c r="F6" s="3637"/>
      <c r="G6" s="3615" t="s">
        <v>2190</v>
      </c>
      <c r="H6" s="3616"/>
      <c r="I6" s="3615" t="s">
        <v>2190</v>
      </c>
      <c r="J6" s="3616"/>
      <c r="K6" s="788" t="s">
        <v>477</v>
      </c>
      <c r="L6" s="1741"/>
      <c r="M6" s="1742"/>
      <c r="N6" s="1742"/>
      <c r="O6" s="1742"/>
      <c r="P6" s="3612"/>
      <c r="Q6" s="3613"/>
      <c r="R6" s="3594"/>
      <c r="S6" s="3595"/>
      <c r="T6" s="3596"/>
      <c r="U6" s="3597"/>
      <c r="V6" s="3614"/>
      <c r="W6" s="3614"/>
      <c r="X6" s="1302"/>
      <c r="Y6" s="3596"/>
      <c r="Z6" s="3597"/>
      <c r="AA6" s="3589"/>
      <c r="AB6" s="3589"/>
      <c r="AC6" s="3589"/>
    </row>
    <row r="7" spans="1:29" s="1060" customFormat="1" ht="15.75" thickBot="1">
      <c r="A7" s="2208"/>
      <c r="B7" s="2215" t="s">
        <v>478</v>
      </c>
      <c r="C7" s="470">
        <f>'数据-取费表'!B2</f>
        <v>45541</v>
      </c>
      <c r="D7" s="471">
        <v>100</v>
      </c>
      <c r="E7" s="472">
        <v>45536</v>
      </c>
      <c r="F7" s="473">
        <f>SUMIF(58:58,YEAR(E7)&amp;"-"&amp;MONTH(E7),59:59)</f>
        <v>100</v>
      </c>
      <c r="G7" s="472">
        <v>45536</v>
      </c>
      <c r="H7" s="471">
        <f>SUMIF(58:58,YEAR(G7)&amp;"-"&amp;MONTH(G7),59:59)</f>
        <v>100</v>
      </c>
      <c r="I7" s="472">
        <v>45536</v>
      </c>
      <c r="J7" s="471">
        <f>SUMIF(58:58,YEAR(I7)&amp;"-"&amp;MONTH(I7),59:59)</f>
        <v>100</v>
      </c>
      <c r="K7" s="789"/>
      <c r="L7" s="1743"/>
      <c r="M7" s="1640"/>
      <c r="N7" s="1640"/>
      <c r="O7" s="1640"/>
      <c r="P7" s="3590" t="s">
        <v>479</v>
      </c>
      <c r="Q7" s="3599"/>
      <c r="R7" s="1303" t="s">
        <v>10</v>
      </c>
      <c r="S7" s="1304">
        <f t="shared" ref="S7:S15" si="0">F7</f>
        <v>100</v>
      </c>
      <c r="T7" s="1303" t="s">
        <v>10</v>
      </c>
      <c r="U7" s="1304">
        <f t="shared" ref="U7:U15" si="1">H7</f>
        <v>100</v>
      </c>
      <c r="V7" s="1303" t="s">
        <v>10</v>
      </c>
      <c r="W7" s="1304">
        <f t="shared" ref="W7:W15" si="2">J7</f>
        <v>100</v>
      </c>
      <c r="X7" s="1305"/>
      <c r="Y7" s="3590" t="s">
        <v>479</v>
      </c>
      <c r="Z7" s="3591"/>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590" t="s">
        <v>482</v>
      </c>
      <c r="Q8" s="3591"/>
      <c r="R8" s="1303" t="s">
        <v>10</v>
      </c>
      <c r="S8" s="1304">
        <f t="shared" si="0"/>
        <v>100</v>
      </c>
      <c r="T8" s="1303" t="s">
        <v>10</v>
      </c>
      <c r="U8" s="1304">
        <f t="shared" si="1"/>
        <v>100</v>
      </c>
      <c r="V8" s="1303" t="s">
        <v>10</v>
      </c>
      <c r="W8" s="1304">
        <f t="shared" si="2"/>
        <v>100</v>
      </c>
      <c r="X8" s="1305"/>
      <c r="Y8" s="3590" t="s">
        <v>482</v>
      </c>
      <c r="Z8" s="3591"/>
      <c r="AA8" s="997">
        <f t="shared" ref="AA8:AA46" si="3">D8/F8</f>
        <v>1</v>
      </c>
      <c r="AB8" s="997">
        <f t="shared" ref="AB8:AB46" si="4">D8/H8</f>
        <v>1</v>
      </c>
      <c r="AC8" s="997">
        <f t="shared" ref="AC8:AC46" si="5">D8/J8</f>
        <v>1</v>
      </c>
    </row>
    <row r="9" spans="1:29" s="1060" customFormat="1" ht="15">
      <c r="A9" s="2210"/>
      <c r="B9" s="2217" t="s">
        <v>2038</v>
      </c>
      <c r="C9" s="3409" t="s">
        <v>3510</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50"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50"/>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98</v>
      </c>
      <c r="K11" s="794">
        <v>2</v>
      </c>
      <c r="L11" s="1747"/>
      <c r="M11" s="1742"/>
      <c r="N11" s="1742"/>
      <c r="O11" s="1748"/>
      <c r="P11" s="3598"/>
      <c r="Q11" s="818" t="str">
        <f t="shared" si="6"/>
        <v>容积率</v>
      </c>
      <c r="R11" s="1303" t="s">
        <v>8</v>
      </c>
      <c r="S11" s="1304">
        <f t="shared" si="0"/>
        <v>100</v>
      </c>
      <c r="T11" s="1303" t="s">
        <v>8</v>
      </c>
      <c r="U11" s="1304">
        <f t="shared" si="1"/>
        <v>100</v>
      </c>
      <c r="V11" s="1303" t="s">
        <v>8</v>
      </c>
      <c r="W11" s="1304">
        <f t="shared" si="2"/>
        <v>98</v>
      </c>
      <c r="X11" s="1305"/>
      <c r="Y11" s="3550"/>
      <c r="Z11" s="997" t="str">
        <f t="shared" si="7"/>
        <v>容积率</v>
      </c>
      <c r="AA11" s="997">
        <f t="shared" si="3"/>
        <v>1</v>
      </c>
      <c r="AB11" s="997">
        <f t="shared" si="4"/>
        <v>1</v>
      </c>
      <c r="AC11" s="997">
        <f t="shared" si="5"/>
        <v>1.0204081632653061</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8"/>
      <c r="Q12" s="818">
        <f t="shared" si="6"/>
        <v>111</v>
      </c>
      <c r="R12" s="1303" t="s">
        <v>8</v>
      </c>
      <c r="S12" s="1304">
        <f t="shared" si="0"/>
        <v>100</v>
      </c>
      <c r="T12" s="1303" t="s">
        <v>8</v>
      </c>
      <c r="U12" s="1304">
        <f t="shared" si="1"/>
        <v>100</v>
      </c>
      <c r="V12" s="1303" t="s">
        <v>8</v>
      </c>
      <c r="W12" s="1304">
        <f t="shared" si="2"/>
        <v>100</v>
      </c>
      <c r="X12" s="1305"/>
      <c r="Y12" s="3550"/>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8"/>
      <c r="Q13" s="818">
        <f t="shared" si="6"/>
        <v>111</v>
      </c>
      <c r="R13" s="1303" t="s">
        <v>8</v>
      </c>
      <c r="S13" s="1304">
        <f t="shared" si="0"/>
        <v>100</v>
      </c>
      <c r="T13" s="1303" t="s">
        <v>8</v>
      </c>
      <c r="U13" s="1304">
        <f t="shared" si="1"/>
        <v>100</v>
      </c>
      <c r="V13" s="1303" t="s">
        <v>8</v>
      </c>
      <c r="W13" s="1304">
        <f t="shared" si="2"/>
        <v>100</v>
      </c>
      <c r="X13" s="1305"/>
      <c r="Y13" s="3550"/>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8"/>
      <c r="Q14" s="818">
        <f t="shared" si="6"/>
        <v>111</v>
      </c>
      <c r="R14" s="1303" t="s">
        <v>8</v>
      </c>
      <c r="S14" s="1304">
        <f t="shared" si="0"/>
        <v>100</v>
      </c>
      <c r="T14" s="1303" t="s">
        <v>8</v>
      </c>
      <c r="U14" s="1304">
        <f t="shared" si="1"/>
        <v>100</v>
      </c>
      <c r="V14" s="1303" t="s">
        <v>8</v>
      </c>
      <c r="W14" s="1304">
        <f t="shared" si="2"/>
        <v>100</v>
      </c>
      <c r="X14" s="1305"/>
      <c r="Y14" s="3550"/>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f>'比较法-住宅、综合'!K17</f>
        <v>3</v>
      </c>
      <c r="L15" s="1749"/>
      <c r="M15" s="1742"/>
      <c r="N15" s="1742"/>
      <c r="O15" s="1748"/>
      <c r="P15" s="3600" t="s">
        <v>489</v>
      </c>
      <c r="Q15" s="1306" t="str">
        <f t="shared" si="6"/>
        <v>居住社区成熟度</v>
      </c>
      <c r="R15" s="1307" t="s">
        <v>8</v>
      </c>
      <c r="S15" s="1308">
        <f t="shared" si="0"/>
        <v>103</v>
      </c>
      <c r="T15" s="1307" t="s">
        <v>8</v>
      </c>
      <c r="U15" s="1308">
        <f t="shared" si="1"/>
        <v>100</v>
      </c>
      <c r="V15" s="1307" t="s">
        <v>8</v>
      </c>
      <c r="W15" s="1308">
        <f t="shared" si="2"/>
        <v>103</v>
      </c>
      <c r="X15" s="1302"/>
      <c r="Y15" s="3600" t="s">
        <v>489</v>
      </c>
      <c r="Z15" s="1309" t="str">
        <f t="shared" si="7"/>
        <v>居住社区成熟度</v>
      </c>
      <c r="AA15" s="1309">
        <f t="shared" si="3"/>
        <v>0.970873786407767</v>
      </c>
      <c r="AB15" s="1309">
        <f t="shared" si="4"/>
        <v>1</v>
      </c>
      <c r="AC15" s="1309">
        <f t="shared" si="5"/>
        <v>0.970873786407767</v>
      </c>
    </row>
    <row r="16" spans="1:29" ht="15">
      <c r="A16" s="482"/>
      <c r="B16" s="799"/>
      <c r="C16" s="526" t="s">
        <v>3356</v>
      </c>
      <c r="D16" s="505"/>
      <c r="E16" s="506" t="s">
        <v>3501</v>
      </c>
      <c r="F16" s="507"/>
      <c r="G16" s="526" t="s">
        <v>3356</v>
      </c>
      <c r="H16" s="509"/>
      <c r="I16" s="526" t="s">
        <v>3501</v>
      </c>
      <c r="J16" s="505"/>
      <c r="K16" s="800"/>
      <c r="L16" s="1749"/>
      <c r="M16" s="1742"/>
      <c r="N16" s="1742"/>
      <c r="O16" s="1748"/>
      <c r="P16" s="3601"/>
      <c r="Q16" s="1306"/>
      <c r="R16" s="1307"/>
      <c r="S16" s="1308"/>
      <c r="T16" s="1307"/>
      <c r="U16" s="1308"/>
      <c r="V16" s="1307"/>
      <c r="W16" s="1308"/>
      <c r="X16" s="1302"/>
      <c r="Y16" s="3601"/>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01"/>
      <c r="Q17" s="1306" t="str">
        <f>B17</f>
        <v>交通便捷度</v>
      </c>
      <c r="R17" s="1307" t="s">
        <v>8</v>
      </c>
      <c r="S17" s="1308">
        <f>F17</f>
        <v>100</v>
      </c>
      <c r="T17" s="1307" t="s">
        <v>8</v>
      </c>
      <c r="U17" s="1308">
        <f>H17</f>
        <v>100</v>
      </c>
      <c r="V17" s="1307" t="s">
        <v>8</v>
      </c>
      <c r="W17" s="1308">
        <f>J17</f>
        <v>100</v>
      </c>
      <c r="X17" s="1302"/>
      <c r="Y17" s="3601"/>
      <c r="Z17" s="1309" t="str">
        <f>Q17</f>
        <v>交通便捷度</v>
      </c>
      <c r="AA17" s="1309">
        <f t="shared" si="3"/>
        <v>1</v>
      </c>
      <c r="AB17" s="1309">
        <f t="shared" si="4"/>
        <v>1</v>
      </c>
      <c r="AC17" s="1309">
        <f t="shared" si="5"/>
        <v>1</v>
      </c>
    </row>
    <row r="18" spans="1:29" ht="15">
      <c r="A18" s="482"/>
      <c r="B18" s="544"/>
      <c r="C18" s="802" t="s">
        <v>3356</v>
      </c>
      <c r="D18" s="509"/>
      <c r="E18" s="802" t="s">
        <v>3356</v>
      </c>
      <c r="F18" s="513"/>
      <c r="G18" s="526" t="s">
        <v>3356</v>
      </c>
      <c r="H18" s="505"/>
      <c r="I18" s="526" t="s">
        <v>3356</v>
      </c>
      <c r="J18" s="505"/>
      <c r="K18" s="800"/>
      <c r="L18" s="1749"/>
      <c r="M18" s="1742"/>
      <c r="N18" s="1742"/>
      <c r="O18" s="1748"/>
      <c r="P18" s="3601"/>
      <c r="Q18" s="1306"/>
      <c r="R18" s="1307"/>
      <c r="S18" s="1308"/>
      <c r="T18" s="1307"/>
      <c r="U18" s="1308"/>
      <c r="V18" s="1307"/>
      <c r="W18" s="1308"/>
      <c r="X18" s="1302"/>
      <c r="Y18" s="3601"/>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01"/>
      <c r="Q19" s="1306" t="str">
        <f>B19</f>
        <v>公共配套设施</v>
      </c>
      <c r="R19" s="1307" t="s">
        <v>8</v>
      </c>
      <c r="S19" s="1308">
        <f>F19</f>
        <v>100</v>
      </c>
      <c r="T19" s="1307" t="s">
        <v>8</v>
      </c>
      <c r="U19" s="1308">
        <f>H19</f>
        <v>100</v>
      </c>
      <c r="V19" s="1307" t="s">
        <v>8</v>
      </c>
      <c r="W19" s="1308">
        <f>J19</f>
        <v>100</v>
      </c>
      <c r="X19" s="1302"/>
      <c r="Y19" s="3601"/>
      <c r="Z19" s="1309" t="str">
        <f>Q19</f>
        <v>公共配套设施</v>
      </c>
      <c r="AA19" s="1309">
        <f t="shared" si="3"/>
        <v>1</v>
      </c>
      <c r="AB19" s="1309">
        <f t="shared" si="4"/>
        <v>1</v>
      </c>
      <c r="AC19" s="1309">
        <f t="shared" si="5"/>
        <v>1</v>
      </c>
    </row>
    <row r="20" spans="1:29" ht="15">
      <c r="A20" s="482"/>
      <c r="B20" s="544"/>
      <c r="C20" s="802" t="s">
        <v>3356</v>
      </c>
      <c r="D20" s="505"/>
      <c r="E20" s="802" t="s">
        <v>3356</v>
      </c>
      <c r="F20" s="507"/>
      <c r="G20" s="526" t="s">
        <v>3356</v>
      </c>
      <c r="H20" s="505"/>
      <c r="I20" s="526" t="s">
        <v>3356</v>
      </c>
      <c r="J20" s="505"/>
      <c r="K20" s="800"/>
      <c r="L20" s="1749"/>
      <c r="M20" s="1742"/>
      <c r="N20" s="1742"/>
      <c r="O20" s="1748"/>
      <c r="P20" s="3601"/>
      <c r="Q20" s="1306"/>
      <c r="R20" s="1307"/>
      <c r="S20" s="1308"/>
      <c r="T20" s="1307"/>
      <c r="U20" s="1308"/>
      <c r="V20" s="1307"/>
      <c r="W20" s="1308"/>
      <c r="X20" s="1302"/>
      <c r="Y20" s="3601"/>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01"/>
      <c r="Q21" s="1306" t="str">
        <f>B21</f>
        <v>基础设施水平</v>
      </c>
      <c r="R21" s="1307" t="s">
        <v>8</v>
      </c>
      <c r="S21" s="1308">
        <f>F21</f>
        <v>100</v>
      </c>
      <c r="T21" s="1307" t="s">
        <v>8</v>
      </c>
      <c r="U21" s="1308">
        <f>H21</f>
        <v>100</v>
      </c>
      <c r="V21" s="1307" t="s">
        <v>8</v>
      </c>
      <c r="W21" s="1308">
        <f>J21</f>
        <v>100</v>
      </c>
      <c r="X21" s="1302"/>
      <c r="Y21" s="3601"/>
      <c r="Z21" s="1309" t="str">
        <f>Q21</f>
        <v>基础设施水平</v>
      </c>
      <c r="AA21" s="1309">
        <f>D21/F21</f>
        <v>1</v>
      </c>
      <c r="AB21" s="1309">
        <f>D21/H21</f>
        <v>1</v>
      </c>
      <c r="AC21" s="1309">
        <f>D21/J21</f>
        <v>1</v>
      </c>
    </row>
    <row r="22" spans="1:29" ht="15">
      <c r="A22" s="482"/>
      <c r="B22" s="844"/>
      <c r="C22" s="802" t="s">
        <v>3503</v>
      </c>
      <c r="D22" s="505"/>
      <c r="E22" s="802" t="s">
        <v>3503</v>
      </c>
      <c r="F22" s="507"/>
      <c r="G22" s="802" t="s">
        <v>3503</v>
      </c>
      <c r="H22" s="505"/>
      <c r="I22" s="802" t="s">
        <v>3503</v>
      </c>
      <c r="J22" s="505"/>
      <c r="K22" s="2058"/>
      <c r="L22" s="1749"/>
      <c r="M22" s="1742"/>
      <c r="N22" s="1742"/>
      <c r="O22" s="1748"/>
      <c r="P22" s="3601"/>
      <c r="Q22" s="1306"/>
      <c r="R22" s="1307"/>
      <c r="S22" s="1308"/>
      <c r="T22" s="1307"/>
      <c r="U22" s="1308"/>
      <c r="V22" s="1307"/>
      <c r="W22" s="1308"/>
      <c r="X22" s="1302"/>
      <c r="Y22" s="3601"/>
      <c r="Z22" s="1309"/>
      <c r="AA22" s="1309">
        <v>1</v>
      </c>
      <c r="AB22" s="1309">
        <v>1</v>
      </c>
      <c r="AC22" s="1309">
        <v>1</v>
      </c>
    </row>
    <row r="23" spans="1:29" ht="15">
      <c r="A23" s="482"/>
      <c r="B23" s="677" t="s">
        <v>263</v>
      </c>
      <c r="C23" s="801" t="str">
        <f>估价对象房地状况!C9</f>
        <v>一般</v>
      </c>
      <c r="D23" s="509">
        <v>100</v>
      </c>
      <c r="E23" s="512"/>
      <c r="F23" s="513">
        <f>SUMIF(84:84,E24,85:85)-SUMIF(84:84,C24,85:85)+100</f>
        <v>103</v>
      </c>
      <c r="G23" s="514"/>
      <c r="H23" s="509">
        <f>SUMIF(84:84,G24,85:85)-SUMIF(84:84,C24,85:85)+100</f>
        <v>100</v>
      </c>
      <c r="I23" s="512"/>
      <c r="J23" s="509">
        <f>SUMIF(84:84,I24,85:85)-SUMIF(84:84,C24,85:85)+100</f>
        <v>103</v>
      </c>
      <c r="K23" s="798">
        <f>'比较法-住宅、综合'!K27</f>
        <v>3</v>
      </c>
      <c r="L23" s="1749"/>
      <c r="M23" s="1742"/>
      <c r="N23" s="1742"/>
      <c r="O23" s="1748"/>
      <c r="P23" s="3601"/>
      <c r="Q23" s="1306" t="str">
        <f>B23</f>
        <v>自然及人文环境</v>
      </c>
      <c r="R23" s="1307" t="s">
        <v>8</v>
      </c>
      <c r="S23" s="1308">
        <f>F23</f>
        <v>103</v>
      </c>
      <c r="T23" s="1307" t="s">
        <v>8</v>
      </c>
      <c r="U23" s="1308">
        <f>H23</f>
        <v>100</v>
      </c>
      <c r="V23" s="1307" t="s">
        <v>8</v>
      </c>
      <c r="W23" s="1308">
        <f>J23</f>
        <v>103</v>
      </c>
      <c r="X23" s="1302"/>
      <c r="Y23" s="3601"/>
      <c r="Z23" s="1309" t="str">
        <f>Q23</f>
        <v>自然及人文环境</v>
      </c>
      <c r="AA23" s="1309">
        <f t="shared" si="3"/>
        <v>0.970873786407767</v>
      </c>
      <c r="AB23" s="1309">
        <f t="shared" si="4"/>
        <v>1</v>
      </c>
      <c r="AC23" s="1309">
        <f t="shared" si="5"/>
        <v>0.970873786407767</v>
      </c>
    </row>
    <row r="24" spans="1:29" ht="15">
      <c r="A24" s="482"/>
      <c r="B24" s="544"/>
      <c r="C24" s="526" t="s">
        <v>3356</v>
      </c>
      <c r="D24" s="505"/>
      <c r="E24" s="526" t="s">
        <v>3501</v>
      </c>
      <c r="F24" s="507"/>
      <c r="G24" s="526" t="s">
        <v>3356</v>
      </c>
      <c r="H24" s="505"/>
      <c r="I24" s="526" t="s">
        <v>3501</v>
      </c>
      <c r="J24" s="505"/>
      <c r="K24" s="800"/>
      <c r="L24" s="1749"/>
      <c r="M24" s="1742"/>
      <c r="N24" s="1742"/>
      <c r="O24" s="1748"/>
      <c r="P24" s="3601"/>
      <c r="Q24" s="1306"/>
      <c r="R24" s="1307"/>
      <c r="S24" s="1308"/>
      <c r="T24" s="1307"/>
      <c r="U24" s="1308"/>
      <c r="V24" s="1307"/>
      <c r="W24" s="1308"/>
      <c r="X24" s="1302"/>
      <c r="Y24" s="3601"/>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1"/>
      <c r="Q25" s="1306" t="str">
        <f t="shared" ref="Q25:Q46" si="8">B25</f>
        <v>楼层-1</v>
      </c>
      <c r="R25" s="1307" t="s">
        <v>8</v>
      </c>
      <c r="S25" s="1308">
        <f>F25</f>
        <v>100</v>
      </c>
      <c r="T25" s="1307" t="s">
        <v>8</v>
      </c>
      <c r="U25" s="1308">
        <f>H25</f>
        <v>100</v>
      </c>
      <c r="V25" s="1307" t="s">
        <v>8</v>
      </c>
      <c r="W25" s="1308">
        <f>J25</f>
        <v>100</v>
      </c>
      <c r="X25" s="1302"/>
      <c r="Y25" s="3601"/>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1"/>
      <c r="Q26" s="1306" t="str">
        <f t="shared" si="8"/>
        <v>朝向</v>
      </c>
      <c r="R26" s="1307" t="s">
        <v>8</v>
      </c>
      <c r="S26" s="1308">
        <f>F26</f>
        <v>100</v>
      </c>
      <c r="T26" s="1307" t="s">
        <v>8</v>
      </c>
      <c r="U26" s="1308">
        <f>H26</f>
        <v>100</v>
      </c>
      <c r="V26" s="1307" t="s">
        <v>8</v>
      </c>
      <c r="W26" s="1308">
        <f>J26</f>
        <v>100</v>
      </c>
      <c r="X26" s="1302"/>
      <c r="Y26" s="3601"/>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1"/>
      <c r="Q27" s="818" t="str">
        <f t="shared" si="8"/>
        <v>道路级别</v>
      </c>
      <c r="R27" s="1303" t="s">
        <v>8</v>
      </c>
      <c r="S27" s="1304">
        <f>F27</f>
        <v>100</v>
      </c>
      <c r="T27" s="1303" t="s">
        <v>8</v>
      </c>
      <c r="U27" s="1304">
        <f>H27</f>
        <v>100</v>
      </c>
      <c r="V27" s="1303" t="s">
        <v>8</v>
      </c>
      <c r="W27" s="1304">
        <f>J27</f>
        <v>100</v>
      </c>
      <c r="X27" s="1305"/>
      <c r="Y27" s="3601"/>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1"/>
      <c r="Q28" s="1306">
        <f t="shared" si="8"/>
        <v>111</v>
      </c>
      <c r="R28" s="1307" t="s">
        <v>8</v>
      </c>
      <c r="S28" s="1308">
        <f t="shared" ref="S28:S46" si="9">F28</f>
        <v>100</v>
      </c>
      <c r="T28" s="1307" t="s">
        <v>8</v>
      </c>
      <c r="U28" s="1308">
        <f t="shared" ref="U28:U46" si="10">H28</f>
        <v>100</v>
      </c>
      <c r="V28" s="1307" t="s">
        <v>8</v>
      </c>
      <c r="W28" s="1308">
        <f t="shared" ref="W28:W46" si="11">J28</f>
        <v>100</v>
      </c>
      <c r="X28" s="1302"/>
      <c r="Y28" s="3601"/>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1"/>
      <c r="Q29" s="1306">
        <f t="shared" si="8"/>
        <v>111</v>
      </c>
      <c r="R29" s="1307" t="s">
        <v>8</v>
      </c>
      <c r="S29" s="1308">
        <f t="shared" si="9"/>
        <v>100</v>
      </c>
      <c r="T29" s="1307" t="s">
        <v>8</v>
      </c>
      <c r="U29" s="1308">
        <f t="shared" si="10"/>
        <v>100</v>
      </c>
      <c r="V29" s="1307" t="s">
        <v>8</v>
      </c>
      <c r="W29" s="1308">
        <f t="shared" si="11"/>
        <v>100</v>
      </c>
      <c r="X29" s="1302"/>
      <c r="Y29" s="3601"/>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1"/>
      <c r="Q30" s="1306">
        <f t="shared" si="8"/>
        <v>111</v>
      </c>
      <c r="R30" s="1307" t="s">
        <v>8</v>
      </c>
      <c r="S30" s="1308">
        <f t="shared" si="9"/>
        <v>100</v>
      </c>
      <c r="T30" s="1307" t="s">
        <v>8</v>
      </c>
      <c r="U30" s="1308">
        <f t="shared" si="10"/>
        <v>100</v>
      </c>
      <c r="V30" s="1307" t="s">
        <v>8</v>
      </c>
      <c r="W30" s="1308">
        <f t="shared" si="11"/>
        <v>100</v>
      </c>
      <c r="X30" s="1302"/>
      <c r="Y30" s="3601"/>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1"/>
      <c r="Q31" s="1306">
        <f t="shared" si="8"/>
        <v>111</v>
      </c>
      <c r="R31" s="1307" t="s">
        <v>8</v>
      </c>
      <c r="S31" s="1308">
        <f t="shared" si="9"/>
        <v>100</v>
      </c>
      <c r="T31" s="1307" t="s">
        <v>8</v>
      </c>
      <c r="U31" s="1308">
        <f t="shared" si="10"/>
        <v>100</v>
      </c>
      <c r="V31" s="1307" t="s">
        <v>8</v>
      </c>
      <c r="W31" s="1308">
        <f t="shared" si="11"/>
        <v>100</v>
      </c>
      <c r="X31" s="1302"/>
      <c r="Y31" s="3601"/>
      <c r="Z31" s="1309">
        <f t="shared" si="12"/>
        <v>111</v>
      </c>
      <c r="AA31" s="1309">
        <f t="shared" si="3"/>
        <v>1</v>
      </c>
      <c r="AB31" s="1309">
        <f t="shared" si="4"/>
        <v>1</v>
      </c>
      <c r="AC31" s="1309">
        <f t="shared" si="5"/>
        <v>1</v>
      </c>
    </row>
    <row r="32" spans="1:29" ht="15">
      <c r="A32" s="2204" t="s">
        <v>2037</v>
      </c>
      <c r="B32" s="156" t="s">
        <v>672</v>
      </c>
      <c r="C32" s="804" t="s">
        <v>3529</v>
      </c>
      <c r="D32" s="546">
        <v>100</v>
      </c>
      <c r="E32" s="804" t="s">
        <v>3529</v>
      </c>
      <c r="F32" s="525">
        <f>SUMIF(100:100,E32,101:101)-SUMIF(100:100,C32,101:101)+100</f>
        <v>100</v>
      </c>
      <c r="G32" s="804" t="s">
        <v>3521</v>
      </c>
      <c r="H32" s="546">
        <f>SUMIF(100:100,G32,101:101)-SUMIF(100:100,C32,101:101)+100</f>
        <v>103</v>
      </c>
      <c r="I32" s="805" t="s">
        <v>3529</v>
      </c>
      <c r="J32" s="490">
        <f>SUMIF(100:100,I32,101:101)-SUMIF(100:100,C32,101:101)+100</f>
        <v>100</v>
      </c>
      <c r="K32" s="794">
        <v>3</v>
      </c>
      <c r="L32" s="1749"/>
      <c r="M32" s="1742"/>
      <c r="N32" s="1742"/>
      <c r="O32" s="1748"/>
      <c r="P32" s="3602" t="s">
        <v>499</v>
      </c>
      <c r="Q32" s="1306" t="str">
        <f t="shared" si="8"/>
        <v>建筑类型</v>
      </c>
      <c r="R32" s="1307" t="s">
        <v>8</v>
      </c>
      <c r="S32" s="1308">
        <f t="shared" si="9"/>
        <v>100</v>
      </c>
      <c r="T32" s="1307" t="s">
        <v>8</v>
      </c>
      <c r="U32" s="1308">
        <f t="shared" si="10"/>
        <v>103</v>
      </c>
      <c r="V32" s="1307" t="s">
        <v>8</v>
      </c>
      <c r="W32" s="1308">
        <f t="shared" si="11"/>
        <v>100</v>
      </c>
      <c r="X32" s="1302"/>
      <c r="Y32" s="3603"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03"/>
      <c r="Q33" s="819" t="str">
        <f t="shared" si="8"/>
        <v>项目建筑规模</v>
      </c>
      <c r="R33" s="1310" t="s">
        <v>8</v>
      </c>
      <c r="S33" s="1311">
        <f t="shared" si="9"/>
        <v>100</v>
      </c>
      <c r="T33" s="1310" t="s">
        <v>8</v>
      </c>
      <c r="U33" s="1311">
        <f t="shared" si="10"/>
        <v>100</v>
      </c>
      <c r="V33" s="1310" t="s">
        <v>8</v>
      </c>
      <c r="W33" s="1311">
        <f t="shared" si="11"/>
        <v>100</v>
      </c>
      <c r="X33" s="1312"/>
      <c r="Y33" s="3603"/>
      <c r="Z33" s="1313" t="str">
        <f t="shared" si="12"/>
        <v>项目建筑规模</v>
      </c>
      <c r="AA33" s="1309">
        <f t="shared" si="3"/>
        <v>1</v>
      </c>
      <c r="AB33" s="1309">
        <f t="shared" si="4"/>
        <v>1</v>
      </c>
      <c r="AC33" s="1309">
        <f t="shared" si="5"/>
        <v>1</v>
      </c>
    </row>
    <row r="34" spans="1:29" ht="15">
      <c r="A34" s="543"/>
      <c r="B34" s="477" t="s">
        <v>674</v>
      </c>
      <c r="C34" s="524" t="s">
        <v>3523</v>
      </c>
      <c r="D34" s="490">
        <v>100</v>
      </c>
      <c r="E34" s="524" t="s">
        <v>3523</v>
      </c>
      <c r="F34" s="525">
        <f>SUMIF(105:105,E34,106:106)-SUMIF(105:105,C34,106:106)+100</f>
        <v>100</v>
      </c>
      <c r="G34" s="524" t="s">
        <v>3523</v>
      </c>
      <c r="H34" s="490">
        <f>SUMIF(105:105,G34,106:106)-SUMIF(105:105,C34,106:106)+100</f>
        <v>100</v>
      </c>
      <c r="I34" s="524" t="s">
        <v>3523</v>
      </c>
      <c r="J34" s="490">
        <f>SUMIF(105:105,I34,106:106)-SUMIF(105:105,C34,106:106)+100</f>
        <v>100</v>
      </c>
      <c r="K34" s="794">
        <v>2</v>
      </c>
      <c r="L34" s="1749"/>
      <c r="M34" s="1742"/>
      <c r="N34" s="1742"/>
      <c r="O34" s="1748"/>
      <c r="P34" s="3603"/>
      <c r="Q34" s="1306" t="str">
        <f t="shared" si="8"/>
        <v>建筑结构</v>
      </c>
      <c r="R34" s="1307" t="s">
        <v>8</v>
      </c>
      <c r="S34" s="1308">
        <f t="shared" si="9"/>
        <v>100</v>
      </c>
      <c r="T34" s="1307" t="s">
        <v>8</v>
      </c>
      <c r="U34" s="1308">
        <f t="shared" si="10"/>
        <v>100</v>
      </c>
      <c r="V34" s="1307" t="s">
        <v>8</v>
      </c>
      <c r="W34" s="1308">
        <f t="shared" si="11"/>
        <v>100</v>
      </c>
      <c r="X34" s="1302"/>
      <c r="Y34" s="3603"/>
      <c r="Z34" s="1309" t="str">
        <f t="shared" si="12"/>
        <v>建筑结构</v>
      </c>
      <c r="AA34" s="1309">
        <f t="shared" si="3"/>
        <v>1</v>
      </c>
      <c r="AB34" s="1309">
        <f t="shared" si="4"/>
        <v>1</v>
      </c>
      <c r="AC34" s="1309">
        <f t="shared" si="5"/>
        <v>1</v>
      </c>
    </row>
    <row r="35" spans="1:29" ht="15">
      <c r="A35" s="543"/>
      <c r="B35" s="477" t="s">
        <v>675</v>
      </c>
      <c r="C35" s="548" t="s">
        <v>3524</v>
      </c>
      <c r="D35" s="490">
        <v>100</v>
      </c>
      <c r="E35" s="548" t="s">
        <v>3524</v>
      </c>
      <c r="F35" s="525">
        <f>SUMIF(107:107,E35,108:108)-SUMIF(107:107,C35,108:108)+100</f>
        <v>100</v>
      </c>
      <c r="G35" s="548" t="s">
        <v>3524</v>
      </c>
      <c r="H35" s="490">
        <f>SUMIF(107:107,G35,108:108)-SUMIF(107:107,C35,108:108)+100</f>
        <v>100</v>
      </c>
      <c r="I35" s="548" t="s">
        <v>3524</v>
      </c>
      <c r="J35" s="490">
        <f>SUMIF(107:107,I35,108:108)-SUMIF(107:107,C35,108:108)+100</f>
        <v>100</v>
      </c>
      <c r="K35" s="794">
        <v>2</v>
      </c>
      <c r="L35" s="1749"/>
      <c r="M35" s="1742"/>
      <c r="N35" s="1742"/>
      <c r="O35" s="1748"/>
      <c r="P35" s="3603"/>
      <c r="Q35" s="1306" t="str">
        <f t="shared" si="8"/>
        <v>建筑品质</v>
      </c>
      <c r="R35" s="1307" t="s">
        <v>8</v>
      </c>
      <c r="S35" s="1308">
        <f t="shared" si="9"/>
        <v>100</v>
      </c>
      <c r="T35" s="1307" t="s">
        <v>8</v>
      </c>
      <c r="U35" s="1308">
        <f t="shared" si="10"/>
        <v>100</v>
      </c>
      <c r="V35" s="1307" t="s">
        <v>8</v>
      </c>
      <c r="W35" s="1308">
        <f t="shared" si="11"/>
        <v>100</v>
      </c>
      <c r="X35" s="1302"/>
      <c r="Y35" s="3603"/>
      <c r="Z35" s="1309" t="str">
        <f t="shared" si="12"/>
        <v>建筑品质</v>
      </c>
      <c r="AA35" s="1309">
        <f t="shared" si="3"/>
        <v>1</v>
      </c>
      <c r="AB35" s="1309">
        <f t="shared" si="4"/>
        <v>1</v>
      </c>
      <c r="AC35" s="1309">
        <f t="shared" si="5"/>
        <v>1</v>
      </c>
    </row>
    <row r="36" spans="1:29" ht="15">
      <c r="A36" s="543"/>
      <c r="B36" s="477" t="s">
        <v>676</v>
      </c>
      <c r="C36" s="548" t="s">
        <v>3525</v>
      </c>
      <c r="D36" s="490">
        <v>100</v>
      </c>
      <c r="E36" s="548" t="s">
        <v>3525</v>
      </c>
      <c r="F36" s="525">
        <f>SUMIF(109:109,E36,110:110)-SUMIF(109:109,C36,110:110)+100</f>
        <v>100</v>
      </c>
      <c r="G36" s="548" t="s">
        <v>3525</v>
      </c>
      <c r="H36" s="490">
        <f>SUMIF(109:109,G36,110:110)-SUMIF(109:109,C36,110:110)+100</f>
        <v>100</v>
      </c>
      <c r="I36" s="548" t="s">
        <v>3525</v>
      </c>
      <c r="J36" s="490">
        <f>SUMIF(109:109,I36,110:110)-SUMIF(109:109,C36,110:110)+100</f>
        <v>100</v>
      </c>
      <c r="K36" s="794">
        <v>2</v>
      </c>
      <c r="L36" s="1749"/>
      <c r="M36" s="1742"/>
      <c r="N36" s="1742"/>
      <c r="O36" s="1748"/>
      <c r="P36" s="3603"/>
      <c r="Q36" s="1306" t="str">
        <f t="shared" si="8"/>
        <v>公共部分装修</v>
      </c>
      <c r="R36" s="1307" t="s">
        <v>8</v>
      </c>
      <c r="S36" s="1308">
        <f t="shared" si="9"/>
        <v>100</v>
      </c>
      <c r="T36" s="1307" t="s">
        <v>8</v>
      </c>
      <c r="U36" s="1308">
        <f t="shared" si="10"/>
        <v>100</v>
      </c>
      <c r="V36" s="1307" t="s">
        <v>8</v>
      </c>
      <c r="W36" s="1308">
        <f t="shared" si="11"/>
        <v>100</v>
      </c>
      <c r="X36" s="1302"/>
      <c r="Y36" s="3603"/>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03"/>
      <c r="Q37" s="818" t="str">
        <f t="shared" si="8"/>
        <v>成新度</v>
      </c>
      <c r="R37" s="1303" t="s">
        <v>8</v>
      </c>
      <c r="S37" s="1304">
        <f t="shared" si="9"/>
        <v>100</v>
      </c>
      <c r="T37" s="1303" t="s">
        <v>8</v>
      </c>
      <c r="U37" s="1304">
        <f t="shared" si="10"/>
        <v>100</v>
      </c>
      <c r="V37" s="1303" t="s">
        <v>8</v>
      </c>
      <c r="W37" s="1304">
        <f t="shared" si="11"/>
        <v>100</v>
      </c>
      <c r="X37" s="1305"/>
      <c r="Y37" s="3603"/>
      <c r="Z37" s="997" t="str">
        <f t="shared" si="12"/>
        <v>成新度</v>
      </c>
      <c r="AA37" s="997">
        <f t="shared" si="3"/>
        <v>1</v>
      </c>
      <c r="AB37" s="997">
        <f t="shared" si="4"/>
        <v>1</v>
      </c>
      <c r="AC37" s="997">
        <f t="shared" si="5"/>
        <v>1</v>
      </c>
    </row>
    <row r="38" spans="1:29" ht="15">
      <c r="A38" s="543"/>
      <c r="B38" s="477" t="s">
        <v>678</v>
      </c>
      <c r="C38" s="548" t="s">
        <v>3526</v>
      </c>
      <c r="D38" s="490">
        <v>100</v>
      </c>
      <c r="E38" s="548" t="s">
        <v>3526</v>
      </c>
      <c r="F38" s="525">
        <f>SUMIF(114:114,E38,115:115)-SUMIF(114:114,C38,115:115)+100</f>
        <v>100</v>
      </c>
      <c r="G38" s="548" t="s">
        <v>3526</v>
      </c>
      <c r="H38" s="490">
        <f>SUMIF(114:114,G38,115:115)-SUMIF(114:114,C38,115:115)+100</f>
        <v>100</v>
      </c>
      <c r="I38" s="548" t="s">
        <v>3526</v>
      </c>
      <c r="J38" s="490">
        <f>SUMIF(114:114,I38,115:115)-SUMIF(114:114,C38,115:115)+100</f>
        <v>100</v>
      </c>
      <c r="K38" s="794">
        <v>2</v>
      </c>
      <c r="L38" s="1749"/>
      <c r="M38" s="1742"/>
      <c r="N38" s="1742"/>
      <c r="O38" s="1748"/>
      <c r="P38" s="3603" t="s">
        <v>499</v>
      </c>
      <c r="Q38" s="1306" t="str">
        <f t="shared" si="8"/>
        <v>物业管理</v>
      </c>
      <c r="R38" s="1307" t="s">
        <v>8</v>
      </c>
      <c r="S38" s="1308">
        <f t="shared" si="9"/>
        <v>100</v>
      </c>
      <c r="T38" s="1307" t="s">
        <v>8</v>
      </c>
      <c r="U38" s="1308">
        <f t="shared" si="10"/>
        <v>100</v>
      </c>
      <c r="V38" s="1307" t="s">
        <v>8</v>
      </c>
      <c r="W38" s="1308">
        <f t="shared" si="11"/>
        <v>100</v>
      </c>
      <c r="X38" s="1302"/>
      <c r="Y38" s="3603" t="s">
        <v>499</v>
      </c>
      <c r="Z38" s="1309" t="str">
        <f t="shared" si="12"/>
        <v>物业管理</v>
      </c>
      <c r="AA38" s="1309">
        <f t="shared" si="3"/>
        <v>1</v>
      </c>
      <c r="AB38" s="1309">
        <f t="shared" si="4"/>
        <v>1</v>
      </c>
      <c r="AC38" s="1309">
        <f t="shared" si="5"/>
        <v>1</v>
      </c>
    </row>
    <row r="39" spans="1:29" ht="15">
      <c r="A39" s="543"/>
      <c r="B39" s="1554" t="s">
        <v>1847</v>
      </c>
      <c r="C39" s="548" t="s">
        <v>3503</v>
      </c>
      <c r="D39" s="490">
        <v>100</v>
      </c>
      <c r="E39" s="548" t="s">
        <v>3503</v>
      </c>
      <c r="F39" s="525">
        <f>SUMIF(116:116,E39,117:117)-SUMIF(116:116,C39,117:117)+100</f>
        <v>100</v>
      </c>
      <c r="G39" s="548" t="s">
        <v>3503</v>
      </c>
      <c r="H39" s="490">
        <f>SUMIF(116:116,G39,117:117)-SUMIF(116:116,C39,117:117)+100</f>
        <v>100</v>
      </c>
      <c r="I39" s="548" t="s">
        <v>3503</v>
      </c>
      <c r="J39" s="490">
        <f>SUMIF(116:116,I39,117:117)-SUMIF(116:116,C39,117:117)+100</f>
        <v>100</v>
      </c>
      <c r="K39" s="794">
        <v>1</v>
      </c>
      <c r="L39" s="1749"/>
      <c r="M39" s="1742"/>
      <c r="N39" s="1742"/>
      <c r="O39" s="1748"/>
      <c r="P39" s="3603"/>
      <c r="Q39" s="1306" t="str">
        <f t="shared" si="8"/>
        <v>市政基础设施</v>
      </c>
      <c r="R39" s="1307" t="s">
        <v>8</v>
      </c>
      <c r="S39" s="1308">
        <f t="shared" si="9"/>
        <v>100</v>
      </c>
      <c r="T39" s="1307" t="s">
        <v>8</v>
      </c>
      <c r="U39" s="1308">
        <f t="shared" si="10"/>
        <v>100</v>
      </c>
      <c r="V39" s="1307" t="s">
        <v>8</v>
      </c>
      <c r="W39" s="1308">
        <f t="shared" si="11"/>
        <v>100</v>
      </c>
      <c r="X39" s="1302"/>
      <c r="Y39" s="3603"/>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03"/>
      <c r="Q40" s="1306" t="str">
        <f t="shared" si="8"/>
        <v>房型</v>
      </c>
      <c r="R40" s="1307" t="s">
        <v>8</v>
      </c>
      <c r="S40" s="1308">
        <f t="shared" si="9"/>
        <v>100</v>
      </c>
      <c r="T40" s="1307" t="s">
        <v>8</v>
      </c>
      <c r="U40" s="1308">
        <f t="shared" si="10"/>
        <v>100</v>
      </c>
      <c r="V40" s="1307" t="s">
        <v>8</v>
      </c>
      <c r="W40" s="1308">
        <f t="shared" si="11"/>
        <v>100</v>
      </c>
      <c r="X40" s="1302"/>
      <c r="Y40" s="3603"/>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03"/>
      <c r="Q41" s="819" t="str">
        <f t="shared" si="8"/>
        <v>单套/主力户型建筑面积</v>
      </c>
      <c r="R41" s="1310" t="s">
        <v>8</v>
      </c>
      <c r="S41" s="1311">
        <f t="shared" si="9"/>
        <v>100</v>
      </c>
      <c r="T41" s="1310" t="s">
        <v>8</v>
      </c>
      <c r="U41" s="1311">
        <f t="shared" si="10"/>
        <v>100</v>
      </c>
      <c r="V41" s="1310" t="s">
        <v>8</v>
      </c>
      <c r="W41" s="1311">
        <f t="shared" si="11"/>
        <v>100</v>
      </c>
      <c r="X41" s="1312"/>
      <c r="Y41" s="3603"/>
      <c r="Z41" s="1313" t="str">
        <f t="shared" si="12"/>
        <v>单套/主力户型建筑面积</v>
      </c>
      <c r="AA41" s="1309">
        <f t="shared" si="3"/>
        <v>1</v>
      </c>
      <c r="AB41" s="1309">
        <f t="shared" si="4"/>
        <v>1</v>
      </c>
      <c r="AC41" s="1309">
        <f t="shared" si="5"/>
        <v>1</v>
      </c>
    </row>
    <row r="42" spans="1:29" ht="15">
      <c r="A42" s="543"/>
      <c r="B42" s="477" t="s">
        <v>681</v>
      </c>
      <c r="C42" s="548" t="s">
        <v>3522</v>
      </c>
      <c r="D42" s="490">
        <v>100</v>
      </c>
      <c r="E42" s="548" t="s">
        <v>3522</v>
      </c>
      <c r="F42" s="525">
        <f>SUMIF(122:122,E42,123:123)-SUMIF(122:122,C42,123:123)+100</f>
        <v>100</v>
      </c>
      <c r="G42" s="548" t="s">
        <v>3522</v>
      </c>
      <c r="H42" s="490">
        <f>SUMIF(122:122,G42,123:123)-SUMIF(122:122,C42,123:123)+100</f>
        <v>100</v>
      </c>
      <c r="I42" s="548" t="s">
        <v>3522</v>
      </c>
      <c r="J42" s="490">
        <f>SUMIF(122:122,I42,123:123)-SUMIF(122:122,C42,123:123)+100</f>
        <v>100</v>
      </c>
      <c r="K42" s="794">
        <v>2</v>
      </c>
      <c r="L42" s="1749"/>
      <c r="M42" s="1742"/>
      <c r="N42" s="1742"/>
      <c r="O42" s="1748"/>
      <c r="P42" s="3603"/>
      <c r="Q42" s="1306" t="str">
        <f t="shared" si="8"/>
        <v>内部装修</v>
      </c>
      <c r="R42" s="1307" t="s">
        <v>8</v>
      </c>
      <c r="S42" s="1308">
        <f t="shared" si="9"/>
        <v>100</v>
      </c>
      <c r="T42" s="1307" t="s">
        <v>8</v>
      </c>
      <c r="U42" s="1308">
        <f t="shared" si="10"/>
        <v>100</v>
      </c>
      <c r="V42" s="1307" t="s">
        <v>8</v>
      </c>
      <c r="W42" s="1308">
        <f t="shared" si="11"/>
        <v>100</v>
      </c>
      <c r="X42" s="1302"/>
      <c r="Y42" s="3603"/>
      <c r="Z42" s="1309" t="str">
        <f t="shared" si="12"/>
        <v>内部装修</v>
      </c>
      <c r="AA42" s="1309">
        <f t="shared" si="3"/>
        <v>1</v>
      </c>
      <c r="AB42" s="1309">
        <f t="shared" si="4"/>
        <v>1</v>
      </c>
      <c r="AC42" s="1309">
        <f t="shared" si="5"/>
        <v>1</v>
      </c>
    </row>
    <row r="43" spans="1:29" ht="27">
      <c r="A43" s="543"/>
      <c r="B43" s="477" t="s">
        <v>682</v>
      </c>
      <c r="C43" s="548" t="s">
        <v>3501</v>
      </c>
      <c r="D43" s="490">
        <v>100</v>
      </c>
      <c r="E43" s="548" t="s">
        <v>3501</v>
      </c>
      <c r="F43" s="525">
        <f>SUMIF(124:124,E43,125:125)-SUMIF(124:124,C43,125:125)+100</f>
        <v>100</v>
      </c>
      <c r="G43" s="548" t="s">
        <v>3501</v>
      </c>
      <c r="H43" s="490">
        <f>SUMIF(124:124,G43,125:125)-SUMIF(124:124,C43,125:125)+100</f>
        <v>100</v>
      </c>
      <c r="I43" s="548" t="s">
        <v>3501</v>
      </c>
      <c r="J43" s="490">
        <f>SUMIF(124:124,I43,125:125)-SUMIF(124:124,C43,125:125)+100</f>
        <v>100</v>
      </c>
      <c r="K43" s="794">
        <v>2</v>
      </c>
      <c r="L43" s="1749"/>
      <c r="M43" s="1742"/>
      <c r="N43" s="1742"/>
      <c r="O43" s="1748"/>
      <c r="P43" s="3603"/>
      <c r="Q43" s="1306" t="str">
        <f t="shared" si="8"/>
        <v>内部装修维护情况</v>
      </c>
      <c r="R43" s="1307" t="s">
        <v>8</v>
      </c>
      <c r="S43" s="1308">
        <f t="shared" si="9"/>
        <v>100</v>
      </c>
      <c r="T43" s="1307" t="s">
        <v>8</v>
      </c>
      <c r="U43" s="1308">
        <f t="shared" si="10"/>
        <v>100</v>
      </c>
      <c r="V43" s="1307" t="s">
        <v>8</v>
      </c>
      <c r="W43" s="1308">
        <f t="shared" si="11"/>
        <v>100</v>
      </c>
      <c r="X43" s="1302"/>
      <c r="Y43" s="3603"/>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03"/>
      <c r="Q44" s="818">
        <f t="shared" si="8"/>
        <v>111</v>
      </c>
      <c r="R44" s="1303" t="s">
        <v>8</v>
      </c>
      <c r="S44" s="1304">
        <f t="shared" si="9"/>
        <v>100</v>
      </c>
      <c r="T44" s="1303" t="s">
        <v>8</v>
      </c>
      <c r="U44" s="1304">
        <f t="shared" si="10"/>
        <v>100</v>
      </c>
      <c r="V44" s="1303" t="s">
        <v>8</v>
      </c>
      <c r="W44" s="1304">
        <f t="shared" si="11"/>
        <v>100</v>
      </c>
      <c r="X44" s="1305"/>
      <c r="Y44" s="3603"/>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03"/>
      <c r="Q45" s="1306">
        <f t="shared" si="8"/>
        <v>111</v>
      </c>
      <c r="R45" s="1307" t="s">
        <v>8</v>
      </c>
      <c r="S45" s="1308">
        <f t="shared" si="9"/>
        <v>100</v>
      </c>
      <c r="T45" s="1307" t="s">
        <v>8</v>
      </c>
      <c r="U45" s="1308">
        <f t="shared" si="10"/>
        <v>100</v>
      </c>
      <c r="V45" s="1307" t="s">
        <v>8</v>
      </c>
      <c r="W45" s="1308">
        <f t="shared" si="11"/>
        <v>100</v>
      </c>
      <c r="X45" s="1302"/>
      <c r="Y45" s="3603"/>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5"/>
      <c r="Q46" s="1306">
        <f t="shared" si="8"/>
        <v>111</v>
      </c>
      <c r="R46" s="1307" t="s">
        <v>7</v>
      </c>
      <c r="S46" s="1308">
        <f t="shared" si="9"/>
        <v>100</v>
      </c>
      <c r="T46" s="1307" t="s">
        <v>7</v>
      </c>
      <c r="U46" s="1308">
        <f t="shared" si="10"/>
        <v>100</v>
      </c>
      <c r="V46" s="1307" t="s">
        <v>7</v>
      </c>
      <c r="W46" s="1308">
        <f t="shared" si="11"/>
        <v>100</v>
      </c>
      <c r="X46" s="1302"/>
      <c r="Y46" s="3695"/>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598" t="str">
        <f>A47</f>
        <v>成交单价（元/平方米）</v>
      </c>
      <c r="Q47" s="3598"/>
      <c r="R47" s="3614">
        <f>E47</f>
        <v>38385</v>
      </c>
      <c r="S47" s="3614"/>
      <c r="T47" s="3614">
        <f>G47</f>
        <v>34074</v>
      </c>
      <c r="U47" s="3614"/>
      <c r="V47" s="3614">
        <f>I47</f>
        <v>35428</v>
      </c>
      <c r="W47" s="3614"/>
      <c r="X47" s="799"/>
      <c r="Y47" s="1314"/>
      <c r="Z47" s="799"/>
      <c r="AA47" s="799"/>
      <c r="AB47" s="799"/>
      <c r="AC47" s="799"/>
    </row>
    <row r="48" spans="1:29" ht="15.75" thickBot="1">
      <c r="A48" s="564" t="s">
        <v>2042</v>
      </c>
      <c r="B48" s="813"/>
      <c r="C48" s="2082">
        <f>R49</f>
        <v>34447</v>
      </c>
      <c r="D48" s="2549" t="s">
        <v>2255</v>
      </c>
      <c r="E48" s="2083">
        <f>R48</f>
        <v>36182</v>
      </c>
      <c r="F48" s="2550"/>
      <c r="G48" s="2082">
        <f>T48</f>
        <v>33082</v>
      </c>
      <c r="H48" s="2550"/>
      <c r="I48" s="2083">
        <f>V48</f>
        <v>34076</v>
      </c>
      <c r="J48" s="2550"/>
      <c r="K48" s="2557">
        <f>F48+H48+J48</f>
        <v>0</v>
      </c>
      <c r="L48" s="1751"/>
      <c r="M48" s="1742"/>
      <c r="N48" s="1742"/>
      <c r="O48" s="1742"/>
      <c r="P48" s="3598" t="str">
        <f>A48</f>
        <v>比较价格（元/平方米）</v>
      </c>
      <c r="Q48" s="3598"/>
      <c r="R48" s="3614">
        <f>IF(F1="售价",ROUND(PRODUCT(R47,AA7:AA46),0),ROUND(PRODUCT(R47,AA7:AA46),1))</f>
        <v>36182</v>
      </c>
      <c r="S48" s="3614"/>
      <c r="T48" s="3614">
        <f>IF(F1="售价",ROUND(PRODUCT(T47,AB7:AB46),0),ROUND(PRODUCT(T47,AB7:AB46),1))</f>
        <v>33082</v>
      </c>
      <c r="U48" s="3614"/>
      <c r="V48" s="3614">
        <f>IF(F1="售价",ROUND(PRODUCT(V47,AC7:AC46),0),ROUND(PRODUCT(V47,AC7:AC46),1))</f>
        <v>34076</v>
      </c>
      <c r="W48" s="3614"/>
      <c r="X48" s="799"/>
      <c r="Y48" s="799"/>
      <c r="Z48" s="799"/>
      <c r="AA48" s="799"/>
      <c r="AB48" s="799"/>
      <c r="AC48" s="799"/>
    </row>
    <row r="49" spans="1:29" ht="15.75" thickBot="1">
      <c r="A49" s="568" t="s">
        <v>2192</v>
      </c>
      <c r="B49" s="569"/>
      <c r="C49" s="469">
        <f>R49</f>
        <v>34447</v>
      </c>
      <c r="D49" s="469"/>
      <c r="E49" s="469"/>
      <c r="F49" s="469"/>
      <c r="G49" s="469"/>
      <c r="H49" s="469"/>
      <c r="I49" s="469"/>
      <c r="J49" s="469"/>
      <c r="K49" s="1332"/>
      <c r="L49" s="1751"/>
      <c r="M49" s="1742"/>
      <c r="N49" s="1742"/>
      <c r="O49" s="1742"/>
      <c r="P49" s="3604" t="str">
        <f>A49</f>
        <v>估价对象XX用房的比较价格（楼面单价，元/平方米）</v>
      </c>
      <c r="Q49" s="3605"/>
      <c r="R49" s="3694">
        <f>IF(F1="售价",ROUND(IF(D48="简单平均",AVERAGE(R48:V48),R48*F48+T48*H48+V48*J48),0),ROUND(IF(D48="简单平均",AVERAGE(R48:V48),R48*F48+T48*H48+V48*J48),1))</f>
        <v>34447</v>
      </c>
      <c r="S49" s="3694"/>
      <c r="T49" s="3694"/>
      <c r="U49" s="3694"/>
      <c r="V49" s="3694"/>
      <c r="W49" s="3694"/>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6.0886628710408397E-2</v>
      </c>
      <c r="F52" s="574" t="str">
        <f>IF(OR(E52&gt;=0.3,E52&lt;=-0.3),"超过30%","")</f>
        <v/>
      </c>
      <c r="G52" s="573">
        <f>IF(G47&lt;G48,G48/G47-1,G47/G48-1)</f>
        <v>2.9986095157487513E-2</v>
      </c>
      <c r="H52" s="574" t="str">
        <f>IF(OR(G52&gt;=0.3,G52&lt;=-0.3),"超过30%","")</f>
        <v/>
      </c>
      <c r="I52" s="573">
        <f>IF(I47&lt;I48,I48/I47-1,I47/I48-1)</f>
        <v>3.9676018312008399E-2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9.3706547367148341E-2</v>
      </c>
      <c r="F53" s="574" t="str">
        <f>IF(OR(E53&gt;=0.2,E53&lt;=-0.2),"超过20%","")</f>
        <v/>
      </c>
      <c r="G53" s="573">
        <f>IF(G48&lt;I48,I48/G48-1,G48/I48-1)</f>
        <v>3.0046550994498489E-2</v>
      </c>
      <c r="H53" s="574" t="str">
        <f>IF(OR(G53&gt;=0.2,G53&lt;=-0.2),"超过20%","")</f>
        <v/>
      </c>
      <c r="I53" s="573">
        <f>IF(I48&lt;E48,E48/I48-1,I48/E48-1)</f>
        <v>6.1803028524474612E-2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3511</v>
      </c>
      <c r="E100" s="3410" t="s">
        <v>3512</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3513</v>
      </c>
      <c r="D107" s="3406" t="s">
        <v>3514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3515</v>
      </c>
      <c r="D109" s="3405" t="s">
        <v>3516</v>
      </c>
      <c r="E109" s="3405" t="s">
        <v>3517</v>
      </c>
      <c r="F109" s="3406" t="s">
        <v>3518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3519</v>
      </c>
      <c r="D114" s="3405" t="s">
        <v>3520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69.84</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86" t="s">
        <v>1807</v>
      </c>
      <c r="C6" s="718">
        <f ca="1">ROUND(F6*F8*F7*(1-F9)/10000,0)</f>
        <v>0</v>
      </c>
      <c r="D6" s="2002" t="s">
        <v>1806</v>
      </c>
      <c r="E6" s="719" t="s">
        <v>1267</v>
      </c>
      <c r="F6" s="720">
        <f ca="1">INDIRECT("'数据-取费表'!u"&amp;$G$1)</f>
        <v>0</v>
      </c>
      <c r="G6" s="1668"/>
      <c r="H6" s="2009" t="s">
        <v>1812</v>
      </c>
      <c r="I6" s="3686" t="s">
        <v>1807</v>
      </c>
      <c r="J6" s="718">
        <f ca="1">ROUND(M6*M8*M7*(1-M9)/10000,0)</f>
        <v>0</v>
      </c>
      <c r="K6" s="315" t="s">
        <v>1266</v>
      </c>
      <c r="L6" s="719" t="s">
        <v>1267</v>
      </c>
      <c r="M6" s="720">
        <f ca="1">INDIRECT("'数据-取费表'!z"&amp;$G$1)</f>
        <v>0</v>
      </c>
    </row>
    <row r="7" spans="1:33" ht="18" customHeight="1">
      <c r="A7" s="2005"/>
      <c r="B7" s="3687"/>
      <c r="C7" s="723"/>
      <c r="D7" s="724"/>
      <c r="E7" s="719" t="s">
        <v>1268</v>
      </c>
      <c r="F7" s="720">
        <f ca="1">IF(INDIRECT("'数据-取费表'!ah"&amp;$G$1)="",INDIRECT("'数据-取费表'!k"&amp;$G$1),INDIRECT("'数据-取费表'!ah"&amp;$G$1))</f>
        <v>32315.351999999999</v>
      </c>
      <c r="G7" s="1668"/>
      <c r="H7" s="1994"/>
      <c r="I7" s="3687"/>
      <c r="J7" s="723"/>
      <c r="K7" s="724"/>
      <c r="L7" s="719" t="s">
        <v>1268</v>
      </c>
      <c r="M7" s="720">
        <f ca="1">F7</f>
        <v>32315.351999999999</v>
      </c>
    </row>
    <row r="8" spans="1:33" ht="18" customHeight="1">
      <c r="A8" s="1998"/>
      <c r="B8" s="3688"/>
      <c r="C8" s="723"/>
      <c r="D8" s="724"/>
      <c r="E8" s="719" t="s">
        <v>1269</v>
      </c>
      <c r="F8" s="720">
        <f ca="1">INDIRECT("'数据-取费表'!ai"&amp;$G$1)</f>
        <v>0</v>
      </c>
      <c r="G8" s="1668"/>
      <c r="H8" s="1994"/>
      <c r="I8" s="3688"/>
      <c r="J8" s="723"/>
      <c r="K8" s="724"/>
      <c r="L8" s="719" t="s">
        <v>1269</v>
      </c>
      <c r="M8" s="720">
        <f ca="1">INDIRECT("'数据-取费表'!ai"&amp;$G$1)</f>
        <v>0</v>
      </c>
    </row>
    <row r="9" spans="1:33" ht="18" customHeight="1">
      <c r="A9" s="721"/>
      <c r="B9" s="3689"/>
      <c r="C9" s="723"/>
      <c r="D9" s="724"/>
      <c r="E9" s="719" t="s">
        <v>1270</v>
      </c>
      <c r="F9" s="729">
        <f ca="1">INDIRECT("'数据-取费表'!w"&amp;$G$1)</f>
        <v>0</v>
      </c>
      <c r="G9" s="1668"/>
      <c r="H9" s="2010"/>
      <c r="I9" s="3688"/>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21005</v>
      </c>
      <c r="D14" s="906" t="s">
        <v>1274</v>
      </c>
      <c r="E14" s="905"/>
      <c r="F14" s="740"/>
      <c r="G14" s="1668"/>
      <c r="H14" s="1369" t="s">
        <v>1359</v>
      </c>
      <c r="I14" s="1825" t="s">
        <v>2103</v>
      </c>
      <c r="J14" s="49">
        <f ca="1">C29</f>
        <v>32465</v>
      </c>
      <c r="K14" s="22"/>
      <c r="L14" s="736"/>
      <c r="M14" s="737"/>
    </row>
    <row r="15" spans="1:33" s="1676" customFormat="1" ht="18" customHeight="1" thickBot="1">
      <c r="A15" s="1368" t="s">
        <v>1410</v>
      </c>
      <c r="B15" s="719" t="s">
        <v>595</v>
      </c>
      <c r="C15" s="49">
        <f ca="1">ROUND(C14*F15,0)</f>
        <v>630</v>
      </c>
      <c r="D15" s="741" t="s">
        <v>1275</v>
      </c>
      <c r="E15" s="741" t="s">
        <v>1276</v>
      </c>
      <c r="F15" s="742">
        <f>'数据-取费表'!B33</f>
        <v>0.03</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420</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23814</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476</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814</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6.9999999999999999E-4</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4858</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4.0000000000000001E-3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32465</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69.84</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32465</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69.84</v>
      </c>
      <c r="K53" s="3696" t="s">
        <v>2220</v>
      </c>
      <c r="L53" s="3697"/>
      <c r="M53" s="2761"/>
      <c r="O53" s="1960" t="s">
        <v>1742</v>
      </c>
      <c r="P53" s="1958" t="s">
        <v>1743</v>
      </c>
      <c r="Q53" s="1959">
        <f ca="1">J53</f>
        <v>69.84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32465</v>
      </c>
      <c r="D56" s="907"/>
      <c r="E56" s="719"/>
      <c r="F56" s="744"/>
      <c r="I56" s="2381" t="s">
        <v>1711</v>
      </c>
      <c r="J56" s="2391"/>
      <c r="K56" s="2363" t="s">
        <v>1716</v>
      </c>
      <c r="L56" s="1567">
        <f ca="1">IF(L48&lt;J51,"——",L48-J51)</f>
        <v>69.84</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704" t="s">
        <v>2296</v>
      </c>
      <c r="K2" s="3705"/>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06" t="s">
        <v>2306</v>
      </c>
      <c r="K3" s="3707"/>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06" t="s">
        <v>2308</v>
      </c>
      <c r="K4" s="3707"/>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12" t="s">
        <v>2312</v>
      </c>
      <c r="B6" s="3713"/>
      <c r="C6" s="3714"/>
      <c r="D6" s="2853"/>
      <c r="E6" s="2854"/>
      <c r="F6" s="2855"/>
      <c r="G6" s="2856"/>
      <c r="H6" s="2831"/>
      <c r="I6" s="2832"/>
      <c r="J6" s="3698">
        <v>1</v>
      </c>
      <c r="K6" s="3699"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698"/>
      <c r="K7" s="3700"/>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15" t="s">
        <v>2326</v>
      </c>
      <c r="C8" s="3716"/>
      <c r="D8" s="2872" t="s">
        <v>2327</v>
      </c>
      <c r="E8" s="2873" t="s">
        <v>2328</v>
      </c>
      <c r="F8" s="2874" t="s">
        <v>2329</v>
      </c>
      <c r="G8" s="2875"/>
      <c r="H8" s="2831"/>
      <c r="I8" s="2832"/>
      <c r="J8" s="3698"/>
      <c r="K8" s="3700"/>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15" t="s">
        <v>2332</v>
      </c>
      <c r="C9" s="3716"/>
      <c r="D9" s="2872">
        <f>ROUND(D6*E9,0)</f>
        <v>0</v>
      </c>
      <c r="E9" s="2876"/>
      <c r="F9" s="2877" t="s">
        <v>2333</v>
      </c>
      <c r="G9" s="2856"/>
      <c r="H9" s="2831"/>
      <c r="I9" s="2832"/>
      <c r="J9" s="3698"/>
      <c r="K9" s="3700"/>
      <c r="L9" s="2866" t="s">
        <v>2334</v>
      </c>
      <c r="M9" s="2867"/>
      <c r="N9" s="2843"/>
      <c r="O9" s="2868"/>
      <c r="P9" s="2868"/>
      <c r="Q9" s="2869">
        <v>365</v>
      </c>
      <c r="R9" s="2870">
        <f t="shared" si="0"/>
        <v>0</v>
      </c>
      <c r="S9" s="2823"/>
      <c r="T9" s="2823"/>
      <c r="U9" s="2823"/>
      <c r="V9" s="2832"/>
    </row>
    <row r="10" spans="1:22" s="2836" customFormat="1" ht="13.15" customHeight="1">
      <c r="A10" s="2871">
        <v>2</v>
      </c>
      <c r="B10" s="3715" t="s">
        <v>2335</v>
      </c>
      <c r="C10" s="3716"/>
      <c r="D10" s="2872">
        <f>ROUND(D6*E10,0)</f>
        <v>0</v>
      </c>
      <c r="E10" s="2876"/>
      <c r="F10" s="2877" t="s">
        <v>2336</v>
      </c>
      <c r="G10" s="2856"/>
      <c r="H10" s="2831"/>
      <c r="I10" s="2832"/>
      <c r="J10" s="3698"/>
      <c r="K10" s="3700"/>
      <c r="L10" s="2866" t="s">
        <v>2337</v>
      </c>
      <c r="M10" s="2867"/>
      <c r="N10" s="2843"/>
      <c r="O10" s="2868"/>
      <c r="P10" s="2868"/>
      <c r="Q10" s="2869">
        <v>365</v>
      </c>
      <c r="R10" s="2870">
        <f t="shared" si="0"/>
        <v>0</v>
      </c>
      <c r="S10" s="2823"/>
      <c r="T10" s="2823"/>
      <c r="U10" s="2823"/>
      <c r="V10" s="2832"/>
    </row>
    <row r="11" spans="1:22" s="2836" customFormat="1" ht="13.15" customHeight="1">
      <c r="A11" s="2871">
        <v>3</v>
      </c>
      <c r="B11" s="3715" t="s">
        <v>2338</v>
      </c>
      <c r="C11" s="3716"/>
      <c r="D11" s="2872">
        <f>D12+D14+D15+D16</f>
        <v>0</v>
      </c>
      <c r="E11" s="2878" t="e">
        <f>D11/D6</f>
        <v>#DIV/0!</v>
      </c>
      <c r="F11" s="2874"/>
      <c r="G11" s="2875"/>
      <c r="H11" s="2831"/>
      <c r="I11" s="2832"/>
      <c r="J11" s="3698"/>
      <c r="K11" s="3700"/>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08" t="s">
        <v>2341</v>
      </c>
      <c r="C12" s="3709"/>
      <c r="D12" s="2880">
        <f>ROUND(D13*1.2%*(1-30%),0)</f>
        <v>0</v>
      </c>
      <c r="E12" s="2881">
        <v>1.2E-2</v>
      </c>
      <c r="F12" s="2874" t="s">
        <v>2342</v>
      </c>
      <c r="G12" s="2875"/>
      <c r="H12" s="2831"/>
      <c r="I12" s="2832"/>
      <c r="J12" s="3698"/>
      <c r="K12" s="3700"/>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698"/>
      <c r="K13" s="3700"/>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08" t="s">
        <v>2347</v>
      </c>
      <c r="C14" s="3709"/>
      <c r="D14" s="2880">
        <f>ROUND(E14*B5/10000,0)</f>
        <v>0</v>
      </c>
      <c r="E14" s="2869"/>
      <c r="F14" s="2874" t="s">
        <v>2348</v>
      </c>
      <c r="G14" s="2875"/>
      <c r="H14" s="2831"/>
      <c r="I14" s="2832"/>
      <c r="J14" s="3698"/>
      <c r="K14" s="3701"/>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08" t="s">
        <v>2351</v>
      </c>
      <c r="C15" s="3709"/>
      <c r="D15" s="2880">
        <f>ROUND(D6*E15,0)</f>
        <v>0</v>
      </c>
      <c r="E15" s="2881">
        <v>5.5E-2</v>
      </c>
      <c r="F15" s="2874" t="s">
        <v>2352</v>
      </c>
      <c r="G15" s="2856"/>
      <c r="H15" s="2831"/>
      <c r="I15" s="2832"/>
      <c r="J15" s="3698">
        <v>2</v>
      </c>
      <c r="K15" s="3699"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08" t="s">
        <v>2362</v>
      </c>
      <c r="C16" s="3709"/>
      <c r="D16" s="2891">
        <f>D6*E16</f>
        <v>0</v>
      </c>
      <c r="E16" s="2892"/>
      <c r="F16" s="2877" t="s">
        <v>2363</v>
      </c>
      <c r="G16" s="2856"/>
      <c r="H16" s="2831"/>
      <c r="I16" s="2832"/>
      <c r="J16" s="3698"/>
      <c r="K16" s="3700"/>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0" t="s">
        <v>2365</v>
      </c>
      <c r="C17" s="3711"/>
      <c r="D17" s="2894">
        <f>ROUND(D6*E17,0)</f>
        <v>0</v>
      </c>
      <c r="E17" s="2895"/>
      <c r="F17" s="2896" t="s">
        <v>2366</v>
      </c>
      <c r="G17" s="2856"/>
      <c r="H17" s="2831"/>
      <c r="I17" s="2832"/>
      <c r="J17" s="3698"/>
      <c r="K17" s="3700"/>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698"/>
      <c r="K18" s="3700"/>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698"/>
      <c r="K19" s="3701"/>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698">
        <v>3</v>
      </c>
      <c r="K20" s="3699"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698"/>
      <c r="K21" s="3700"/>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698"/>
      <c r="K22" s="3700"/>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698"/>
      <c r="K23" s="3700"/>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698"/>
      <c r="K24" s="3701"/>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02">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03"/>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704" t="s">
        <v>2408</v>
      </c>
      <c r="K32" s="3705"/>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06" t="s">
        <v>2412</v>
      </c>
      <c r="K33" s="3707"/>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06" t="s">
        <v>2414</v>
      </c>
      <c r="K34" s="3707"/>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698">
        <v>1</v>
      </c>
      <c r="K36" s="3699"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698"/>
      <c r="K37" s="3700"/>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698"/>
      <c r="K38" s="3700"/>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698"/>
      <c r="K39" s="3700"/>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698"/>
      <c r="K40" s="3701"/>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02">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03"/>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6" t="s">
        <v>471</v>
      </c>
      <c r="D4" s="3607"/>
      <c r="E4" s="3632" t="s">
        <v>472</v>
      </c>
      <c r="F4" s="3633"/>
      <c r="G4" s="3606" t="s">
        <v>473</v>
      </c>
      <c r="H4" s="3607"/>
      <c r="I4" s="3606" t="s">
        <v>474</v>
      </c>
      <c r="J4" s="3607"/>
      <c r="K4" s="465" t="s">
        <v>475</v>
      </c>
      <c r="L4" s="1741"/>
      <c r="M4" s="1742"/>
      <c r="N4" s="1742"/>
      <c r="O4" s="1742"/>
      <c r="P4" s="3608" t="s">
        <v>476</v>
      </c>
      <c r="Q4" s="3609"/>
      <c r="R4" s="3592" t="s">
        <v>472</v>
      </c>
      <c r="S4" s="3593"/>
      <c r="T4" s="3592" t="s">
        <v>473</v>
      </c>
      <c r="U4" s="3593"/>
      <c r="V4" s="3614" t="s">
        <v>474</v>
      </c>
      <c r="W4" s="3614"/>
      <c r="X4" s="1302"/>
      <c r="Y4" s="3592" t="s">
        <v>476</v>
      </c>
      <c r="Z4" s="3593"/>
      <c r="AA4" s="3587" t="s">
        <v>472</v>
      </c>
      <c r="AB4" s="3614" t="s">
        <v>473</v>
      </c>
      <c r="AC4" s="3587" t="s">
        <v>474</v>
      </c>
    </row>
    <row r="5" spans="1:29" ht="15">
      <c r="A5" s="466"/>
      <c r="B5" s="467"/>
      <c r="C5" s="3617" t="s">
        <v>2186</v>
      </c>
      <c r="D5" s="3618"/>
      <c r="E5" s="3634" t="s">
        <v>2187</v>
      </c>
      <c r="F5" s="3635"/>
      <c r="G5" s="3617" t="s">
        <v>2188</v>
      </c>
      <c r="H5" s="3618"/>
      <c r="I5" s="3617" t="s">
        <v>2189</v>
      </c>
      <c r="J5" s="3618"/>
      <c r="K5" s="465"/>
      <c r="L5" s="1741"/>
      <c r="M5" s="1742"/>
      <c r="N5" s="1742"/>
      <c r="O5" s="1742"/>
      <c r="P5" s="3610"/>
      <c r="Q5" s="3611"/>
      <c r="R5" s="3594"/>
      <c r="S5" s="3595"/>
      <c r="T5" s="3594"/>
      <c r="U5" s="3595"/>
      <c r="V5" s="3614"/>
      <c r="W5" s="3614"/>
      <c r="X5" s="1302"/>
      <c r="Y5" s="3594"/>
      <c r="Z5" s="3595"/>
      <c r="AA5" s="3588"/>
      <c r="AB5" s="3614"/>
      <c r="AC5" s="3588"/>
    </row>
    <row r="6" spans="1:29" ht="15.75" thickBot="1">
      <c r="A6" s="468"/>
      <c r="B6" s="469"/>
      <c r="C6" s="3615" t="s">
        <v>2190</v>
      </c>
      <c r="D6" s="3616"/>
      <c r="E6" s="3636" t="s">
        <v>2190</v>
      </c>
      <c r="F6" s="3637"/>
      <c r="G6" s="3615" t="s">
        <v>2190</v>
      </c>
      <c r="H6" s="3616"/>
      <c r="I6" s="3615" t="s">
        <v>2190</v>
      </c>
      <c r="J6" s="3616"/>
      <c r="K6" s="465" t="s">
        <v>477</v>
      </c>
      <c r="L6" s="1741"/>
      <c r="M6" s="1742"/>
      <c r="N6" s="1742"/>
      <c r="O6" s="1742"/>
      <c r="P6" s="3612"/>
      <c r="Q6" s="3613"/>
      <c r="R6" s="3594"/>
      <c r="S6" s="3595"/>
      <c r="T6" s="3596"/>
      <c r="U6" s="3597"/>
      <c r="V6" s="3614"/>
      <c r="W6" s="3614"/>
      <c r="X6" s="1302"/>
      <c r="Y6" s="3596"/>
      <c r="Z6" s="3597"/>
      <c r="AA6" s="3589"/>
      <c r="AB6" s="3614"/>
      <c r="AC6" s="3589"/>
    </row>
    <row r="7" spans="1:29" s="1060" customFormat="1" ht="15.75" thickBot="1">
      <c r="A7" s="2208"/>
      <c r="B7" s="2215" t="s">
        <v>478</v>
      </c>
      <c r="C7" s="470">
        <f>'数据-取费表'!B2</f>
        <v>45541</v>
      </c>
      <c r="D7" s="471">
        <v>100</v>
      </c>
      <c r="E7" s="472"/>
      <c r="F7" s="473">
        <f>SUMIF(58:58,YEAR(E7)&amp;"-"&amp;MONTH(E7),59:59)</f>
        <v>0</v>
      </c>
      <c r="G7" s="472"/>
      <c r="H7" s="471">
        <f>SUMIF(58:58,YEAR(G7)&amp;"-"&amp;MONTH(G7),59:59)</f>
        <v>0</v>
      </c>
      <c r="I7" s="472"/>
      <c r="J7" s="471">
        <f>SUMIF(58:58,YEAR(I7)&amp;"-"&amp;MONTH(I7),59:59)</f>
        <v>0</v>
      </c>
      <c r="K7" s="88"/>
      <c r="L7" s="1743"/>
      <c r="M7" s="1640"/>
      <c r="N7" s="1640"/>
      <c r="O7" s="1640"/>
      <c r="P7" s="3590" t="s">
        <v>479</v>
      </c>
      <c r="Q7" s="3599"/>
      <c r="R7" s="1303" t="s">
        <v>5</v>
      </c>
      <c r="S7" s="1304">
        <f t="shared" ref="S7:S15" si="0">F7</f>
        <v>0</v>
      </c>
      <c r="T7" s="1303" t="s">
        <v>5</v>
      </c>
      <c r="U7" s="1304">
        <f t="shared" ref="U7:U15" si="1">H7</f>
        <v>0</v>
      </c>
      <c r="V7" s="1303" t="s">
        <v>5</v>
      </c>
      <c r="W7" s="1304">
        <f t="shared" ref="W7:W15" si="2">J7</f>
        <v>0</v>
      </c>
      <c r="X7" s="1305"/>
      <c r="Y7" s="3590" t="s">
        <v>479</v>
      </c>
      <c r="Z7" s="3591"/>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90" t="s">
        <v>482</v>
      </c>
      <c r="Q8" s="3591"/>
      <c r="R8" s="1303" t="s">
        <v>5</v>
      </c>
      <c r="S8" s="1304">
        <f t="shared" si="0"/>
        <v>0</v>
      </c>
      <c r="T8" s="1303" t="s">
        <v>5</v>
      </c>
      <c r="U8" s="1304">
        <f t="shared" si="1"/>
        <v>0</v>
      </c>
      <c r="V8" s="1303" t="s">
        <v>5</v>
      </c>
      <c r="W8" s="1304">
        <f t="shared" si="2"/>
        <v>0</v>
      </c>
      <c r="X8" s="1305"/>
      <c r="Y8" s="3590" t="s">
        <v>482</v>
      </c>
      <c r="Z8" s="3591"/>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50"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50"/>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8"/>
      <c r="Q11" s="818" t="str">
        <f t="shared" si="6"/>
        <v>容积率</v>
      </c>
      <c r="R11" s="1303" t="s">
        <v>5</v>
      </c>
      <c r="S11" s="1304" t="e">
        <f t="shared" si="0"/>
        <v>#N/A</v>
      </c>
      <c r="T11" s="1303" t="s">
        <v>5</v>
      </c>
      <c r="U11" s="1304" t="e">
        <f t="shared" si="1"/>
        <v>#N/A</v>
      </c>
      <c r="V11" s="1303" t="s">
        <v>5</v>
      </c>
      <c r="W11" s="1304" t="e">
        <f t="shared" si="2"/>
        <v>#N/A</v>
      </c>
      <c r="X11" s="1305"/>
      <c r="Y11" s="3550"/>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50"/>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50"/>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98"/>
      <c r="Q14" s="818">
        <f t="shared" si="6"/>
        <v>111</v>
      </c>
      <c r="R14" s="1303" t="s">
        <v>5</v>
      </c>
      <c r="S14" s="1304">
        <f t="shared" si="0"/>
        <v>100</v>
      </c>
      <c r="T14" s="1303" t="s">
        <v>5</v>
      </c>
      <c r="U14" s="1304">
        <f t="shared" si="1"/>
        <v>100</v>
      </c>
      <c r="V14" s="1303" t="s">
        <v>5</v>
      </c>
      <c r="W14" s="1304">
        <f t="shared" si="2"/>
        <v>100</v>
      </c>
      <c r="X14" s="1305"/>
      <c r="Y14" s="3550"/>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00" t="s">
        <v>489</v>
      </c>
      <c r="Q15" s="1306" t="str">
        <f t="shared" si="6"/>
        <v>商业繁华度</v>
      </c>
      <c r="R15" s="1307" t="s">
        <v>5</v>
      </c>
      <c r="S15" s="1308">
        <f t="shared" si="0"/>
        <v>100</v>
      </c>
      <c r="T15" s="1307" t="s">
        <v>5</v>
      </c>
      <c r="U15" s="1308">
        <f t="shared" si="1"/>
        <v>100</v>
      </c>
      <c r="V15" s="1307" t="s">
        <v>5</v>
      </c>
      <c r="W15" s="1308">
        <f t="shared" si="2"/>
        <v>100</v>
      </c>
      <c r="X15" s="1302"/>
      <c r="Y15" s="3600"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1"/>
      <c r="Q16" s="1306"/>
      <c r="R16" s="1307"/>
      <c r="S16" s="1308"/>
      <c r="T16" s="1307"/>
      <c r="U16" s="1308"/>
      <c r="V16" s="1307"/>
      <c r="W16" s="1308"/>
      <c r="X16" s="1302"/>
      <c r="Y16" s="3601"/>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01"/>
      <c r="Q17" s="1306" t="str">
        <f>B17</f>
        <v>交通便捷度</v>
      </c>
      <c r="R17" s="1307" t="s">
        <v>5</v>
      </c>
      <c r="S17" s="1308">
        <f>F17</f>
        <v>100</v>
      </c>
      <c r="T17" s="1307" t="s">
        <v>5</v>
      </c>
      <c r="U17" s="1308">
        <f>H17</f>
        <v>100</v>
      </c>
      <c r="V17" s="1307" t="s">
        <v>5</v>
      </c>
      <c r="W17" s="1308">
        <f>J17</f>
        <v>100</v>
      </c>
      <c r="X17" s="1302"/>
      <c r="Y17" s="3601"/>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1"/>
      <c r="Q18" s="1306"/>
      <c r="R18" s="1307"/>
      <c r="S18" s="1308"/>
      <c r="T18" s="1307"/>
      <c r="U18" s="1308"/>
      <c r="V18" s="1307"/>
      <c r="W18" s="1308"/>
      <c r="X18" s="1302"/>
      <c r="Y18" s="3601"/>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01"/>
      <c r="Q19" s="1306" t="str">
        <f>B19</f>
        <v>公共配套设施</v>
      </c>
      <c r="R19" s="1307" t="s">
        <v>5</v>
      </c>
      <c r="S19" s="1308">
        <f>F19</f>
        <v>100</v>
      </c>
      <c r="T19" s="1307" t="s">
        <v>5</v>
      </c>
      <c r="U19" s="1308">
        <f>H19</f>
        <v>100</v>
      </c>
      <c r="V19" s="1307" t="s">
        <v>5</v>
      </c>
      <c r="W19" s="1308">
        <f>J19</f>
        <v>100</v>
      </c>
      <c r="X19" s="1302"/>
      <c r="Y19" s="3601"/>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01"/>
      <c r="Q20" s="1306"/>
      <c r="R20" s="1307"/>
      <c r="S20" s="1308"/>
      <c r="T20" s="1307"/>
      <c r="U20" s="1308"/>
      <c r="V20" s="1307"/>
      <c r="W20" s="1308"/>
      <c r="X20" s="1302"/>
      <c r="Y20" s="3601"/>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01"/>
      <c r="Q21" s="1306" t="str">
        <f>B21</f>
        <v>基础设施水平</v>
      </c>
      <c r="R21" s="1307" t="s">
        <v>5</v>
      </c>
      <c r="S21" s="1308">
        <f>F21</f>
        <v>100</v>
      </c>
      <c r="T21" s="1307" t="s">
        <v>5</v>
      </c>
      <c r="U21" s="1308">
        <f>H21</f>
        <v>100</v>
      </c>
      <c r="V21" s="1307" t="s">
        <v>5</v>
      </c>
      <c r="W21" s="1308">
        <f>J21</f>
        <v>100</v>
      </c>
      <c r="X21" s="1302"/>
      <c r="Y21" s="3601"/>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01"/>
      <c r="Q22" s="1306"/>
      <c r="R22" s="1307"/>
      <c r="S22" s="1308"/>
      <c r="T22" s="1307"/>
      <c r="U22" s="1308"/>
      <c r="V22" s="1307"/>
      <c r="W22" s="1308"/>
      <c r="X22" s="1302"/>
      <c r="Y22" s="3601"/>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01"/>
      <c r="Q23" s="1306" t="str">
        <f>B23</f>
        <v>自然及人文环境</v>
      </c>
      <c r="R23" s="1307" t="s">
        <v>5</v>
      </c>
      <c r="S23" s="1308">
        <f>F23</f>
        <v>100</v>
      </c>
      <c r="T23" s="1307" t="s">
        <v>5</v>
      </c>
      <c r="U23" s="1308">
        <f>H23</f>
        <v>100</v>
      </c>
      <c r="V23" s="1307" t="s">
        <v>5</v>
      </c>
      <c r="W23" s="1308">
        <f>J23</f>
        <v>100</v>
      </c>
      <c r="X23" s="1302"/>
      <c r="Y23" s="3601"/>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01"/>
      <c r="Q24" s="1306"/>
      <c r="R24" s="1307"/>
      <c r="S24" s="1308"/>
      <c r="T24" s="1307"/>
      <c r="U24" s="1308"/>
      <c r="V24" s="1307"/>
      <c r="W24" s="1308"/>
      <c r="X24" s="1302"/>
      <c r="Y24" s="3601"/>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1"/>
      <c r="Q25" s="1306" t="str">
        <f t="shared" ref="Q25:Q46" si="8">B25</f>
        <v>临街状况</v>
      </c>
      <c r="R25" s="1307" t="s">
        <v>5</v>
      </c>
      <c r="S25" s="1308">
        <f>F25</f>
        <v>100</v>
      </c>
      <c r="T25" s="1307" t="s">
        <v>5</v>
      </c>
      <c r="U25" s="1308">
        <f>H25</f>
        <v>100</v>
      </c>
      <c r="V25" s="1307" t="s">
        <v>5</v>
      </c>
      <c r="W25" s="1308">
        <f>J25</f>
        <v>100</v>
      </c>
      <c r="X25" s="1302"/>
      <c r="Y25" s="3601"/>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1"/>
      <c r="Q26" s="1306" t="str">
        <f t="shared" si="8"/>
        <v>平面位置/可视性</v>
      </c>
      <c r="R26" s="1307" t="s">
        <v>5</v>
      </c>
      <c r="S26" s="1308">
        <f>F26</f>
        <v>100</v>
      </c>
      <c r="T26" s="1307" t="s">
        <v>5</v>
      </c>
      <c r="U26" s="1308">
        <f>H26</f>
        <v>100</v>
      </c>
      <c r="V26" s="1307" t="s">
        <v>5</v>
      </c>
      <c r="W26" s="1308">
        <f>J26</f>
        <v>100</v>
      </c>
      <c r="X26" s="1302"/>
      <c r="Y26" s="3601"/>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01"/>
      <c r="Q27" s="818" t="str">
        <f t="shared" si="8"/>
        <v>人流量</v>
      </c>
      <c r="R27" s="1303" t="s">
        <v>5</v>
      </c>
      <c r="S27" s="1304">
        <f>F27</f>
        <v>100</v>
      </c>
      <c r="T27" s="1303" t="s">
        <v>5</v>
      </c>
      <c r="U27" s="1304">
        <f>H27</f>
        <v>100</v>
      </c>
      <c r="V27" s="1303" t="s">
        <v>5</v>
      </c>
      <c r="W27" s="1304">
        <f>J27</f>
        <v>100</v>
      </c>
      <c r="X27" s="1305"/>
      <c r="Y27" s="3601"/>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1"/>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1"/>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1"/>
      <c r="Q29" s="1306">
        <f t="shared" si="8"/>
        <v>111</v>
      </c>
      <c r="R29" s="1307" t="s">
        <v>5</v>
      </c>
      <c r="S29" s="1308">
        <f t="shared" si="9"/>
        <v>100</v>
      </c>
      <c r="T29" s="1307" t="s">
        <v>5</v>
      </c>
      <c r="U29" s="1308">
        <f t="shared" si="10"/>
        <v>100</v>
      </c>
      <c r="V29" s="1307" t="s">
        <v>5</v>
      </c>
      <c r="W29" s="1308">
        <f t="shared" si="11"/>
        <v>100</v>
      </c>
      <c r="X29" s="1302"/>
      <c r="Y29" s="3601"/>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1"/>
      <c r="Q30" s="1306">
        <f t="shared" si="8"/>
        <v>111</v>
      </c>
      <c r="R30" s="1307" t="s">
        <v>5</v>
      </c>
      <c r="S30" s="1308">
        <f t="shared" si="9"/>
        <v>100</v>
      </c>
      <c r="T30" s="1307" t="s">
        <v>5</v>
      </c>
      <c r="U30" s="1308">
        <f t="shared" si="10"/>
        <v>100</v>
      </c>
      <c r="V30" s="1307" t="s">
        <v>5</v>
      </c>
      <c r="W30" s="1308">
        <f t="shared" si="11"/>
        <v>100</v>
      </c>
      <c r="X30" s="1302"/>
      <c r="Y30" s="3601"/>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1"/>
      <c r="Q31" s="1306">
        <f t="shared" si="8"/>
        <v>111</v>
      </c>
      <c r="R31" s="1307" t="s">
        <v>5</v>
      </c>
      <c r="S31" s="1308">
        <f t="shared" si="9"/>
        <v>100</v>
      </c>
      <c r="T31" s="1307" t="s">
        <v>5</v>
      </c>
      <c r="U31" s="1308">
        <f t="shared" si="10"/>
        <v>100</v>
      </c>
      <c r="V31" s="1307" t="s">
        <v>5</v>
      </c>
      <c r="W31" s="1308">
        <f t="shared" si="11"/>
        <v>100</v>
      </c>
      <c r="X31" s="1302"/>
      <c r="Y31" s="3601"/>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2" t="s">
        <v>499</v>
      </c>
      <c r="Q32" s="1306" t="str">
        <f t="shared" si="8"/>
        <v>商业类型</v>
      </c>
      <c r="R32" s="1307" t="s">
        <v>5</v>
      </c>
      <c r="S32" s="1308">
        <f t="shared" si="9"/>
        <v>100</v>
      </c>
      <c r="T32" s="1307" t="s">
        <v>5</v>
      </c>
      <c r="U32" s="1308">
        <f t="shared" si="10"/>
        <v>100</v>
      </c>
      <c r="V32" s="1307" t="s">
        <v>5</v>
      </c>
      <c r="W32" s="1308">
        <f t="shared" si="11"/>
        <v>100</v>
      </c>
      <c r="X32" s="1302"/>
      <c r="Y32" s="3603"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03"/>
      <c r="Q33" s="819" t="str">
        <f t="shared" si="8"/>
        <v>项目建筑规模</v>
      </c>
      <c r="R33" s="1310" t="s">
        <v>5</v>
      </c>
      <c r="S33" s="1311" t="e">
        <f t="shared" si="9"/>
        <v>#N/A</v>
      </c>
      <c r="T33" s="1310" t="s">
        <v>5</v>
      </c>
      <c r="U33" s="1311" t="e">
        <f t="shared" si="10"/>
        <v>#N/A</v>
      </c>
      <c r="V33" s="1310" t="s">
        <v>5</v>
      </c>
      <c r="W33" s="1311" t="e">
        <f t="shared" si="11"/>
        <v>#N/A</v>
      </c>
      <c r="X33" s="1312"/>
      <c r="Y33" s="3603"/>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03"/>
      <c r="Q34" s="1306" t="str">
        <f t="shared" si="8"/>
        <v>建筑结构</v>
      </c>
      <c r="R34" s="1307" t="s">
        <v>5</v>
      </c>
      <c r="S34" s="1308">
        <f t="shared" si="9"/>
        <v>100</v>
      </c>
      <c r="T34" s="1307" t="s">
        <v>5</v>
      </c>
      <c r="U34" s="1308">
        <f t="shared" si="10"/>
        <v>100</v>
      </c>
      <c r="V34" s="1307" t="s">
        <v>5</v>
      </c>
      <c r="W34" s="1308">
        <f t="shared" si="11"/>
        <v>100</v>
      </c>
      <c r="X34" s="1302"/>
      <c r="Y34" s="3603"/>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03"/>
      <c r="Q35" s="1306" t="str">
        <f t="shared" si="8"/>
        <v>公共部分装修</v>
      </c>
      <c r="R35" s="1307" t="s">
        <v>5</v>
      </c>
      <c r="S35" s="1308">
        <f t="shared" si="9"/>
        <v>100</v>
      </c>
      <c r="T35" s="1307" t="s">
        <v>5</v>
      </c>
      <c r="U35" s="1308">
        <f t="shared" si="10"/>
        <v>100</v>
      </c>
      <c r="V35" s="1307" t="s">
        <v>5</v>
      </c>
      <c r="W35" s="1308">
        <f t="shared" si="11"/>
        <v>100</v>
      </c>
      <c r="X35" s="1302"/>
      <c r="Y35" s="3603"/>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03"/>
      <c r="Q36" s="1306" t="str">
        <f t="shared" si="8"/>
        <v>成新度</v>
      </c>
      <c r="R36" s="1307" t="s">
        <v>5</v>
      </c>
      <c r="S36" s="1308" t="e">
        <f t="shared" si="9"/>
        <v>#N/A</v>
      </c>
      <c r="T36" s="1307" t="s">
        <v>5</v>
      </c>
      <c r="U36" s="1308" t="e">
        <f t="shared" si="10"/>
        <v>#N/A</v>
      </c>
      <c r="V36" s="1307" t="s">
        <v>5</v>
      </c>
      <c r="W36" s="1308" t="e">
        <f t="shared" si="11"/>
        <v>#N/A</v>
      </c>
      <c r="X36" s="1302"/>
      <c r="Y36" s="3603"/>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03"/>
      <c r="Q37" s="818" t="str">
        <f t="shared" si="8"/>
        <v>市政基础设施</v>
      </c>
      <c r="R37" s="1303" t="s">
        <v>5</v>
      </c>
      <c r="S37" s="1304">
        <f t="shared" si="9"/>
        <v>100</v>
      </c>
      <c r="T37" s="1303" t="s">
        <v>5</v>
      </c>
      <c r="U37" s="1304">
        <f t="shared" si="10"/>
        <v>100</v>
      </c>
      <c r="V37" s="1303" t="s">
        <v>5</v>
      </c>
      <c r="W37" s="1304">
        <f t="shared" si="11"/>
        <v>100</v>
      </c>
      <c r="X37" s="1305"/>
      <c r="Y37" s="3603"/>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03" t="s">
        <v>706</v>
      </c>
      <c r="Q38" s="1306" t="str">
        <f t="shared" si="8"/>
        <v>业态</v>
      </c>
      <c r="R38" s="1307" t="s">
        <v>5</v>
      </c>
      <c r="S38" s="1308">
        <f t="shared" si="9"/>
        <v>100</v>
      </c>
      <c r="T38" s="1307" t="s">
        <v>5</v>
      </c>
      <c r="U38" s="1308">
        <f t="shared" si="10"/>
        <v>100</v>
      </c>
      <c r="V38" s="1307" t="s">
        <v>5</v>
      </c>
      <c r="W38" s="1308">
        <f t="shared" si="11"/>
        <v>100</v>
      </c>
      <c r="X38" s="1302"/>
      <c r="Y38" s="3603"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03"/>
      <c r="Q39" s="1306" t="str">
        <f t="shared" si="8"/>
        <v>层高</v>
      </c>
      <c r="R39" s="1307" t="s">
        <v>5</v>
      </c>
      <c r="S39" s="1308">
        <f t="shared" si="9"/>
        <v>100</v>
      </c>
      <c r="T39" s="1307" t="s">
        <v>5</v>
      </c>
      <c r="U39" s="1308">
        <f t="shared" si="10"/>
        <v>100</v>
      </c>
      <c r="V39" s="1307" t="s">
        <v>5</v>
      </c>
      <c r="W39" s="1308">
        <f t="shared" si="11"/>
        <v>100</v>
      </c>
      <c r="X39" s="1302"/>
      <c r="Y39" s="3603"/>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03"/>
      <c r="Q40" s="1306" t="str">
        <f t="shared" si="8"/>
        <v>单套建筑面积</v>
      </c>
      <c r="R40" s="1307" t="s">
        <v>5</v>
      </c>
      <c r="S40" s="1308">
        <f t="shared" si="9"/>
        <v>100</v>
      </c>
      <c r="T40" s="1307" t="s">
        <v>5</v>
      </c>
      <c r="U40" s="1308">
        <f t="shared" si="10"/>
        <v>100</v>
      </c>
      <c r="V40" s="1307" t="s">
        <v>5</v>
      </c>
      <c r="W40" s="1308">
        <f t="shared" si="11"/>
        <v>100</v>
      </c>
      <c r="X40" s="1302"/>
      <c r="Y40" s="3603"/>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03"/>
      <c r="Q41" s="819" t="str">
        <f t="shared" si="8"/>
        <v>进深比</v>
      </c>
      <c r="R41" s="1310" t="s">
        <v>5</v>
      </c>
      <c r="S41" s="1311">
        <f t="shared" si="9"/>
        <v>100</v>
      </c>
      <c r="T41" s="1310" t="s">
        <v>5</v>
      </c>
      <c r="U41" s="1311">
        <f t="shared" si="10"/>
        <v>100</v>
      </c>
      <c r="V41" s="1310" t="s">
        <v>5</v>
      </c>
      <c r="W41" s="1311">
        <f t="shared" si="11"/>
        <v>100</v>
      </c>
      <c r="X41" s="1312"/>
      <c r="Y41" s="3603"/>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03"/>
      <c r="Q42" s="1306" t="str">
        <f t="shared" si="8"/>
        <v>内部装修</v>
      </c>
      <c r="R42" s="1307" t="s">
        <v>5</v>
      </c>
      <c r="S42" s="1308">
        <f t="shared" si="9"/>
        <v>100</v>
      </c>
      <c r="T42" s="1307" t="s">
        <v>5</v>
      </c>
      <c r="U42" s="1308">
        <f t="shared" si="10"/>
        <v>100</v>
      </c>
      <c r="V42" s="1307" t="s">
        <v>5</v>
      </c>
      <c r="W42" s="1308">
        <f t="shared" si="11"/>
        <v>100</v>
      </c>
      <c r="X42" s="1302"/>
      <c r="Y42" s="3603"/>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03"/>
      <c r="Q43" s="1306" t="str">
        <f t="shared" si="8"/>
        <v>内部装修维护情况</v>
      </c>
      <c r="R43" s="1307" t="s">
        <v>5</v>
      </c>
      <c r="S43" s="1308">
        <f t="shared" si="9"/>
        <v>100</v>
      </c>
      <c r="T43" s="1307" t="s">
        <v>5</v>
      </c>
      <c r="U43" s="1308">
        <f t="shared" si="10"/>
        <v>100</v>
      </c>
      <c r="V43" s="1307" t="s">
        <v>5</v>
      </c>
      <c r="W43" s="1308">
        <f t="shared" si="11"/>
        <v>100</v>
      </c>
      <c r="X43" s="1302"/>
      <c r="Y43" s="3603"/>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03"/>
      <c r="Q44" s="818">
        <f t="shared" si="8"/>
        <v>111</v>
      </c>
      <c r="R44" s="1303" t="s">
        <v>5</v>
      </c>
      <c r="S44" s="1304">
        <f t="shared" si="9"/>
        <v>100</v>
      </c>
      <c r="T44" s="1303" t="s">
        <v>5</v>
      </c>
      <c r="U44" s="1304">
        <f t="shared" si="10"/>
        <v>100</v>
      </c>
      <c r="V44" s="1303" t="s">
        <v>5</v>
      </c>
      <c r="W44" s="1304">
        <f t="shared" si="11"/>
        <v>100</v>
      </c>
      <c r="X44" s="1305"/>
      <c r="Y44" s="3603"/>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03"/>
      <c r="Q45" s="1306">
        <f t="shared" si="8"/>
        <v>111</v>
      </c>
      <c r="R45" s="1307" t="s">
        <v>5</v>
      </c>
      <c r="S45" s="1308">
        <f t="shared" si="9"/>
        <v>100</v>
      </c>
      <c r="T45" s="1307" t="s">
        <v>5</v>
      </c>
      <c r="U45" s="1308">
        <f t="shared" si="10"/>
        <v>100</v>
      </c>
      <c r="V45" s="1307" t="s">
        <v>5</v>
      </c>
      <c r="W45" s="1308">
        <f t="shared" si="11"/>
        <v>100</v>
      </c>
      <c r="X45" s="1302"/>
      <c r="Y45" s="3603"/>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5"/>
      <c r="Q46" s="1306">
        <f t="shared" si="8"/>
        <v>111</v>
      </c>
      <c r="R46" s="1307" t="s">
        <v>5</v>
      </c>
      <c r="S46" s="1308">
        <f t="shared" si="9"/>
        <v>100</v>
      </c>
      <c r="T46" s="1307" t="s">
        <v>5</v>
      </c>
      <c r="U46" s="1308">
        <f t="shared" si="10"/>
        <v>100</v>
      </c>
      <c r="V46" s="1307" t="s">
        <v>5</v>
      </c>
      <c r="W46" s="1308">
        <f t="shared" si="11"/>
        <v>100</v>
      </c>
      <c r="X46" s="1302"/>
      <c r="Y46" s="3695"/>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598" t="str">
        <f>A47</f>
        <v>成交单价（元/平方米）</v>
      </c>
      <c r="Q47" s="3598"/>
      <c r="R47" s="3614">
        <f>E47</f>
        <v>0</v>
      </c>
      <c r="S47" s="3614"/>
      <c r="T47" s="3614">
        <f>G47</f>
        <v>0</v>
      </c>
      <c r="U47" s="3614"/>
      <c r="V47" s="3614">
        <f>I47</f>
        <v>0</v>
      </c>
      <c r="W47" s="3614"/>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598" t="str">
        <f>A48</f>
        <v>比较价格（元/平方米）</v>
      </c>
      <c r="Q48" s="3598"/>
      <c r="R48" s="3614" t="e">
        <f>IF(F1="售价",ROUND(PRODUCT(R47,AA7:AA46),0),ROUND(PRODUCT(R47,AA7:AA46),1))</f>
        <v>#DIV/0!</v>
      </c>
      <c r="S48" s="3614"/>
      <c r="T48" s="3614" t="e">
        <f>IF(F1="售价",ROUND(PRODUCT(T47,AB7:AB46),0),ROUND(PRODUCT(T47,AB7:AB46),1))</f>
        <v>#DIV/0!</v>
      </c>
      <c r="U48" s="3614"/>
      <c r="V48" s="3614" t="e">
        <f>IF(F1="售价",ROUND(PRODUCT(V47,AC7:AC46),0),ROUND(PRODUCT(V47,AC7:AC46),1))</f>
        <v>#DIV/0!</v>
      </c>
      <c r="W48" s="3614"/>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04" t="str">
        <f>A49</f>
        <v>估价对象XX用房的比较价格（楼面单价，元/平方米）</v>
      </c>
      <c r="Q49" s="3605"/>
      <c r="R49" s="3694" t="e">
        <f>IF(F1="售价",ROUND(IF(D48="简单平均",AVERAGE(R48:V48),R48*F48+T48*H48+V48*J48),0),ROUND(IF(D48="简单平均",AVERAGE(R48:V48),R48*F48+T48*H48+V48*J48),1))</f>
        <v>#DIV/0!</v>
      </c>
      <c r="S49" s="3694"/>
      <c r="T49" s="3694"/>
      <c r="U49" s="3694"/>
      <c r="V49" s="3694"/>
      <c r="W49" s="3694"/>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06" t="s">
        <v>471</v>
      </c>
      <c r="D4" s="3607"/>
      <c r="E4" s="3632" t="s">
        <v>472</v>
      </c>
      <c r="F4" s="3633"/>
      <c r="G4" s="3606" t="s">
        <v>473</v>
      </c>
      <c r="H4" s="3607"/>
      <c r="I4" s="3606" t="s">
        <v>474</v>
      </c>
      <c r="J4" s="3607"/>
      <c r="K4" s="465" t="s">
        <v>475</v>
      </c>
      <c r="L4" s="1741"/>
      <c r="M4" s="1742"/>
      <c r="N4" s="1742"/>
      <c r="O4" s="1742"/>
      <c r="P4" s="3717" t="s">
        <v>476</v>
      </c>
      <c r="Q4" s="3609"/>
      <c r="R4" s="3592" t="s">
        <v>472</v>
      </c>
      <c r="S4" s="3593"/>
      <c r="T4" s="3592" t="s">
        <v>473</v>
      </c>
      <c r="U4" s="3593"/>
      <c r="V4" s="3614" t="s">
        <v>474</v>
      </c>
      <c r="W4" s="3614"/>
      <c r="X4" s="1302"/>
      <c r="Y4" s="3592" t="s">
        <v>476</v>
      </c>
      <c r="Z4" s="3593"/>
      <c r="AA4" s="3587" t="s">
        <v>472</v>
      </c>
      <c r="AB4" s="3587" t="s">
        <v>473</v>
      </c>
      <c r="AC4" s="3587" t="s">
        <v>474</v>
      </c>
    </row>
    <row r="5" spans="1:29" ht="15">
      <c r="A5" s="466"/>
      <c r="B5" s="467"/>
      <c r="C5" s="3617" t="s">
        <v>2186</v>
      </c>
      <c r="D5" s="3618"/>
      <c r="E5" s="3634" t="s">
        <v>2187</v>
      </c>
      <c r="F5" s="3635"/>
      <c r="G5" s="3617" t="s">
        <v>2188</v>
      </c>
      <c r="H5" s="3618"/>
      <c r="I5" s="3617" t="s">
        <v>2189</v>
      </c>
      <c r="J5" s="3618"/>
      <c r="K5" s="465"/>
      <c r="L5" s="1741"/>
      <c r="M5" s="1742"/>
      <c r="N5" s="1742"/>
      <c r="O5" s="1742"/>
      <c r="P5" s="3718"/>
      <c r="Q5" s="3611"/>
      <c r="R5" s="3594"/>
      <c r="S5" s="3595"/>
      <c r="T5" s="3594"/>
      <c r="U5" s="3595"/>
      <c r="V5" s="3614"/>
      <c r="W5" s="3614"/>
      <c r="X5" s="1302"/>
      <c r="Y5" s="3594"/>
      <c r="Z5" s="3595"/>
      <c r="AA5" s="3588"/>
      <c r="AB5" s="3588"/>
      <c r="AC5" s="3588"/>
    </row>
    <row r="6" spans="1:29" ht="15.75" thickBot="1">
      <c r="A6" s="468"/>
      <c r="B6" s="469"/>
      <c r="C6" s="3615" t="s">
        <v>2190</v>
      </c>
      <c r="D6" s="3616"/>
      <c r="E6" s="3636" t="s">
        <v>2190</v>
      </c>
      <c r="F6" s="3637"/>
      <c r="G6" s="3615" t="s">
        <v>2190</v>
      </c>
      <c r="H6" s="3616"/>
      <c r="I6" s="3615" t="s">
        <v>2190</v>
      </c>
      <c r="J6" s="3616"/>
      <c r="K6" s="465" t="s">
        <v>477</v>
      </c>
      <c r="L6" s="1741"/>
      <c r="M6" s="1742"/>
      <c r="N6" s="1742"/>
      <c r="O6" s="1742"/>
      <c r="P6" s="3719"/>
      <c r="Q6" s="3613"/>
      <c r="R6" s="3594"/>
      <c r="S6" s="3595"/>
      <c r="T6" s="3596"/>
      <c r="U6" s="3597"/>
      <c r="V6" s="3614"/>
      <c r="W6" s="3614"/>
      <c r="X6" s="1302"/>
      <c r="Y6" s="3596"/>
      <c r="Z6" s="3597"/>
      <c r="AA6" s="3589"/>
      <c r="AB6" s="3589"/>
      <c r="AC6" s="3589"/>
    </row>
    <row r="7" spans="1:29" s="1060" customFormat="1" ht="15.75" thickBot="1">
      <c r="A7" s="2208"/>
      <c r="B7" s="2215" t="s">
        <v>478</v>
      </c>
      <c r="C7" s="470">
        <f>'数据-取费表'!B2</f>
        <v>45541</v>
      </c>
      <c r="D7" s="471">
        <v>100</v>
      </c>
      <c r="E7" s="472"/>
      <c r="F7" s="473">
        <f>SUMIF(59:59,YEAR(E7)&amp;"-"&amp;MONTH(E7),60:60)</f>
        <v>0</v>
      </c>
      <c r="G7" s="472"/>
      <c r="H7" s="471">
        <f>SUMIF(59:59,YEAR(G7)&amp;"-"&amp;MONTH(G7),60:60)</f>
        <v>0</v>
      </c>
      <c r="I7" s="472"/>
      <c r="J7" s="471">
        <f>SUMIF(59:59,YEAR(I7)&amp;"-"&amp;MONTH(I7),60:60)</f>
        <v>0</v>
      </c>
      <c r="K7" s="88"/>
      <c r="L7" s="1743"/>
      <c r="M7" s="1640"/>
      <c r="N7" s="1640"/>
      <c r="O7" s="1640"/>
      <c r="P7" s="3599" t="s">
        <v>479</v>
      </c>
      <c r="Q7" s="3599"/>
      <c r="R7" s="1303" t="s">
        <v>5</v>
      </c>
      <c r="S7" s="1304">
        <f t="shared" ref="S7:S15" si="0">F7</f>
        <v>0</v>
      </c>
      <c r="T7" s="1303" t="s">
        <v>5</v>
      </c>
      <c r="U7" s="1304">
        <f t="shared" ref="U7:U15" si="1">H7</f>
        <v>0</v>
      </c>
      <c r="V7" s="1303" t="s">
        <v>5</v>
      </c>
      <c r="W7" s="1304">
        <f t="shared" ref="W7:W15" si="2">J7</f>
        <v>0</v>
      </c>
      <c r="X7" s="1305"/>
      <c r="Y7" s="3590" t="s">
        <v>479</v>
      </c>
      <c r="Z7" s="3591"/>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599" t="s">
        <v>482</v>
      </c>
      <c r="Q8" s="3591"/>
      <c r="R8" s="1303" t="s">
        <v>5</v>
      </c>
      <c r="S8" s="1304">
        <f t="shared" si="0"/>
        <v>0</v>
      </c>
      <c r="T8" s="1303" t="s">
        <v>5</v>
      </c>
      <c r="U8" s="1304">
        <f t="shared" si="1"/>
        <v>0</v>
      </c>
      <c r="V8" s="1303" t="s">
        <v>5</v>
      </c>
      <c r="W8" s="1304">
        <f t="shared" si="2"/>
        <v>0</v>
      </c>
      <c r="X8" s="1305"/>
      <c r="Y8" s="3590" t="s">
        <v>482</v>
      </c>
      <c r="Z8" s="3591"/>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8" t="s">
        <v>484</v>
      </c>
      <c r="Q9" s="818" t="str">
        <f t="shared" ref="Q9:Q15" si="6">B9</f>
        <v>用途</v>
      </c>
      <c r="R9" s="1303" t="s">
        <v>5</v>
      </c>
      <c r="S9" s="1304">
        <f t="shared" si="0"/>
        <v>100</v>
      </c>
      <c r="T9" s="1303" t="s">
        <v>5</v>
      </c>
      <c r="U9" s="1304">
        <f t="shared" si="1"/>
        <v>100</v>
      </c>
      <c r="V9" s="1303" t="s">
        <v>5</v>
      </c>
      <c r="W9" s="1304">
        <f t="shared" si="2"/>
        <v>100</v>
      </c>
      <c r="X9" s="1305"/>
      <c r="Y9" s="3550"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8"/>
      <c r="Q10" s="818" t="str">
        <f t="shared" si="6"/>
        <v>土地使用年限（年）</v>
      </c>
      <c r="R10" s="1303" t="s">
        <v>5</v>
      </c>
      <c r="S10" s="1304">
        <f t="shared" si="0"/>
        <v>100</v>
      </c>
      <c r="T10" s="1303" t="s">
        <v>5</v>
      </c>
      <c r="U10" s="1304">
        <f t="shared" si="1"/>
        <v>100</v>
      </c>
      <c r="V10" s="1303" t="s">
        <v>5</v>
      </c>
      <c r="W10" s="1304">
        <f t="shared" si="2"/>
        <v>100</v>
      </c>
      <c r="X10" s="1305"/>
      <c r="Y10" s="3550"/>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8"/>
      <c r="Q11" s="818" t="str">
        <f t="shared" si="6"/>
        <v>容积率</v>
      </c>
      <c r="R11" s="1303" t="s">
        <v>5</v>
      </c>
      <c r="S11" s="1304" t="e">
        <f t="shared" si="0"/>
        <v>#N/A</v>
      </c>
      <c r="T11" s="1303" t="s">
        <v>5</v>
      </c>
      <c r="U11" s="1304" t="e">
        <f t="shared" si="1"/>
        <v>#N/A</v>
      </c>
      <c r="V11" s="1303" t="s">
        <v>5</v>
      </c>
      <c r="W11" s="1304" t="e">
        <f t="shared" si="2"/>
        <v>#N/A</v>
      </c>
      <c r="X11" s="1305"/>
      <c r="Y11" s="3550"/>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98"/>
      <c r="Q12" s="818">
        <f t="shared" si="6"/>
        <v>111</v>
      </c>
      <c r="R12" s="1303" t="s">
        <v>5</v>
      </c>
      <c r="S12" s="1304">
        <f t="shared" si="0"/>
        <v>100</v>
      </c>
      <c r="T12" s="1303" t="s">
        <v>5</v>
      </c>
      <c r="U12" s="1304">
        <f t="shared" si="1"/>
        <v>100</v>
      </c>
      <c r="V12" s="1303" t="s">
        <v>5</v>
      </c>
      <c r="W12" s="1304">
        <f t="shared" si="2"/>
        <v>100</v>
      </c>
      <c r="X12" s="1305"/>
      <c r="Y12" s="3550"/>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98"/>
      <c r="Q13" s="818">
        <f t="shared" si="6"/>
        <v>111</v>
      </c>
      <c r="R13" s="1303" t="s">
        <v>5</v>
      </c>
      <c r="S13" s="1304">
        <f t="shared" si="0"/>
        <v>100</v>
      </c>
      <c r="T13" s="1303" t="s">
        <v>5</v>
      </c>
      <c r="U13" s="1304">
        <f t="shared" si="1"/>
        <v>100</v>
      </c>
      <c r="V13" s="1303" t="s">
        <v>5</v>
      </c>
      <c r="W13" s="1304">
        <f t="shared" si="2"/>
        <v>100</v>
      </c>
      <c r="X13" s="1305"/>
      <c r="Y13" s="3550"/>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98"/>
      <c r="Q14" s="818">
        <f t="shared" si="6"/>
        <v>111</v>
      </c>
      <c r="R14" s="1303" t="s">
        <v>5</v>
      </c>
      <c r="S14" s="1304">
        <f t="shared" si="0"/>
        <v>100</v>
      </c>
      <c r="T14" s="1303" t="s">
        <v>5</v>
      </c>
      <c r="U14" s="1304">
        <f t="shared" si="1"/>
        <v>100</v>
      </c>
      <c r="V14" s="1303" t="s">
        <v>5</v>
      </c>
      <c r="W14" s="1304">
        <f t="shared" si="2"/>
        <v>100</v>
      </c>
      <c r="X14" s="1305"/>
      <c r="Y14" s="3550"/>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00" t="s">
        <v>489</v>
      </c>
      <c r="Q15" s="1306" t="str">
        <f t="shared" si="6"/>
        <v>办公集聚程度</v>
      </c>
      <c r="R15" s="1307" t="s">
        <v>5</v>
      </c>
      <c r="S15" s="1308">
        <f t="shared" si="0"/>
        <v>100</v>
      </c>
      <c r="T15" s="1307" t="s">
        <v>5</v>
      </c>
      <c r="U15" s="1308">
        <f t="shared" si="1"/>
        <v>100</v>
      </c>
      <c r="V15" s="1307" t="s">
        <v>5</v>
      </c>
      <c r="W15" s="1308">
        <f t="shared" si="2"/>
        <v>100</v>
      </c>
      <c r="X15" s="1302"/>
      <c r="Y15" s="3600"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01"/>
      <c r="Q16" s="1306"/>
      <c r="R16" s="1307"/>
      <c r="S16" s="1308"/>
      <c r="T16" s="1307"/>
      <c r="U16" s="1308"/>
      <c r="V16" s="1307"/>
      <c r="W16" s="1308"/>
      <c r="X16" s="1302"/>
      <c r="Y16" s="3601"/>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01"/>
      <c r="Q17" s="1306" t="str">
        <f>B17</f>
        <v>交通便捷度</v>
      </c>
      <c r="R17" s="1307" t="s">
        <v>5</v>
      </c>
      <c r="S17" s="1308">
        <f>F17</f>
        <v>100</v>
      </c>
      <c r="T17" s="1307" t="s">
        <v>5</v>
      </c>
      <c r="U17" s="1308">
        <f>H17</f>
        <v>100</v>
      </c>
      <c r="V17" s="1307" t="s">
        <v>5</v>
      </c>
      <c r="W17" s="1308">
        <f>J17</f>
        <v>100</v>
      </c>
      <c r="X17" s="1302"/>
      <c r="Y17" s="3601"/>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01"/>
      <c r="Q18" s="1306"/>
      <c r="R18" s="1307"/>
      <c r="S18" s="1308"/>
      <c r="T18" s="1307"/>
      <c r="U18" s="1308"/>
      <c r="V18" s="1307"/>
      <c r="W18" s="1308"/>
      <c r="X18" s="1302"/>
      <c r="Y18" s="3601"/>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01"/>
      <c r="Q19" s="1306" t="str">
        <f>B19</f>
        <v>公共配套设施</v>
      </c>
      <c r="R19" s="1307" t="s">
        <v>5</v>
      </c>
      <c r="S19" s="1308">
        <f>F19</f>
        <v>100</v>
      </c>
      <c r="T19" s="1307" t="s">
        <v>5</v>
      </c>
      <c r="U19" s="1308">
        <f>H19</f>
        <v>100</v>
      </c>
      <c r="V19" s="1307" t="s">
        <v>5</v>
      </c>
      <c r="W19" s="1308">
        <f>J19</f>
        <v>100</v>
      </c>
      <c r="X19" s="1302"/>
      <c r="Y19" s="3601"/>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01"/>
      <c r="Q20" s="1306"/>
      <c r="R20" s="1307"/>
      <c r="S20" s="1308"/>
      <c r="T20" s="1307"/>
      <c r="U20" s="1308"/>
      <c r="V20" s="1307"/>
      <c r="W20" s="1308"/>
      <c r="X20" s="1302"/>
      <c r="Y20" s="3601"/>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01"/>
      <c r="Q21" s="1306" t="str">
        <f>B21</f>
        <v>基础设施水平</v>
      </c>
      <c r="R21" s="1307" t="s">
        <v>5</v>
      </c>
      <c r="S21" s="1308">
        <f>F21</f>
        <v>100</v>
      </c>
      <c r="T21" s="1307" t="s">
        <v>5</v>
      </c>
      <c r="U21" s="1308">
        <f>H21</f>
        <v>100</v>
      </c>
      <c r="V21" s="1307" t="s">
        <v>5</v>
      </c>
      <c r="W21" s="1308">
        <f>J21</f>
        <v>100</v>
      </c>
      <c r="X21" s="1302"/>
      <c r="Y21" s="3601"/>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1"/>
      <c r="Q22" s="1306"/>
      <c r="R22" s="1307"/>
      <c r="S22" s="1308"/>
      <c r="T22" s="1307"/>
      <c r="U22" s="1308"/>
      <c r="V22" s="1307"/>
      <c r="W22" s="1308"/>
      <c r="X22" s="1302"/>
      <c r="Y22" s="3601"/>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01"/>
      <c r="Q23" s="1306" t="str">
        <f>B23</f>
        <v>环境质量</v>
      </c>
      <c r="R23" s="1307" t="s">
        <v>5</v>
      </c>
      <c r="S23" s="1308">
        <f>F23</f>
        <v>100</v>
      </c>
      <c r="T23" s="1307" t="s">
        <v>5</v>
      </c>
      <c r="U23" s="1308">
        <f>H23</f>
        <v>100</v>
      </c>
      <c r="V23" s="1307" t="s">
        <v>5</v>
      </c>
      <c r="W23" s="1308">
        <f>J23</f>
        <v>100</v>
      </c>
      <c r="X23" s="1302"/>
      <c r="Y23" s="3601"/>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01"/>
      <c r="Q24" s="1306"/>
      <c r="R24" s="1307"/>
      <c r="S24" s="1308"/>
      <c r="T24" s="1307"/>
      <c r="U24" s="1308"/>
      <c r="V24" s="1307"/>
      <c r="W24" s="1308"/>
      <c r="X24" s="1302"/>
      <c r="Y24" s="3601"/>
      <c r="Z24" s="1309"/>
      <c r="AA24" s="1309">
        <v>1</v>
      </c>
      <c r="AB24" s="1309">
        <v>1</v>
      </c>
      <c r="AC24" s="1309">
        <v>1</v>
      </c>
    </row>
    <row r="25" spans="1:29" ht="28.5">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01"/>
      <c r="Q25" s="1306" t="str">
        <f>B25</f>
        <v>毗邻道路的类型与等级</v>
      </c>
      <c r="R25" s="1307" t="s">
        <v>5</v>
      </c>
      <c r="S25" s="1308">
        <f>F25</f>
        <v>100</v>
      </c>
      <c r="T25" s="1307" t="s">
        <v>5</v>
      </c>
      <c r="U25" s="1308">
        <f>H25</f>
        <v>100</v>
      </c>
      <c r="V25" s="1307" t="s">
        <v>5</v>
      </c>
      <c r="W25" s="1308">
        <f>J25</f>
        <v>100</v>
      </c>
      <c r="X25" s="1302"/>
      <c r="Y25" s="3601"/>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01"/>
      <c r="Q26" s="1306"/>
      <c r="R26" s="1307"/>
      <c r="S26" s="1308"/>
      <c r="T26" s="1307"/>
      <c r="U26" s="1308"/>
      <c r="V26" s="1307"/>
      <c r="W26" s="1308"/>
      <c r="X26" s="1302"/>
      <c r="Y26" s="3601"/>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1"/>
      <c r="Q27" s="1306" t="str">
        <f t="shared" ref="Q27:Q47" si="8">B27</f>
        <v>楼层</v>
      </c>
      <c r="R27" s="1307" t="s">
        <v>5</v>
      </c>
      <c r="S27" s="1308">
        <f>F27</f>
        <v>100</v>
      </c>
      <c r="T27" s="1307" t="s">
        <v>5</v>
      </c>
      <c r="U27" s="1308">
        <f>H27</f>
        <v>100</v>
      </c>
      <c r="V27" s="1307" t="s">
        <v>5</v>
      </c>
      <c r="W27" s="1308">
        <f>J27</f>
        <v>100</v>
      </c>
      <c r="X27" s="1302"/>
      <c r="Y27" s="3601"/>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01"/>
      <c r="Q28" s="818" t="str">
        <f t="shared" si="8"/>
        <v>朝向</v>
      </c>
      <c r="R28" s="1303" t="s">
        <v>5</v>
      </c>
      <c r="S28" s="1304">
        <f>F28</f>
        <v>100</v>
      </c>
      <c r="T28" s="1303" t="s">
        <v>5</v>
      </c>
      <c r="U28" s="1304">
        <f>H28</f>
        <v>100</v>
      </c>
      <c r="V28" s="1303" t="s">
        <v>5</v>
      </c>
      <c r="W28" s="1304">
        <f>J28</f>
        <v>100</v>
      </c>
      <c r="X28" s="1305"/>
      <c r="Y28" s="3601"/>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01"/>
      <c r="Q29" s="1306">
        <f t="shared" si="8"/>
        <v>111</v>
      </c>
      <c r="R29" s="1307" t="s">
        <v>5</v>
      </c>
      <c r="S29" s="1308">
        <f t="shared" ref="S29:S47" si="9">F29</f>
        <v>100</v>
      </c>
      <c r="T29" s="1307" t="s">
        <v>5</v>
      </c>
      <c r="U29" s="1308">
        <f t="shared" ref="U29:U47" si="10">H29</f>
        <v>100</v>
      </c>
      <c r="V29" s="1307" t="s">
        <v>5</v>
      </c>
      <c r="W29" s="1308">
        <f t="shared" ref="W29:W47" si="11">J29</f>
        <v>100</v>
      </c>
      <c r="X29" s="1302"/>
      <c r="Y29" s="3601"/>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01"/>
      <c r="Q30" s="1306">
        <f t="shared" si="8"/>
        <v>111</v>
      </c>
      <c r="R30" s="1307" t="s">
        <v>5</v>
      </c>
      <c r="S30" s="1308">
        <f t="shared" si="9"/>
        <v>100</v>
      </c>
      <c r="T30" s="1307" t="s">
        <v>5</v>
      </c>
      <c r="U30" s="1308">
        <f t="shared" si="10"/>
        <v>100</v>
      </c>
      <c r="V30" s="1307" t="s">
        <v>5</v>
      </c>
      <c r="W30" s="1308">
        <f t="shared" si="11"/>
        <v>100</v>
      </c>
      <c r="X30" s="1302"/>
      <c r="Y30" s="3601"/>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01"/>
      <c r="Q31" s="1306">
        <f t="shared" si="8"/>
        <v>111</v>
      </c>
      <c r="R31" s="1307" t="s">
        <v>5</v>
      </c>
      <c r="S31" s="1308">
        <f t="shared" si="9"/>
        <v>100</v>
      </c>
      <c r="T31" s="1307" t="s">
        <v>5</v>
      </c>
      <c r="U31" s="1308">
        <f t="shared" si="10"/>
        <v>100</v>
      </c>
      <c r="V31" s="1307" t="s">
        <v>5</v>
      </c>
      <c r="W31" s="1308">
        <f t="shared" si="11"/>
        <v>100</v>
      </c>
      <c r="X31" s="1302"/>
      <c r="Y31" s="3601"/>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01"/>
      <c r="Q32" s="1306">
        <f t="shared" si="8"/>
        <v>111</v>
      </c>
      <c r="R32" s="1307" t="s">
        <v>5</v>
      </c>
      <c r="S32" s="1308">
        <f t="shared" si="9"/>
        <v>100</v>
      </c>
      <c r="T32" s="1307" t="s">
        <v>5</v>
      </c>
      <c r="U32" s="1308">
        <f t="shared" si="10"/>
        <v>100</v>
      </c>
      <c r="V32" s="1307" t="s">
        <v>5</v>
      </c>
      <c r="W32" s="1308">
        <f t="shared" si="11"/>
        <v>100</v>
      </c>
      <c r="X32" s="1302"/>
      <c r="Y32" s="3601"/>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2" t="s">
        <v>499</v>
      </c>
      <c r="Q33" s="1306" t="str">
        <f t="shared" si="8"/>
        <v>建筑类型</v>
      </c>
      <c r="R33" s="1307" t="s">
        <v>5</v>
      </c>
      <c r="S33" s="1308">
        <f t="shared" si="9"/>
        <v>100</v>
      </c>
      <c r="T33" s="1307" t="s">
        <v>5</v>
      </c>
      <c r="U33" s="1308">
        <f t="shared" si="10"/>
        <v>100</v>
      </c>
      <c r="V33" s="1307" t="s">
        <v>5</v>
      </c>
      <c r="W33" s="1308">
        <f t="shared" si="11"/>
        <v>100</v>
      </c>
      <c r="X33" s="1302"/>
      <c r="Y33" s="3603"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03"/>
      <c r="Q34" s="819" t="str">
        <f t="shared" si="8"/>
        <v>项目建筑规模</v>
      </c>
      <c r="R34" s="1310" t="s">
        <v>5</v>
      </c>
      <c r="S34" s="1311" t="e">
        <f t="shared" si="9"/>
        <v>#N/A</v>
      </c>
      <c r="T34" s="1310" t="s">
        <v>5</v>
      </c>
      <c r="U34" s="1311" t="e">
        <f t="shared" si="10"/>
        <v>#N/A</v>
      </c>
      <c r="V34" s="1310" t="s">
        <v>5</v>
      </c>
      <c r="W34" s="1311" t="e">
        <f t="shared" si="11"/>
        <v>#N/A</v>
      </c>
      <c r="X34" s="1312"/>
      <c r="Y34" s="3603"/>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03"/>
      <c r="Q35" s="1306" t="str">
        <f t="shared" si="8"/>
        <v>建筑结构</v>
      </c>
      <c r="R35" s="1307" t="s">
        <v>5</v>
      </c>
      <c r="S35" s="1308">
        <f t="shared" si="9"/>
        <v>100</v>
      </c>
      <c r="T35" s="1307" t="s">
        <v>5</v>
      </c>
      <c r="U35" s="1308">
        <f t="shared" si="10"/>
        <v>100</v>
      </c>
      <c r="V35" s="1307" t="s">
        <v>5</v>
      </c>
      <c r="W35" s="1308">
        <f t="shared" si="11"/>
        <v>100</v>
      </c>
      <c r="X35" s="1302"/>
      <c r="Y35" s="3603"/>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03"/>
      <c r="Q36" s="1306" t="str">
        <f t="shared" si="8"/>
        <v>公共部分装修</v>
      </c>
      <c r="R36" s="1307" t="s">
        <v>5</v>
      </c>
      <c r="S36" s="1308">
        <f t="shared" si="9"/>
        <v>100</v>
      </c>
      <c r="T36" s="1307" t="s">
        <v>5</v>
      </c>
      <c r="U36" s="1308">
        <f t="shared" si="10"/>
        <v>100</v>
      </c>
      <c r="V36" s="1307" t="s">
        <v>5</v>
      </c>
      <c r="W36" s="1308">
        <f t="shared" si="11"/>
        <v>100</v>
      </c>
      <c r="X36" s="1302"/>
      <c r="Y36" s="3603"/>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03"/>
      <c r="Q37" s="1306" t="str">
        <f t="shared" si="8"/>
        <v>成新度</v>
      </c>
      <c r="R37" s="1307" t="s">
        <v>5</v>
      </c>
      <c r="S37" s="1308" t="e">
        <f t="shared" si="9"/>
        <v>#N/A</v>
      </c>
      <c r="T37" s="1307" t="s">
        <v>5</v>
      </c>
      <c r="U37" s="1308" t="e">
        <f t="shared" si="10"/>
        <v>#N/A</v>
      </c>
      <c r="V37" s="1307" t="s">
        <v>5</v>
      </c>
      <c r="W37" s="1308" t="e">
        <f t="shared" si="11"/>
        <v>#N/A</v>
      </c>
      <c r="X37" s="1302"/>
      <c r="Y37" s="3603"/>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03"/>
      <c r="Q38" s="818" t="str">
        <f t="shared" si="8"/>
        <v>写字楼等级</v>
      </c>
      <c r="R38" s="1303" t="s">
        <v>5</v>
      </c>
      <c r="S38" s="1304">
        <f t="shared" si="9"/>
        <v>100</v>
      </c>
      <c r="T38" s="1303" t="s">
        <v>5</v>
      </c>
      <c r="U38" s="1304">
        <f t="shared" si="10"/>
        <v>100</v>
      </c>
      <c r="V38" s="1303" t="s">
        <v>5</v>
      </c>
      <c r="W38" s="1304">
        <f t="shared" si="11"/>
        <v>100</v>
      </c>
      <c r="X38" s="1305"/>
      <c r="Y38" s="3603"/>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03" t="s">
        <v>499</v>
      </c>
      <c r="Q39" s="1306" t="str">
        <f t="shared" si="8"/>
        <v>物业管理</v>
      </c>
      <c r="R39" s="1307" t="s">
        <v>5</v>
      </c>
      <c r="S39" s="1308">
        <f t="shared" si="9"/>
        <v>100</v>
      </c>
      <c r="T39" s="1307" t="s">
        <v>5</v>
      </c>
      <c r="U39" s="1308">
        <f t="shared" si="10"/>
        <v>100</v>
      </c>
      <c r="V39" s="1307" t="s">
        <v>5</v>
      </c>
      <c r="W39" s="1308">
        <f t="shared" si="11"/>
        <v>100</v>
      </c>
      <c r="X39" s="1302"/>
      <c r="Y39" s="3603"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03"/>
      <c r="Q40" s="1306" t="str">
        <f t="shared" si="8"/>
        <v>市政基础设施</v>
      </c>
      <c r="R40" s="1307" t="s">
        <v>5</v>
      </c>
      <c r="S40" s="1308">
        <f t="shared" si="9"/>
        <v>100</v>
      </c>
      <c r="T40" s="1307" t="s">
        <v>5</v>
      </c>
      <c r="U40" s="1308">
        <f t="shared" si="10"/>
        <v>100</v>
      </c>
      <c r="V40" s="1307" t="s">
        <v>5</v>
      </c>
      <c r="W40" s="1308">
        <f t="shared" si="11"/>
        <v>100</v>
      </c>
      <c r="X40" s="1302"/>
      <c r="Y40" s="3603"/>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03"/>
      <c r="Q41" s="1306" t="str">
        <f t="shared" si="8"/>
        <v>层高</v>
      </c>
      <c r="R41" s="1307" t="s">
        <v>5</v>
      </c>
      <c r="S41" s="1308">
        <f t="shared" si="9"/>
        <v>100</v>
      </c>
      <c r="T41" s="1307" t="s">
        <v>5</v>
      </c>
      <c r="U41" s="1308">
        <f t="shared" si="10"/>
        <v>100</v>
      </c>
      <c r="V41" s="1307" t="s">
        <v>5</v>
      </c>
      <c r="W41" s="1308">
        <f t="shared" si="11"/>
        <v>100</v>
      </c>
      <c r="X41" s="1302"/>
      <c r="Y41" s="3603"/>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03"/>
      <c r="Q42" s="819" t="str">
        <f t="shared" si="8"/>
        <v>单套建筑面积</v>
      </c>
      <c r="R42" s="1310" t="s">
        <v>5</v>
      </c>
      <c r="S42" s="1311">
        <f t="shared" si="9"/>
        <v>100</v>
      </c>
      <c r="T42" s="1310" t="s">
        <v>5</v>
      </c>
      <c r="U42" s="1311">
        <f t="shared" si="10"/>
        <v>100</v>
      </c>
      <c r="V42" s="1310" t="s">
        <v>5</v>
      </c>
      <c r="W42" s="1311">
        <f t="shared" si="11"/>
        <v>100</v>
      </c>
      <c r="X42" s="1312"/>
      <c r="Y42" s="3603"/>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03"/>
      <c r="Q43" s="1306" t="str">
        <f t="shared" si="8"/>
        <v>内部装修</v>
      </c>
      <c r="R43" s="1307" t="s">
        <v>5</v>
      </c>
      <c r="S43" s="1308">
        <f t="shared" si="9"/>
        <v>100</v>
      </c>
      <c r="T43" s="1307" t="s">
        <v>5</v>
      </c>
      <c r="U43" s="1308">
        <f t="shared" si="10"/>
        <v>100</v>
      </c>
      <c r="V43" s="1307" t="s">
        <v>5</v>
      </c>
      <c r="W43" s="1308">
        <f t="shared" si="11"/>
        <v>100</v>
      </c>
      <c r="X43" s="1302"/>
      <c r="Y43" s="3603"/>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03"/>
      <c r="Q44" s="1306" t="str">
        <f t="shared" si="8"/>
        <v>内部装修维护情况</v>
      </c>
      <c r="R44" s="1307" t="s">
        <v>5</v>
      </c>
      <c r="S44" s="1308">
        <f t="shared" si="9"/>
        <v>100</v>
      </c>
      <c r="T44" s="1307" t="s">
        <v>5</v>
      </c>
      <c r="U44" s="1308">
        <f t="shared" si="10"/>
        <v>100</v>
      </c>
      <c r="V44" s="1307" t="s">
        <v>5</v>
      </c>
      <c r="W44" s="1308">
        <f t="shared" si="11"/>
        <v>100</v>
      </c>
      <c r="X44" s="1302"/>
      <c r="Y44" s="3603"/>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03"/>
      <c r="Q45" s="818">
        <f t="shared" si="8"/>
        <v>111</v>
      </c>
      <c r="R45" s="1303" t="s">
        <v>5</v>
      </c>
      <c r="S45" s="1304">
        <f t="shared" si="9"/>
        <v>100</v>
      </c>
      <c r="T45" s="1303" t="s">
        <v>5</v>
      </c>
      <c r="U45" s="1304">
        <f t="shared" si="10"/>
        <v>100</v>
      </c>
      <c r="V45" s="1303" t="s">
        <v>5</v>
      </c>
      <c r="W45" s="1304">
        <f t="shared" si="11"/>
        <v>100</v>
      </c>
      <c r="X45" s="1305"/>
      <c r="Y45" s="3603"/>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03"/>
      <c r="Q46" s="1306">
        <f t="shared" si="8"/>
        <v>111</v>
      </c>
      <c r="R46" s="1307" t="s">
        <v>5</v>
      </c>
      <c r="S46" s="1308">
        <f t="shared" si="9"/>
        <v>100</v>
      </c>
      <c r="T46" s="1307" t="s">
        <v>5</v>
      </c>
      <c r="U46" s="1308">
        <f t="shared" si="10"/>
        <v>100</v>
      </c>
      <c r="V46" s="1307" t="s">
        <v>5</v>
      </c>
      <c r="W46" s="1308">
        <f t="shared" si="11"/>
        <v>100</v>
      </c>
      <c r="X46" s="1302"/>
      <c r="Y46" s="3603"/>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5"/>
      <c r="Q47" s="1306">
        <f t="shared" si="8"/>
        <v>111</v>
      </c>
      <c r="R47" s="1307" t="s">
        <v>5</v>
      </c>
      <c r="S47" s="1308">
        <f t="shared" si="9"/>
        <v>100</v>
      </c>
      <c r="T47" s="1307" t="s">
        <v>5</v>
      </c>
      <c r="U47" s="1308">
        <f t="shared" si="10"/>
        <v>100</v>
      </c>
      <c r="V47" s="1307" t="s">
        <v>5</v>
      </c>
      <c r="W47" s="1308">
        <f t="shared" si="11"/>
        <v>100</v>
      </c>
      <c r="X47" s="1302"/>
      <c r="Y47" s="3695"/>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05" t="str">
        <f>A48</f>
        <v>成交单价（元/平方米）</v>
      </c>
      <c r="Q48" s="3598"/>
      <c r="R48" s="3614">
        <f>E48</f>
        <v>0</v>
      </c>
      <c r="S48" s="3614"/>
      <c r="T48" s="3614">
        <f>G48</f>
        <v>0</v>
      </c>
      <c r="U48" s="3614"/>
      <c r="V48" s="3614">
        <f>I48</f>
        <v>0</v>
      </c>
      <c r="W48" s="3614"/>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05" t="str">
        <f>A49</f>
        <v>比较价格（元/平方米）</v>
      </c>
      <c r="Q49" s="3598"/>
      <c r="R49" s="3614" t="e">
        <f>IF(F1="售价",ROUND(PRODUCT(R48,AA7:AA47),0),ROUND(PRODUCT(R48,AA7:AA47),1))</f>
        <v>#DIV/0!</v>
      </c>
      <c r="S49" s="3614"/>
      <c r="T49" s="3614" t="e">
        <f>IF(F1="售价",ROUND(PRODUCT(T48,AB7:AB47),0),ROUND(PRODUCT(T48,AB7:AB47),1))</f>
        <v>#DIV/0!</v>
      </c>
      <c r="U49" s="3614"/>
      <c r="V49" s="3614" t="e">
        <f>IF(F1="售价",ROUND(PRODUCT(V48,AC7:AC47),0),ROUND(PRODUCT(V48,AC7:AC47),1))</f>
        <v>#DIV/0!</v>
      </c>
      <c r="W49" s="3614"/>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20" t="str">
        <f>A50</f>
        <v>估价对象XX用房的比较价格（楼面单价，元/平方米）</v>
      </c>
      <c r="Q50" s="3605"/>
      <c r="R50" s="3694" t="e">
        <f>IF(F1="售价",ROUND(IF(D49="简单平均",AVERAGE(R49:V49),R49*F49+T49*H49+V49*J49),0),ROUND(IF(D49="简单平均",AVERAGE(R49:V49),R49*F49+T49*H49+V49*J49),1))</f>
        <v>#DIV/0!</v>
      </c>
      <c r="S50" s="3694"/>
      <c r="T50" s="3694"/>
      <c r="U50" s="3694"/>
      <c r="V50" s="3694"/>
      <c r="W50" s="3694"/>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06" t="s">
        <v>471</v>
      </c>
      <c r="D4" s="3607"/>
      <c r="E4" s="3632" t="s">
        <v>472</v>
      </c>
      <c r="F4" s="3633"/>
      <c r="G4" s="3606" t="s">
        <v>473</v>
      </c>
      <c r="H4" s="3607"/>
      <c r="I4" s="3606" t="s">
        <v>474</v>
      </c>
      <c r="J4" s="3607"/>
      <c r="K4" s="465" t="s">
        <v>475</v>
      </c>
      <c r="L4" s="1741"/>
      <c r="M4" s="1742"/>
      <c r="N4" s="1742"/>
      <c r="O4" s="1742"/>
      <c r="P4" s="3608" t="s">
        <v>476</v>
      </c>
      <c r="Q4" s="3609"/>
      <c r="R4" s="3592" t="s">
        <v>472</v>
      </c>
      <c r="S4" s="3593"/>
      <c r="T4" s="3592" t="s">
        <v>473</v>
      </c>
      <c r="U4" s="3593"/>
      <c r="V4" s="3614" t="s">
        <v>474</v>
      </c>
      <c r="W4" s="3614"/>
      <c r="X4" s="1302"/>
      <c r="Y4" s="3592" t="s">
        <v>476</v>
      </c>
      <c r="Z4" s="3593"/>
      <c r="AA4" s="3587" t="s">
        <v>472</v>
      </c>
      <c r="AB4" s="3588" t="s">
        <v>473</v>
      </c>
      <c r="AC4" s="3587" t="s">
        <v>474</v>
      </c>
    </row>
    <row r="5" spans="1:29" ht="15">
      <c r="A5" s="466"/>
      <c r="B5" s="467"/>
      <c r="C5" s="3617" t="s">
        <v>2186</v>
      </c>
      <c r="D5" s="3618"/>
      <c r="E5" s="3634" t="s">
        <v>2187</v>
      </c>
      <c r="F5" s="3635"/>
      <c r="G5" s="3617" t="s">
        <v>2188</v>
      </c>
      <c r="H5" s="3618"/>
      <c r="I5" s="3617" t="s">
        <v>2189</v>
      </c>
      <c r="J5" s="3618"/>
      <c r="K5" s="465"/>
      <c r="L5" s="1741"/>
      <c r="M5" s="1742"/>
      <c r="N5" s="1742"/>
      <c r="O5" s="1742"/>
      <c r="P5" s="3610"/>
      <c r="Q5" s="3611"/>
      <c r="R5" s="3594"/>
      <c r="S5" s="3595"/>
      <c r="T5" s="3594"/>
      <c r="U5" s="3595"/>
      <c r="V5" s="3614"/>
      <c r="W5" s="3614"/>
      <c r="X5" s="1302"/>
      <c r="Y5" s="3594"/>
      <c r="Z5" s="3595"/>
      <c r="AA5" s="3588"/>
      <c r="AB5" s="3588"/>
      <c r="AC5" s="3588"/>
    </row>
    <row r="6" spans="1:29" ht="15.75" thickBot="1">
      <c r="A6" s="468"/>
      <c r="B6" s="469"/>
      <c r="C6" s="3615" t="s">
        <v>2190</v>
      </c>
      <c r="D6" s="3616"/>
      <c r="E6" s="3636" t="s">
        <v>2190</v>
      </c>
      <c r="F6" s="3637"/>
      <c r="G6" s="3615" t="s">
        <v>2190</v>
      </c>
      <c r="H6" s="3616"/>
      <c r="I6" s="3615" t="s">
        <v>2190</v>
      </c>
      <c r="J6" s="3616"/>
      <c r="K6" s="465" t="s">
        <v>477</v>
      </c>
      <c r="L6" s="1741"/>
      <c r="M6" s="1742"/>
      <c r="N6" s="1742"/>
      <c r="O6" s="1742"/>
      <c r="P6" s="3612"/>
      <c r="Q6" s="3613"/>
      <c r="R6" s="3594"/>
      <c r="S6" s="3595"/>
      <c r="T6" s="3596"/>
      <c r="U6" s="3597"/>
      <c r="V6" s="3614"/>
      <c r="W6" s="3614"/>
      <c r="X6" s="1302"/>
      <c r="Y6" s="3596"/>
      <c r="Z6" s="3597"/>
      <c r="AA6" s="3589"/>
      <c r="AB6" s="3589"/>
      <c r="AC6" s="3589"/>
    </row>
    <row r="7" spans="1:29" s="1060" customFormat="1" ht="15.75" thickBot="1">
      <c r="A7" s="2208"/>
      <c r="B7" s="2215" t="s">
        <v>478</v>
      </c>
      <c r="C7" s="470">
        <f>'数据-取费表'!B2</f>
        <v>45541</v>
      </c>
      <c r="D7" s="471">
        <v>100</v>
      </c>
      <c r="E7" s="472"/>
      <c r="F7" s="473">
        <f>SUMIF(52:52,YEAR(E7)&amp;"-"&amp;MONTH(E7),53:53)</f>
        <v>0</v>
      </c>
      <c r="G7" s="472"/>
      <c r="H7" s="471">
        <f>SUMIF(52:52,YEAR(G7)&amp;"-"&amp;MONTH(G7),53:53)</f>
        <v>0</v>
      </c>
      <c r="I7" s="472"/>
      <c r="J7" s="471">
        <f>SUMIF(52:52,YEAR(I7)&amp;"-"&amp;MONTH(I7),53:53)</f>
        <v>0</v>
      </c>
      <c r="K7" s="88"/>
      <c r="L7" s="1743"/>
      <c r="M7" s="1640"/>
      <c r="N7" s="1640"/>
      <c r="O7" s="1640"/>
      <c r="P7" s="3590" t="s">
        <v>479</v>
      </c>
      <c r="Q7" s="3599"/>
      <c r="R7" s="1303" t="s">
        <v>5</v>
      </c>
      <c r="S7" s="1304">
        <f t="shared" ref="S7:S15" si="0">F7</f>
        <v>0</v>
      </c>
      <c r="T7" s="1303" t="s">
        <v>5</v>
      </c>
      <c r="U7" s="1304">
        <f t="shared" ref="U7:U15" si="1">H7</f>
        <v>0</v>
      </c>
      <c r="V7" s="1303" t="s">
        <v>5</v>
      </c>
      <c r="W7" s="1304">
        <f t="shared" ref="W7:W15" si="2">J7</f>
        <v>0</v>
      </c>
      <c r="X7" s="1305"/>
      <c r="Y7" s="3590" t="s">
        <v>479</v>
      </c>
      <c r="Z7" s="3591"/>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90" t="s">
        <v>482</v>
      </c>
      <c r="Q8" s="3591"/>
      <c r="R8" s="1303" t="s">
        <v>5</v>
      </c>
      <c r="S8" s="1304">
        <f t="shared" si="0"/>
        <v>0</v>
      </c>
      <c r="T8" s="1303" t="s">
        <v>5</v>
      </c>
      <c r="U8" s="1304">
        <f t="shared" si="1"/>
        <v>0</v>
      </c>
      <c r="V8" s="1303" t="s">
        <v>5</v>
      </c>
      <c r="W8" s="1304">
        <f t="shared" si="2"/>
        <v>0</v>
      </c>
      <c r="X8" s="1305"/>
      <c r="Y8" s="3590" t="s">
        <v>482</v>
      </c>
      <c r="Z8" s="3591"/>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8" t="s">
        <v>484</v>
      </c>
      <c r="Q9" s="818" t="str">
        <f t="shared" ref="Q9:Q15" si="6">B9</f>
        <v>用途</v>
      </c>
      <c r="R9" s="1303" t="s">
        <v>5</v>
      </c>
      <c r="S9" s="1304">
        <f t="shared" si="0"/>
        <v>100</v>
      </c>
      <c r="T9" s="1303" t="s">
        <v>5</v>
      </c>
      <c r="U9" s="1304">
        <f t="shared" si="1"/>
        <v>100</v>
      </c>
      <c r="V9" s="1303" t="s">
        <v>5</v>
      </c>
      <c r="W9" s="1304">
        <f t="shared" si="2"/>
        <v>100</v>
      </c>
      <c r="X9" s="1305"/>
      <c r="Y9" s="3550"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50"/>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8"/>
      <c r="Q11" s="818" t="str">
        <f t="shared" si="6"/>
        <v>容积率</v>
      </c>
      <c r="R11" s="1303" t="s">
        <v>5</v>
      </c>
      <c r="S11" s="1304" t="e">
        <f t="shared" si="0"/>
        <v>#N/A</v>
      </c>
      <c r="T11" s="1303" t="s">
        <v>5</v>
      </c>
      <c r="U11" s="1304" t="e">
        <f t="shared" si="1"/>
        <v>#N/A</v>
      </c>
      <c r="V11" s="1303" t="s">
        <v>5</v>
      </c>
      <c r="W11" s="1304" t="e">
        <f t="shared" si="2"/>
        <v>#N/A</v>
      </c>
      <c r="X11" s="1305"/>
      <c r="Y11" s="3550"/>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50"/>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50"/>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98"/>
      <c r="Q14" s="818">
        <f t="shared" si="6"/>
        <v>111</v>
      </c>
      <c r="R14" s="1303" t="s">
        <v>5</v>
      </c>
      <c r="S14" s="1304">
        <f t="shared" si="0"/>
        <v>100</v>
      </c>
      <c r="T14" s="1303" t="s">
        <v>5</v>
      </c>
      <c r="U14" s="1304">
        <f t="shared" si="1"/>
        <v>100</v>
      </c>
      <c r="V14" s="1303" t="s">
        <v>5</v>
      </c>
      <c r="W14" s="1304">
        <f t="shared" si="2"/>
        <v>100</v>
      </c>
      <c r="X14" s="1305"/>
      <c r="Y14" s="3550"/>
      <c r="Z14" s="997">
        <f t="shared" si="7"/>
        <v>111</v>
      </c>
      <c r="AA14" s="997">
        <f t="shared" si="3"/>
        <v>1</v>
      </c>
      <c r="AB14" s="997">
        <f t="shared" si="4"/>
        <v>1</v>
      </c>
      <c r="AC14" s="997">
        <f t="shared" si="5"/>
        <v>1</v>
      </c>
    </row>
    <row r="15" spans="1:29" ht="71.25">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00" t="s">
        <v>489</v>
      </c>
      <c r="Q15" s="1306" t="str">
        <f t="shared" si="6"/>
        <v>产业集聚程度</v>
      </c>
      <c r="R15" s="1307" t="s">
        <v>5</v>
      </c>
      <c r="S15" s="1308">
        <f t="shared" si="0"/>
        <v>100</v>
      </c>
      <c r="T15" s="1307" t="s">
        <v>5</v>
      </c>
      <c r="U15" s="1308">
        <f t="shared" si="1"/>
        <v>100</v>
      </c>
      <c r="V15" s="1307" t="s">
        <v>5</v>
      </c>
      <c r="W15" s="1308">
        <f t="shared" si="2"/>
        <v>100</v>
      </c>
      <c r="X15" s="1302"/>
      <c r="Y15" s="3600"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1"/>
      <c r="Q16" s="1306"/>
      <c r="R16" s="1307"/>
      <c r="S16" s="1308"/>
      <c r="T16" s="1307"/>
      <c r="U16" s="1308"/>
      <c r="V16" s="1307"/>
      <c r="W16" s="1308"/>
      <c r="X16" s="1302"/>
      <c r="Y16" s="3601"/>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01"/>
      <c r="Q17" s="1306" t="str">
        <f>B17</f>
        <v>交通便捷度</v>
      </c>
      <c r="R17" s="1307" t="s">
        <v>5</v>
      </c>
      <c r="S17" s="1308">
        <f>F17</f>
        <v>100</v>
      </c>
      <c r="T17" s="1307" t="s">
        <v>5</v>
      </c>
      <c r="U17" s="1308">
        <f>H17</f>
        <v>100</v>
      </c>
      <c r="V17" s="1307" t="s">
        <v>5</v>
      </c>
      <c r="W17" s="1308">
        <f>J17</f>
        <v>100</v>
      </c>
      <c r="X17" s="1302"/>
      <c r="Y17" s="3601"/>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1"/>
      <c r="Q18" s="1306"/>
      <c r="R18" s="1307"/>
      <c r="S18" s="1308"/>
      <c r="T18" s="1307"/>
      <c r="U18" s="1308"/>
      <c r="V18" s="1307"/>
      <c r="W18" s="1308"/>
      <c r="X18" s="1302"/>
      <c r="Y18" s="3601"/>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01"/>
      <c r="Q19" s="1306" t="str">
        <f>B19</f>
        <v>公共配套设施</v>
      </c>
      <c r="R19" s="1307" t="s">
        <v>5</v>
      </c>
      <c r="S19" s="1308">
        <f>F19</f>
        <v>100</v>
      </c>
      <c r="T19" s="1307" t="s">
        <v>5</v>
      </c>
      <c r="U19" s="1308">
        <f>H19</f>
        <v>100</v>
      </c>
      <c r="V19" s="1307" t="s">
        <v>5</v>
      </c>
      <c r="W19" s="1308">
        <f>J19</f>
        <v>100</v>
      </c>
      <c r="X19" s="1302"/>
      <c r="Y19" s="3601"/>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01"/>
      <c r="Q20" s="1306"/>
      <c r="R20" s="1307"/>
      <c r="S20" s="1308"/>
      <c r="T20" s="1307"/>
      <c r="U20" s="1308"/>
      <c r="V20" s="1307"/>
      <c r="W20" s="1308"/>
      <c r="X20" s="1302"/>
      <c r="Y20" s="3601"/>
      <c r="Z20" s="1309"/>
      <c r="AA20" s="1309">
        <v>1</v>
      </c>
      <c r="AB20" s="1309">
        <v>1</v>
      </c>
      <c r="AC20" s="1309">
        <v>1</v>
      </c>
    </row>
    <row r="21" spans="1:29" ht="42.7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01"/>
      <c r="Q21" s="1306" t="str">
        <f>B21</f>
        <v>基础设施水平</v>
      </c>
      <c r="R21" s="1307" t="s">
        <v>5</v>
      </c>
      <c r="S21" s="1308">
        <f>F21</f>
        <v>100</v>
      </c>
      <c r="T21" s="1307" t="s">
        <v>5</v>
      </c>
      <c r="U21" s="1308">
        <f>H21</f>
        <v>100</v>
      </c>
      <c r="V21" s="1307" t="s">
        <v>5</v>
      </c>
      <c r="W21" s="1308">
        <f>J21</f>
        <v>100</v>
      </c>
      <c r="X21" s="1302"/>
      <c r="Y21" s="3601"/>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1"/>
      <c r="Q22" s="1306"/>
      <c r="R22" s="1307"/>
      <c r="S22" s="1308"/>
      <c r="T22" s="1307"/>
      <c r="U22" s="1308"/>
      <c r="V22" s="1307"/>
      <c r="W22" s="1308"/>
      <c r="X22" s="1302"/>
      <c r="Y22" s="3601"/>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01"/>
      <c r="Q23" s="1306" t="str">
        <f>B23</f>
        <v>环境质量</v>
      </c>
      <c r="R23" s="1307" t="s">
        <v>5</v>
      </c>
      <c r="S23" s="1308">
        <f>F23</f>
        <v>100</v>
      </c>
      <c r="T23" s="1307" t="s">
        <v>5</v>
      </c>
      <c r="U23" s="1308">
        <f>H23</f>
        <v>100</v>
      </c>
      <c r="V23" s="1307" t="s">
        <v>5</v>
      </c>
      <c r="W23" s="1308">
        <f>J23</f>
        <v>100</v>
      </c>
      <c r="X23" s="1302"/>
      <c r="Y23" s="3601"/>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01"/>
      <c r="Q24" s="1306"/>
      <c r="R24" s="1307"/>
      <c r="S24" s="1308"/>
      <c r="T24" s="1307"/>
      <c r="U24" s="1308"/>
      <c r="V24" s="1307"/>
      <c r="W24" s="1308"/>
      <c r="X24" s="1302"/>
      <c r="Y24" s="3601"/>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1"/>
      <c r="Q25" s="1306">
        <f>B25</f>
        <v>111</v>
      </c>
      <c r="R25" s="1307" t="s">
        <v>5</v>
      </c>
      <c r="S25" s="1308">
        <f>F25</f>
        <v>100</v>
      </c>
      <c r="T25" s="1307" t="s">
        <v>5</v>
      </c>
      <c r="U25" s="1308">
        <f>H25</f>
        <v>100</v>
      </c>
      <c r="V25" s="1307" t="s">
        <v>5</v>
      </c>
      <c r="W25" s="1308">
        <f>J25</f>
        <v>100</v>
      </c>
      <c r="X25" s="1302"/>
      <c r="Y25" s="3601"/>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1"/>
      <c r="Q26" s="1306">
        <f t="shared" ref="Q26:Q40" si="8">B26</f>
        <v>111</v>
      </c>
      <c r="R26" s="1307" t="s">
        <v>5</v>
      </c>
      <c r="S26" s="1308">
        <f>F26</f>
        <v>100</v>
      </c>
      <c r="T26" s="1307" t="s">
        <v>5</v>
      </c>
      <c r="U26" s="1308">
        <f>H26</f>
        <v>100</v>
      </c>
      <c r="V26" s="1307" t="s">
        <v>5</v>
      </c>
      <c r="W26" s="1308">
        <f>J26</f>
        <v>100</v>
      </c>
      <c r="X26" s="1302"/>
      <c r="Y26" s="3601"/>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1"/>
      <c r="Q27" s="818">
        <f t="shared" si="8"/>
        <v>111</v>
      </c>
      <c r="R27" s="1303" t="s">
        <v>5</v>
      </c>
      <c r="S27" s="1304">
        <f>F27</f>
        <v>100</v>
      </c>
      <c r="T27" s="1303" t="s">
        <v>5</v>
      </c>
      <c r="U27" s="1304">
        <f>H27</f>
        <v>100</v>
      </c>
      <c r="V27" s="1303" t="s">
        <v>5</v>
      </c>
      <c r="W27" s="1304">
        <f>J27</f>
        <v>100</v>
      </c>
      <c r="X27" s="1305"/>
      <c r="Y27" s="3601"/>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01"/>
      <c r="Q28" s="1306">
        <f t="shared" si="8"/>
        <v>111</v>
      </c>
      <c r="R28" s="1307" t="s">
        <v>5</v>
      </c>
      <c r="S28" s="1308">
        <f t="shared" ref="S28:S40" si="9">F28</f>
        <v>100</v>
      </c>
      <c r="T28" s="1307" t="s">
        <v>5</v>
      </c>
      <c r="U28" s="1308">
        <f t="shared" ref="U28:U40" si="10">H28</f>
        <v>100</v>
      </c>
      <c r="V28" s="1307" t="s">
        <v>5</v>
      </c>
      <c r="W28" s="1308">
        <f t="shared" ref="W28:W40" si="11">J28</f>
        <v>100</v>
      </c>
      <c r="X28" s="1302"/>
      <c r="Y28" s="3601"/>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2" t="s">
        <v>499</v>
      </c>
      <c r="Q29" s="1306" t="str">
        <f t="shared" si="8"/>
        <v>建筑类型</v>
      </c>
      <c r="R29" s="1307" t="s">
        <v>5</v>
      </c>
      <c r="S29" s="1308">
        <f t="shared" si="9"/>
        <v>100</v>
      </c>
      <c r="T29" s="1307" t="s">
        <v>5</v>
      </c>
      <c r="U29" s="1308">
        <f t="shared" si="10"/>
        <v>100</v>
      </c>
      <c r="V29" s="1307" t="s">
        <v>5</v>
      </c>
      <c r="W29" s="1308">
        <f t="shared" si="11"/>
        <v>100</v>
      </c>
      <c r="X29" s="1302"/>
      <c r="Y29" s="3603"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03"/>
      <c r="Q30" s="819" t="str">
        <f t="shared" si="8"/>
        <v>项目建筑规模</v>
      </c>
      <c r="R30" s="1310" t="s">
        <v>5</v>
      </c>
      <c r="S30" s="1311" t="e">
        <f t="shared" si="9"/>
        <v>#N/A</v>
      </c>
      <c r="T30" s="1310" t="s">
        <v>5</v>
      </c>
      <c r="U30" s="1311" t="e">
        <f t="shared" si="10"/>
        <v>#N/A</v>
      </c>
      <c r="V30" s="1310" t="s">
        <v>5</v>
      </c>
      <c r="W30" s="1311" t="e">
        <f t="shared" si="11"/>
        <v>#N/A</v>
      </c>
      <c r="X30" s="1312"/>
      <c r="Y30" s="3603"/>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03"/>
      <c r="Q31" s="1306" t="str">
        <f t="shared" si="8"/>
        <v>建筑结构</v>
      </c>
      <c r="R31" s="1307" t="s">
        <v>5</v>
      </c>
      <c r="S31" s="1308">
        <f t="shared" si="9"/>
        <v>100</v>
      </c>
      <c r="T31" s="1307" t="s">
        <v>5</v>
      </c>
      <c r="U31" s="1308">
        <f t="shared" si="10"/>
        <v>100</v>
      </c>
      <c r="V31" s="1307" t="s">
        <v>5</v>
      </c>
      <c r="W31" s="1308">
        <f t="shared" si="11"/>
        <v>100</v>
      </c>
      <c r="X31" s="1302"/>
      <c r="Y31" s="3603"/>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03"/>
      <c r="Q32" s="1306" t="str">
        <f t="shared" si="8"/>
        <v>公共部分装修</v>
      </c>
      <c r="R32" s="1307" t="s">
        <v>5</v>
      </c>
      <c r="S32" s="1308">
        <f t="shared" si="9"/>
        <v>100</v>
      </c>
      <c r="T32" s="1307" t="s">
        <v>5</v>
      </c>
      <c r="U32" s="1308">
        <f t="shared" si="10"/>
        <v>100</v>
      </c>
      <c r="V32" s="1307" t="s">
        <v>5</v>
      </c>
      <c r="W32" s="1308">
        <f t="shared" si="11"/>
        <v>100</v>
      </c>
      <c r="X32" s="1302"/>
      <c r="Y32" s="3603"/>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03"/>
      <c r="Q33" s="1306" t="str">
        <f t="shared" si="8"/>
        <v>成新度</v>
      </c>
      <c r="R33" s="1307" t="s">
        <v>5</v>
      </c>
      <c r="S33" s="1308" t="e">
        <f t="shared" si="9"/>
        <v>#N/A</v>
      </c>
      <c r="T33" s="1307" t="s">
        <v>5</v>
      </c>
      <c r="U33" s="1308" t="e">
        <f t="shared" si="10"/>
        <v>#N/A</v>
      </c>
      <c r="V33" s="1307" t="s">
        <v>5</v>
      </c>
      <c r="W33" s="1308" t="e">
        <f t="shared" si="11"/>
        <v>#N/A</v>
      </c>
      <c r="X33" s="1302"/>
      <c r="Y33" s="3603"/>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03"/>
      <c r="Q34" s="818" t="str">
        <f t="shared" si="8"/>
        <v>物业管理</v>
      </c>
      <c r="R34" s="1303" t="s">
        <v>5</v>
      </c>
      <c r="S34" s="1304">
        <f t="shared" si="9"/>
        <v>100</v>
      </c>
      <c r="T34" s="1303" t="s">
        <v>5</v>
      </c>
      <c r="U34" s="1304">
        <f t="shared" si="10"/>
        <v>100</v>
      </c>
      <c r="V34" s="1303" t="s">
        <v>5</v>
      </c>
      <c r="W34" s="1304">
        <f t="shared" si="11"/>
        <v>100</v>
      </c>
      <c r="X34" s="1305"/>
      <c r="Y34" s="3603"/>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03" t="s">
        <v>499</v>
      </c>
      <c r="Q35" s="1306" t="str">
        <f t="shared" si="8"/>
        <v>市政基础设施</v>
      </c>
      <c r="R35" s="1307" t="s">
        <v>5</v>
      </c>
      <c r="S35" s="1308">
        <f t="shared" si="9"/>
        <v>100</v>
      </c>
      <c r="T35" s="1307" t="s">
        <v>5</v>
      </c>
      <c r="U35" s="1308">
        <f t="shared" si="10"/>
        <v>100</v>
      </c>
      <c r="V35" s="1307" t="s">
        <v>5</v>
      </c>
      <c r="W35" s="1308">
        <f t="shared" si="11"/>
        <v>100</v>
      </c>
      <c r="X35" s="1302"/>
      <c r="Y35" s="3603"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03"/>
      <c r="Q36" s="1306" t="str">
        <f t="shared" si="8"/>
        <v>内部装修</v>
      </c>
      <c r="R36" s="1307" t="s">
        <v>5</v>
      </c>
      <c r="S36" s="1308">
        <f t="shared" si="9"/>
        <v>100</v>
      </c>
      <c r="T36" s="1307" t="s">
        <v>5</v>
      </c>
      <c r="U36" s="1308">
        <f t="shared" si="10"/>
        <v>100</v>
      </c>
      <c r="V36" s="1307" t="s">
        <v>5</v>
      </c>
      <c r="W36" s="1308">
        <f t="shared" si="11"/>
        <v>100</v>
      </c>
      <c r="X36" s="1302"/>
      <c r="Y36" s="3603"/>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03"/>
      <c r="Q37" s="1306" t="str">
        <f t="shared" si="8"/>
        <v>内部装修状况</v>
      </c>
      <c r="R37" s="1307" t="s">
        <v>5</v>
      </c>
      <c r="S37" s="1308">
        <f t="shared" si="9"/>
        <v>100</v>
      </c>
      <c r="T37" s="1307" t="s">
        <v>5</v>
      </c>
      <c r="U37" s="1308">
        <f t="shared" si="10"/>
        <v>100</v>
      </c>
      <c r="V37" s="1307" t="s">
        <v>5</v>
      </c>
      <c r="W37" s="1308">
        <f t="shared" si="11"/>
        <v>100</v>
      </c>
      <c r="X37" s="1302"/>
      <c r="Y37" s="3603"/>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03"/>
      <c r="Q38" s="819">
        <f t="shared" si="8"/>
        <v>111</v>
      </c>
      <c r="R38" s="1310" t="s">
        <v>5</v>
      </c>
      <c r="S38" s="1311">
        <f t="shared" si="9"/>
        <v>100</v>
      </c>
      <c r="T38" s="1310" t="s">
        <v>5</v>
      </c>
      <c r="U38" s="1311">
        <f t="shared" si="10"/>
        <v>100</v>
      </c>
      <c r="V38" s="1310" t="s">
        <v>5</v>
      </c>
      <c r="W38" s="1311">
        <f t="shared" si="11"/>
        <v>100</v>
      </c>
      <c r="X38" s="1312"/>
      <c r="Y38" s="3603"/>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03"/>
      <c r="Q39" s="1306">
        <f t="shared" si="8"/>
        <v>111</v>
      </c>
      <c r="R39" s="1307" t="s">
        <v>5</v>
      </c>
      <c r="S39" s="1308">
        <f t="shared" si="9"/>
        <v>100</v>
      </c>
      <c r="T39" s="1307" t="s">
        <v>5</v>
      </c>
      <c r="U39" s="1308">
        <f t="shared" si="10"/>
        <v>100</v>
      </c>
      <c r="V39" s="1307" t="s">
        <v>5</v>
      </c>
      <c r="W39" s="1308">
        <f t="shared" si="11"/>
        <v>100</v>
      </c>
      <c r="X39" s="1302"/>
      <c r="Y39" s="3603"/>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5"/>
      <c r="Q40" s="1306">
        <f t="shared" si="8"/>
        <v>111</v>
      </c>
      <c r="R40" s="1307" t="s">
        <v>5</v>
      </c>
      <c r="S40" s="1308">
        <f t="shared" si="9"/>
        <v>100</v>
      </c>
      <c r="T40" s="1307" t="s">
        <v>5</v>
      </c>
      <c r="U40" s="1308">
        <f t="shared" si="10"/>
        <v>100</v>
      </c>
      <c r="V40" s="1307" t="s">
        <v>5</v>
      </c>
      <c r="W40" s="1308">
        <f t="shared" si="11"/>
        <v>100</v>
      </c>
      <c r="X40" s="1302"/>
      <c r="Y40" s="3695"/>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98" t="str">
        <f>A41</f>
        <v>成交单价（元/平方米）</v>
      </c>
      <c r="Q41" s="3598"/>
      <c r="R41" s="3614">
        <f>E41</f>
        <v>0</v>
      </c>
      <c r="S41" s="3614"/>
      <c r="T41" s="3614">
        <f>G41</f>
        <v>0</v>
      </c>
      <c r="U41" s="3614"/>
      <c r="V41" s="3614">
        <f>I41</f>
        <v>0</v>
      </c>
      <c r="W41" s="3614"/>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598" t="str">
        <f>A42</f>
        <v>比较价格（元/平方米）</v>
      </c>
      <c r="Q42" s="3598"/>
      <c r="R42" s="3614" t="e">
        <f>IF(F1="售价",ROUND(PRODUCT(R41,AA7:AA40),0),ROUND(PRODUCT(R41,AA7:AA40),1))</f>
        <v>#DIV/0!</v>
      </c>
      <c r="S42" s="3614"/>
      <c r="T42" s="3614" t="e">
        <f>IF(F1="售价",ROUND(PRODUCT(T41,AB7:AB40),0),ROUND(PRODUCT(T41,AB7:AB40),1))</f>
        <v>#DIV/0!</v>
      </c>
      <c r="U42" s="3614"/>
      <c r="V42" s="3614" t="e">
        <f>IF(F1="售价",ROUND(PRODUCT(V41,AC7:AC40),0),ROUND(PRODUCT(V41,AC7:AC40),1))</f>
        <v>#DIV/0!</v>
      </c>
      <c r="W42" s="3614"/>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04" t="str">
        <f>A43</f>
        <v>估价对象XX用房的比较价格（楼面单价，元/平方米）</v>
      </c>
      <c r="Q43" s="3605"/>
      <c r="R43" s="3694" t="e">
        <f>IF(F1="售价",ROUND(IF(D42="简单平均",AVERAGE(R42:V42),R42*F42+T42*H42+V42*J42),0),ROUND(IF(D42="简单平均",AVERAGE(R42:V42),R42*F42+T42*H42+V42*J42),1))</f>
        <v>#DIV/0!</v>
      </c>
      <c r="S43" s="3694"/>
      <c r="T43" s="3694"/>
      <c r="U43" s="3694"/>
      <c r="V43" s="3694"/>
      <c r="W43" s="3694"/>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16" zoomScale="85" zoomScaleNormal="60" zoomScaleSheetLayoutView="85" workbookViewId="0">
      <selection activeCell="E23" sqref="E23"/>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3530</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5234</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5808</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11.579646017699115</v>
      </c>
      <c r="M3" s="1740"/>
      <c r="N3" s="1740"/>
      <c r="O3" s="1740"/>
      <c r="P3" s="1740"/>
      <c r="Q3" s="1740"/>
      <c r="R3" s="1740"/>
      <c r="S3" s="1740"/>
      <c r="T3" s="1740"/>
      <c r="U3" s="1740"/>
      <c r="V3" s="1740"/>
      <c r="W3" s="1740"/>
      <c r="X3" s="1740"/>
      <c r="Y3" s="1740"/>
      <c r="Z3" s="1740"/>
      <c r="AA3" s="1740"/>
      <c r="AB3" s="2717"/>
      <c r="AC3" s="1674"/>
    </row>
    <row r="4" spans="1:29" ht="15">
      <c r="A4" s="463" t="s">
        <v>737</v>
      </c>
      <c r="B4" s="464"/>
      <c r="C4" s="3606" t="s">
        <v>738</v>
      </c>
      <c r="D4" s="3607"/>
      <c r="E4" s="3606" t="s">
        <v>739</v>
      </c>
      <c r="F4" s="3607"/>
      <c r="G4" s="3606" t="s">
        <v>740</v>
      </c>
      <c r="H4" s="3607"/>
      <c r="I4" s="3606" t="s">
        <v>741</v>
      </c>
      <c r="J4" s="3607"/>
      <c r="K4" s="465" t="s">
        <v>742</v>
      </c>
      <c r="L4" s="1741"/>
      <c r="M4" s="1742"/>
      <c r="N4" s="1742"/>
      <c r="O4" s="1742"/>
      <c r="P4" s="3608" t="s">
        <v>743</v>
      </c>
      <c r="Q4" s="3609"/>
      <c r="R4" s="3592" t="s">
        <v>739</v>
      </c>
      <c r="S4" s="3593"/>
      <c r="T4" s="3592" t="s">
        <v>740</v>
      </c>
      <c r="U4" s="3593"/>
      <c r="V4" s="3614" t="s">
        <v>741</v>
      </c>
      <c r="W4" s="3614"/>
      <c r="X4" s="1302"/>
      <c r="Y4" s="3592" t="s">
        <v>743</v>
      </c>
      <c r="Z4" s="3593"/>
      <c r="AA4" s="3587" t="s">
        <v>739</v>
      </c>
      <c r="AB4" s="3588" t="s">
        <v>740</v>
      </c>
      <c r="AC4" s="3587" t="s">
        <v>741</v>
      </c>
    </row>
    <row r="5" spans="1:29" ht="14.1" customHeight="1">
      <c r="A5" s="466"/>
      <c r="B5" s="467"/>
      <c r="C5" s="3617" t="s">
        <v>2186</v>
      </c>
      <c r="D5" s="3618"/>
      <c r="E5" s="3721" t="s">
        <v>3531</v>
      </c>
      <c r="F5" s="3618"/>
      <c r="G5" s="3693" t="s">
        <v>3527</v>
      </c>
      <c r="H5" s="3618"/>
      <c r="I5" s="3693" t="s">
        <v>3528</v>
      </c>
      <c r="J5" s="3618"/>
      <c r="K5" s="465"/>
      <c r="L5" s="1741"/>
      <c r="M5" s="1742"/>
      <c r="N5" s="1742"/>
      <c r="O5" s="1742"/>
      <c r="P5" s="3610"/>
      <c r="Q5" s="3611"/>
      <c r="R5" s="3594"/>
      <c r="S5" s="3595"/>
      <c r="T5" s="3594"/>
      <c r="U5" s="3595"/>
      <c r="V5" s="3614"/>
      <c r="W5" s="3614"/>
      <c r="X5" s="1302"/>
      <c r="Y5" s="3594"/>
      <c r="Z5" s="3595"/>
      <c r="AA5" s="3588"/>
      <c r="AB5" s="3588"/>
      <c r="AC5" s="3588"/>
    </row>
    <row r="6" spans="1:29" ht="15.75" thickBot="1">
      <c r="A6" s="468"/>
      <c r="B6" s="469"/>
      <c r="C6" s="3615" t="s">
        <v>2190</v>
      </c>
      <c r="D6" s="3616"/>
      <c r="E6" s="3619" t="s">
        <v>2190</v>
      </c>
      <c r="F6" s="3620"/>
      <c r="G6" s="3615" t="s">
        <v>2190</v>
      </c>
      <c r="H6" s="3616"/>
      <c r="I6" s="3615" t="s">
        <v>2190</v>
      </c>
      <c r="J6" s="3616"/>
      <c r="K6" s="465" t="s">
        <v>477</v>
      </c>
      <c r="L6" s="1741"/>
      <c r="M6" s="1742"/>
      <c r="N6" s="1742"/>
      <c r="O6" s="1742"/>
      <c r="P6" s="3612"/>
      <c r="Q6" s="3613"/>
      <c r="R6" s="3594"/>
      <c r="S6" s="3595"/>
      <c r="T6" s="3596"/>
      <c r="U6" s="3597"/>
      <c r="V6" s="3614"/>
      <c r="W6" s="3614"/>
      <c r="X6" s="1302"/>
      <c r="Y6" s="3596"/>
      <c r="Z6" s="3597"/>
      <c r="AA6" s="3589"/>
      <c r="AB6" s="3589"/>
      <c r="AC6" s="3589"/>
    </row>
    <row r="7" spans="1:29" s="1060" customFormat="1" ht="15.75" thickBot="1">
      <c r="A7" s="2208"/>
      <c r="B7" s="2215" t="s">
        <v>478</v>
      </c>
      <c r="C7" s="470">
        <f>'数据-取费表'!B2</f>
        <v>45541</v>
      </c>
      <c r="D7" s="471">
        <v>100</v>
      </c>
      <c r="E7" s="472">
        <v>45536</v>
      </c>
      <c r="F7" s="473">
        <f>SUMIF(48:48,YEAR(E7)&amp;"-"&amp;MONTH(E7),49:49)</f>
        <v>100</v>
      </c>
      <c r="G7" s="472">
        <v>45536</v>
      </c>
      <c r="H7" s="471">
        <f>SUMIF(48:48,YEAR(G7)&amp;"-"&amp;MONTH(G7),49:49)</f>
        <v>100</v>
      </c>
      <c r="I7" s="472">
        <v>45536</v>
      </c>
      <c r="J7" s="471">
        <f>SUMIF(48:48,YEAR(I7)&amp;"-"&amp;MONTH(I7),49:49)</f>
        <v>100</v>
      </c>
      <c r="K7" s="88"/>
      <c r="L7" s="1743"/>
      <c r="M7" s="1640"/>
      <c r="N7" s="1640"/>
      <c r="O7" s="1640"/>
      <c r="P7" s="3590" t="s">
        <v>479</v>
      </c>
      <c r="Q7" s="3599"/>
      <c r="R7" s="1303" t="s">
        <v>5</v>
      </c>
      <c r="S7" s="1304">
        <f t="shared" ref="S7:S14" si="0">F7</f>
        <v>100</v>
      </c>
      <c r="T7" s="1303" t="s">
        <v>5</v>
      </c>
      <c r="U7" s="1304">
        <f t="shared" ref="U7:U14" si="1">H7</f>
        <v>100</v>
      </c>
      <c r="V7" s="1303" t="s">
        <v>5</v>
      </c>
      <c r="W7" s="1304">
        <f t="shared" ref="W7:W14" si="2">J7</f>
        <v>100</v>
      </c>
      <c r="X7" s="1305"/>
      <c r="Y7" s="3590" t="s">
        <v>479</v>
      </c>
      <c r="Z7" s="3591"/>
      <c r="AA7" s="997">
        <f>D7/F7</f>
        <v>1</v>
      </c>
      <c r="AB7" s="997">
        <f>D7/H7</f>
        <v>1</v>
      </c>
      <c r="AC7" s="997">
        <f>D7/J7</f>
        <v>1</v>
      </c>
    </row>
    <row r="8" spans="1:29" s="1060" customFormat="1" ht="15.75" thickBot="1">
      <c r="A8" s="2209"/>
      <c r="B8" s="2216" t="s">
        <v>480</v>
      </c>
      <c r="C8" s="475" t="s">
        <v>524</v>
      </c>
      <c r="D8" s="471">
        <v>100</v>
      </c>
      <c r="E8" s="475" t="s">
        <v>3534</v>
      </c>
      <c r="F8" s="473">
        <f>SUMIF(51:51,E8,52:52)-SUMIF(51:51,C8,52:52)+100</f>
        <v>100</v>
      </c>
      <c r="G8" s="475" t="s">
        <v>3534</v>
      </c>
      <c r="H8" s="471">
        <f>SUMIF(51:51,G8,52:52)-SUMIF(51:51,C8,52:52)+100</f>
        <v>100</v>
      </c>
      <c r="I8" s="475" t="s">
        <v>3534</v>
      </c>
      <c r="J8" s="471">
        <f>SUMIF(51:51,I8,52:52)-SUMIF(51:51,C8,52:52)+100</f>
        <v>100</v>
      </c>
      <c r="K8" s="88"/>
      <c r="L8" s="1743"/>
      <c r="M8" s="1640"/>
      <c r="N8" s="1640"/>
      <c r="O8" s="1640"/>
      <c r="P8" s="3590" t="s">
        <v>482</v>
      </c>
      <c r="Q8" s="3591"/>
      <c r="R8" s="1303" t="s">
        <v>5</v>
      </c>
      <c r="S8" s="1304">
        <f t="shared" si="0"/>
        <v>100</v>
      </c>
      <c r="T8" s="1303" t="s">
        <v>5</v>
      </c>
      <c r="U8" s="1304">
        <f t="shared" si="1"/>
        <v>100</v>
      </c>
      <c r="V8" s="1303" t="s">
        <v>5</v>
      </c>
      <c r="W8" s="1304">
        <f t="shared" si="2"/>
        <v>100</v>
      </c>
      <c r="X8" s="1305"/>
      <c r="Y8" s="3590" t="s">
        <v>482</v>
      </c>
      <c r="Z8" s="3591"/>
      <c r="AA8" s="997">
        <f t="shared" ref="AA8:AA36" si="3">D8/F8</f>
        <v>1</v>
      </c>
      <c r="AB8" s="997">
        <f t="shared" ref="AB8:AB36" si="4">D8/H8</f>
        <v>1</v>
      </c>
      <c r="AC8" s="997">
        <f t="shared" ref="AC8:AC36" si="5">D8/J8</f>
        <v>1</v>
      </c>
    </row>
    <row r="9" spans="1:29" s="1060" customFormat="1" ht="15">
      <c r="A9" s="2210"/>
      <c r="B9" s="2217" t="s">
        <v>2038</v>
      </c>
      <c r="C9" s="3409" t="s">
        <v>3532</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598" t="s">
        <v>484</v>
      </c>
      <c r="Q9" s="818" t="str">
        <f t="shared" ref="Q9:Q14" si="6">B9</f>
        <v>用途</v>
      </c>
      <c r="R9" s="1303" t="s">
        <v>5</v>
      </c>
      <c r="S9" s="1304">
        <f t="shared" si="0"/>
        <v>100</v>
      </c>
      <c r="T9" s="1303" t="s">
        <v>5</v>
      </c>
      <c r="U9" s="1304">
        <f t="shared" si="1"/>
        <v>100</v>
      </c>
      <c r="V9" s="1303" t="s">
        <v>5</v>
      </c>
      <c r="W9" s="1304">
        <f t="shared" si="2"/>
        <v>100</v>
      </c>
      <c r="X9" s="1305"/>
      <c r="Y9" s="3550"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50"/>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8"/>
      <c r="Q11" s="818">
        <f t="shared" si="6"/>
        <v>111</v>
      </c>
      <c r="R11" s="1303" t="s">
        <v>5</v>
      </c>
      <c r="S11" s="1304">
        <f t="shared" si="0"/>
        <v>100</v>
      </c>
      <c r="T11" s="1303" t="s">
        <v>5</v>
      </c>
      <c r="U11" s="1304">
        <f t="shared" si="1"/>
        <v>100</v>
      </c>
      <c r="V11" s="1303" t="s">
        <v>5</v>
      </c>
      <c r="W11" s="1304">
        <f t="shared" si="2"/>
        <v>100</v>
      </c>
      <c r="X11" s="1305"/>
      <c r="Y11" s="3550"/>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50"/>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50"/>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00" t="s">
        <v>489</v>
      </c>
      <c r="Q14" s="1306" t="str">
        <f t="shared" si="6"/>
        <v>交通便捷度</v>
      </c>
      <c r="R14" s="1307" t="s">
        <v>5</v>
      </c>
      <c r="S14" s="1308">
        <f t="shared" si="0"/>
        <v>100</v>
      </c>
      <c r="T14" s="1307" t="s">
        <v>5</v>
      </c>
      <c r="U14" s="1308">
        <f t="shared" si="1"/>
        <v>100</v>
      </c>
      <c r="V14" s="1307" t="s">
        <v>5</v>
      </c>
      <c r="W14" s="1308">
        <f t="shared" si="2"/>
        <v>100</v>
      </c>
      <c r="X14" s="1302"/>
      <c r="Y14" s="3600" t="s">
        <v>489</v>
      </c>
      <c r="Z14" s="1309" t="str">
        <f t="shared" si="7"/>
        <v>交通便捷度</v>
      </c>
      <c r="AA14" s="1309">
        <f t="shared" si="3"/>
        <v>1</v>
      </c>
      <c r="AB14" s="1309">
        <f t="shared" si="4"/>
        <v>1</v>
      </c>
      <c r="AC14" s="1309">
        <f t="shared" si="5"/>
        <v>1</v>
      </c>
    </row>
    <row r="15" spans="1:29" ht="15">
      <c r="A15" s="466"/>
      <c r="B15" s="846"/>
      <c r="C15" s="526" t="s">
        <v>3356</v>
      </c>
      <c r="D15" s="505"/>
      <c r="E15" s="526" t="s">
        <v>3356</v>
      </c>
      <c r="F15" s="507"/>
      <c r="G15" s="526" t="s">
        <v>3356</v>
      </c>
      <c r="H15" s="509"/>
      <c r="I15" s="526" t="s">
        <v>3356</v>
      </c>
      <c r="J15" s="505"/>
      <c r="K15" s="823"/>
      <c r="L15" s="1749"/>
      <c r="M15" s="1742"/>
      <c r="N15" s="1742"/>
      <c r="O15" s="1748"/>
      <c r="P15" s="3601"/>
      <c r="Q15" s="1306"/>
      <c r="R15" s="1307"/>
      <c r="S15" s="1308"/>
      <c r="T15" s="1307"/>
      <c r="U15" s="1308"/>
      <c r="V15" s="1307"/>
      <c r="W15" s="1308"/>
      <c r="X15" s="1302"/>
      <c r="Y15" s="3601"/>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01"/>
      <c r="Q16" s="1306" t="str">
        <f>B16</f>
        <v>公共配套设施</v>
      </c>
      <c r="R16" s="1307" t="s">
        <v>5</v>
      </c>
      <c r="S16" s="1308">
        <f>F16</f>
        <v>100</v>
      </c>
      <c r="T16" s="1307" t="s">
        <v>5</v>
      </c>
      <c r="U16" s="1308">
        <f>H16</f>
        <v>100</v>
      </c>
      <c r="V16" s="1307" t="s">
        <v>5</v>
      </c>
      <c r="W16" s="1308">
        <f>J16</f>
        <v>100</v>
      </c>
      <c r="X16" s="1302"/>
      <c r="Y16" s="3601"/>
      <c r="Z16" s="1309" t="str">
        <f>Q16</f>
        <v>公共配套设施</v>
      </c>
      <c r="AA16" s="1309">
        <f t="shared" si="3"/>
        <v>1</v>
      </c>
      <c r="AB16" s="1309">
        <f t="shared" si="4"/>
        <v>1</v>
      </c>
      <c r="AC16" s="1309">
        <f t="shared" si="5"/>
        <v>1</v>
      </c>
    </row>
    <row r="17" spans="1:29" ht="15">
      <c r="A17" s="466"/>
      <c r="B17" s="516"/>
      <c r="C17" s="526" t="s">
        <v>3356</v>
      </c>
      <c r="D17" s="505"/>
      <c r="E17" s="526" t="s">
        <v>3356</v>
      </c>
      <c r="F17" s="507"/>
      <c r="G17" s="526" t="s">
        <v>3356</v>
      </c>
      <c r="H17" s="505"/>
      <c r="I17" s="526" t="s">
        <v>3356</v>
      </c>
      <c r="J17" s="505"/>
      <c r="K17" s="823"/>
      <c r="L17" s="1749"/>
      <c r="M17" s="1742"/>
      <c r="N17" s="1742"/>
      <c r="O17" s="1748"/>
      <c r="P17" s="3601"/>
      <c r="Q17" s="1306"/>
      <c r="R17" s="1307"/>
      <c r="S17" s="1308"/>
      <c r="T17" s="1307"/>
      <c r="U17" s="1308"/>
      <c r="V17" s="1307"/>
      <c r="W17" s="1308"/>
      <c r="X17" s="1302"/>
      <c r="Y17" s="3601"/>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01"/>
      <c r="Q18" s="1306" t="str">
        <f>B18</f>
        <v>基础设施水平</v>
      </c>
      <c r="R18" s="1307" t="s">
        <v>5</v>
      </c>
      <c r="S18" s="1308">
        <f>F18</f>
        <v>100</v>
      </c>
      <c r="T18" s="1307" t="s">
        <v>5</v>
      </c>
      <c r="U18" s="1308">
        <f>H18</f>
        <v>100</v>
      </c>
      <c r="V18" s="1307" t="s">
        <v>5</v>
      </c>
      <c r="W18" s="1308">
        <f>J18</f>
        <v>100</v>
      </c>
      <c r="X18" s="1302"/>
      <c r="Y18" s="3601"/>
      <c r="Z18" s="1309" t="str">
        <f>Q18</f>
        <v>基础设施水平</v>
      </c>
      <c r="AA18" s="1309">
        <f>D18/F18</f>
        <v>1</v>
      </c>
      <c r="AB18" s="1309">
        <f>D18/H18</f>
        <v>1</v>
      </c>
      <c r="AC18" s="1309">
        <f>D18/J18</f>
        <v>1</v>
      </c>
    </row>
    <row r="19" spans="1:29" ht="15">
      <c r="A19" s="466"/>
      <c r="B19" s="528"/>
      <c r="C19" s="802" t="s">
        <v>3503</v>
      </c>
      <c r="D19" s="509"/>
      <c r="E19" s="802" t="s">
        <v>3503</v>
      </c>
      <c r="F19" s="507"/>
      <c r="G19" s="802" t="s">
        <v>3503</v>
      </c>
      <c r="H19" s="505"/>
      <c r="I19" s="802" t="s">
        <v>3503</v>
      </c>
      <c r="J19" s="505"/>
      <c r="K19" s="2061"/>
      <c r="L19" s="1749"/>
      <c r="M19" s="1742"/>
      <c r="N19" s="1742"/>
      <c r="O19" s="1748"/>
      <c r="P19" s="3601"/>
      <c r="Q19" s="1306"/>
      <c r="R19" s="1307"/>
      <c r="S19" s="1308"/>
      <c r="T19" s="1307"/>
      <c r="U19" s="1308"/>
      <c r="V19" s="1307"/>
      <c r="W19" s="1308"/>
      <c r="X19" s="1302"/>
      <c r="Y19" s="3601"/>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103</v>
      </c>
      <c r="K20" s="822">
        <f>'不动产比较法-住宅'!K23</f>
        <v>3</v>
      </c>
      <c r="L20" s="1749"/>
      <c r="M20" s="1742"/>
      <c r="N20" s="1742"/>
      <c r="O20" s="1748"/>
      <c r="P20" s="3601"/>
      <c r="Q20" s="1306" t="str">
        <f>B20</f>
        <v>自然及人文环境</v>
      </c>
      <c r="R20" s="1307" t="s">
        <v>5</v>
      </c>
      <c r="S20" s="1308">
        <f>F20</f>
        <v>100</v>
      </c>
      <c r="T20" s="1307" t="s">
        <v>5</v>
      </c>
      <c r="U20" s="1308">
        <f>H20</f>
        <v>100</v>
      </c>
      <c r="V20" s="1307" t="s">
        <v>5</v>
      </c>
      <c r="W20" s="1308">
        <f>J20</f>
        <v>103</v>
      </c>
      <c r="X20" s="1302"/>
      <c r="Y20" s="3601"/>
      <c r="Z20" s="1309" t="str">
        <f>Q20</f>
        <v>自然及人文环境</v>
      </c>
      <c r="AA20" s="1309">
        <f t="shared" si="3"/>
        <v>1</v>
      </c>
      <c r="AB20" s="1309">
        <f t="shared" si="4"/>
        <v>1</v>
      </c>
      <c r="AC20" s="1309">
        <f t="shared" si="5"/>
        <v>0.970873786407767</v>
      </c>
    </row>
    <row r="21" spans="1:29" ht="15">
      <c r="A21" s="466"/>
      <c r="B21" s="516"/>
      <c r="C21" s="526" t="s">
        <v>3356</v>
      </c>
      <c r="D21" s="505"/>
      <c r="E21" s="526" t="s">
        <v>3356</v>
      </c>
      <c r="F21" s="507"/>
      <c r="G21" s="526" t="s">
        <v>3356</v>
      </c>
      <c r="H21" s="505"/>
      <c r="I21" s="526" t="s">
        <v>3501</v>
      </c>
      <c r="J21" s="505"/>
      <c r="K21" s="823"/>
      <c r="L21" s="1749"/>
      <c r="M21" s="1742"/>
      <c r="N21" s="1742"/>
      <c r="O21" s="1748"/>
      <c r="P21" s="3601"/>
      <c r="Q21" s="1306"/>
      <c r="R21" s="1307"/>
      <c r="S21" s="1308"/>
      <c r="T21" s="1307"/>
      <c r="U21" s="1308"/>
      <c r="V21" s="1307"/>
      <c r="W21" s="1308"/>
      <c r="X21" s="1302"/>
      <c r="Y21" s="3601"/>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1"/>
      <c r="Q22" s="1306" t="str">
        <f>B22</f>
        <v>楼层</v>
      </c>
      <c r="R22" s="1307" t="s">
        <v>5</v>
      </c>
      <c r="S22" s="1308">
        <f>F22</f>
        <v>100</v>
      </c>
      <c r="T22" s="1307" t="s">
        <v>5</v>
      </c>
      <c r="U22" s="1308">
        <f>H22</f>
        <v>100</v>
      </c>
      <c r="V22" s="1307" t="s">
        <v>5</v>
      </c>
      <c r="W22" s="1308">
        <f>J22</f>
        <v>100</v>
      </c>
      <c r="X22" s="1302"/>
      <c r="Y22" s="3601"/>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1"/>
      <c r="Q23" s="1306">
        <f>B23</f>
        <v>111</v>
      </c>
      <c r="R23" s="1307" t="s">
        <v>5</v>
      </c>
      <c r="S23" s="1308">
        <f>F23</f>
        <v>100</v>
      </c>
      <c r="T23" s="1307" t="s">
        <v>5</v>
      </c>
      <c r="U23" s="1308">
        <f>H23</f>
        <v>100</v>
      </c>
      <c r="V23" s="1307" t="s">
        <v>5</v>
      </c>
      <c r="W23" s="1308">
        <f>J23</f>
        <v>100</v>
      </c>
      <c r="X23" s="1302"/>
      <c r="Y23" s="3601"/>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1"/>
      <c r="Q24" s="1306">
        <f t="shared" ref="Q24:Q36" si="8">B24</f>
        <v>111</v>
      </c>
      <c r="R24" s="1307" t="s">
        <v>5</v>
      </c>
      <c r="S24" s="1308">
        <f>F24</f>
        <v>100</v>
      </c>
      <c r="T24" s="1307" t="s">
        <v>5</v>
      </c>
      <c r="U24" s="1308">
        <f>H24</f>
        <v>100</v>
      </c>
      <c r="V24" s="1307" t="s">
        <v>5</v>
      </c>
      <c r="W24" s="1308">
        <f>J24</f>
        <v>100</v>
      </c>
      <c r="X24" s="1302"/>
      <c r="Y24" s="3601"/>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01"/>
      <c r="Q25" s="818">
        <f t="shared" si="8"/>
        <v>111</v>
      </c>
      <c r="R25" s="1303" t="s">
        <v>5</v>
      </c>
      <c r="S25" s="1304">
        <f>F25</f>
        <v>100</v>
      </c>
      <c r="T25" s="1303" t="s">
        <v>5</v>
      </c>
      <c r="U25" s="1304">
        <f>H25</f>
        <v>100</v>
      </c>
      <c r="V25" s="1303" t="s">
        <v>5</v>
      </c>
      <c r="W25" s="1304">
        <f>J25</f>
        <v>100</v>
      </c>
      <c r="X25" s="1305"/>
      <c r="Y25" s="3601"/>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02"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3" t="s">
        <v>499</v>
      </c>
      <c r="Z26" s="1309" t="str">
        <f t="shared" ref="Z26:Z36" si="12">Q26</f>
        <v>配套类型</v>
      </c>
      <c r="AA26" s="1309">
        <f t="shared" si="3"/>
        <v>1</v>
      </c>
      <c r="AB26" s="1309">
        <f t="shared" si="4"/>
        <v>1</v>
      </c>
      <c r="AC26" s="1309">
        <f t="shared" si="5"/>
        <v>1</v>
      </c>
    </row>
    <row r="27" spans="1:29" s="1134" customFormat="1" ht="15">
      <c r="A27" s="850"/>
      <c r="B27" s="235" t="s">
        <v>747</v>
      </c>
      <c r="C27" s="851" t="s">
        <v>3543</v>
      </c>
      <c r="D27" s="235">
        <v>100</v>
      </c>
      <c r="E27" s="851" t="s">
        <v>3543</v>
      </c>
      <c r="F27" s="525">
        <f>SUMIF(81:81,E27,82:82)-SUMIF(81:81,C27,82:82)+100</f>
        <v>100</v>
      </c>
      <c r="G27" s="851" t="s">
        <v>3543</v>
      </c>
      <c r="H27" s="490">
        <f>SUMIF(81:81,G27,82:82)-SUMIF(81:81,C27,82:82)+100</f>
        <v>100</v>
      </c>
      <c r="I27" s="851" t="s">
        <v>3543</v>
      </c>
      <c r="J27" s="490">
        <f>SUMIF(81:81,I27,82:82)-SUMIF(81:81,C27,82:82)+100</f>
        <v>100</v>
      </c>
      <c r="K27" s="531"/>
      <c r="L27" s="1747"/>
      <c r="M27" s="1771"/>
      <c r="N27" s="1771"/>
      <c r="O27" s="1750"/>
      <c r="P27" s="3603"/>
      <c r="Q27" s="819" t="str">
        <f t="shared" si="8"/>
        <v>项目停车位配比</v>
      </c>
      <c r="R27" s="1310" t="s">
        <v>5</v>
      </c>
      <c r="S27" s="1311">
        <f t="shared" si="9"/>
        <v>100</v>
      </c>
      <c r="T27" s="1310" t="s">
        <v>5</v>
      </c>
      <c r="U27" s="1311">
        <f t="shared" si="10"/>
        <v>100</v>
      </c>
      <c r="V27" s="1310" t="s">
        <v>5</v>
      </c>
      <c r="W27" s="1311">
        <f t="shared" si="11"/>
        <v>100</v>
      </c>
      <c r="X27" s="1312"/>
      <c r="Y27" s="3603"/>
      <c r="Z27" s="1313" t="str">
        <f t="shared" si="12"/>
        <v>项目停车位配比</v>
      </c>
      <c r="AA27" s="1309">
        <f t="shared" si="3"/>
        <v>1</v>
      </c>
      <c r="AB27" s="1309">
        <f t="shared" si="4"/>
        <v>1</v>
      </c>
      <c r="AC27" s="1309">
        <f t="shared" si="5"/>
        <v>1</v>
      </c>
    </row>
    <row r="28" spans="1:29" ht="15">
      <c r="A28" s="852"/>
      <c r="B28" s="235" t="s">
        <v>748</v>
      </c>
      <c r="C28" s="524" t="s">
        <v>3525</v>
      </c>
      <c r="D28" s="490">
        <v>100</v>
      </c>
      <c r="E28" s="524" t="s">
        <v>3525</v>
      </c>
      <c r="F28" s="525">
        <f>SUMIF(83:83,E28,84:84)-SUMIF(83:83,C28,84:84)+100</f>
        <v>100</v>
      </c>
      <c r="G28" s="524" t="s">
        <v>3525</v>
      </c>
      <c r="H28" s="490">
        <f>SUMIF(83:83,G28,84:84)-SUMIF(83:83,C28,84:84)+100</f>
        <v>100</v>
      </c>
      <c r="I28" s="524" t="s">
        <v>3525</v>
      </c>
      <c r="J28" s="490">
        <f>SUMIF(83:83,I28,84:84)-SUMIF(83:83,C28,84:84)+100</f>
        <v>100</v>
      </c>
      <c r="K28" s="533">
        <v>2</v>
      </c>
      <c r="L28" s="1749"/>
      <c r="M28" s="1742"/>
      <c r="N28" s="1742"/>
      <c r="O28" s="1748"/>
      <c r="P28" s="3603"/>
      <c r="Q28" s="1306" t="str">
        <f t="shared" si="8"/>
        <v>公共部分装修</v>
      </c>
      <c r="R28" s="1307" t="s">
        <v>5</v>
      </c>
      <c r="S28" s="1308">
        <f t="shared" si="9"/>
        <v>100</v>
      </c>
      <c r="T28" s="1307" t="s">
        <v>5</v>
      </c>
      <c r="U28" s="1308">
        <f t="shared" si="10"/>
        <v>100</v>
      </c>
      <c r="V28" s="1307" t="s">
        <v>5</v>
      </c>
      <c r="W28" s="1308">
        <f t="shared" si="11"/>
        <v>100</v>
      </c>
      <c r="X28" s="1302"/>
      <c r="Y28" s="3603"/>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03"/>
      <c r="Q29" s="1306" t="str">
        <f t="shared" si="8"/>
        <v>成新率</v>
      </c>
      <c r="R29" s="1307" t="s">
        <v>5</v>
      </c>
      <c r="S29" s="1308">
        <f t="shared" si="9"/>
        <v>100</v>
      </c>
      <c r="T29" s="1307" t="s">
        <v>5</v>
      </c>
      <c r="U29" s="1308">
        <f t="shared" si="10"/>
        <v>100</v>
      </c>
      <c r="V29" s="1307" t="s">
        <v>5</v>
      </c>
      <c r="W29" s="1308">
        <f t="shared" si="11"/>
        <v>100</v>
      </c>
      <c r="X29" s="1302"/>
      <c r="Y29" s="3603"/>
      <c r="Z29" s="1309" t="str">
        <f t="shared" si="12"/>
        <v>成新率</v>
      </c>
      <c r="AA29" s="1309">
        <f t="shared" si="3"/>
        <v>1</v>
      </c>
      <c r="AB29" s="1309">
        <f t="shared" si="4"/>
        <v>1</v>
      </c>
      <c r="AC29" s="1309">
        <f t="shared" si="5"/>
        <v>1</v>
      </c>
    </row>
    <row r="30" spans="1:29" ht="15">
      <c r="A30" s="852"/>
      <c r="B30" s="235" t="s">
        <v>750</v>
      </c>
      <c r="C30" s="853" t="s">
        <v>3526</v>
      </c>
      <c r="D30" s="490">
        <v>100</v>
      </c>
      <c r="E30" s="853" t="s">
        <v>3526</v>
      </c>
      <c r="F30" s="525">
        <f>SUMIF(88:88,E30,89:89)-SUMIF(88:88,C30,89:89)+100</f>
        <v>100</v>
      </c>
      <c r="G30" s="853" t="s">
        <v>3526</v>
      </c>
      <c r="H30" s="490">
        <f>SUMIF(88:88,E30,89:89)-SUMIF(88:88,C30,89:89)+100</f>
        <v>100</v>
      </c>
      <c r="I30" s="853" t="s">
        <v>3526</v>
      </c>
      <c r="J30" s="490">
        <f>SUMIF(88:88,E30,89:89)-SUMIF(88:88,C30,89:89)+100</f>
        <v>100</v>
      </c>
      <c r="K30" s="533">
        <v>2</v>
      </c>
      <c r="L30" s="1749"/>
      <c r="M30" s="1742"/>
      <c r="N30" s="1742"/>
      <c r="O30" s="1748"/>
      <c r="P30" s="3603"/>
      <c r="Q30" s="1306" t="str">
        <f t="shared" si="8"/>
        <v>物业等级</v>
      </c>
      <c r="R30" s="1307" t="s">
        <v>5</v>
      </c>
      <c r="S30" s="1308">
        <f t="shared" si="9"/>
        <v>100</v>
      </c>
      <c r="T30" s="1307" t="s">
        <v>5</v>
      </c>
      <c r="U30" s="1308">
        <f t="shared" si="10"/>
        <v>100</v>
      </c>
      <c r="V30" s="1307" t="s">
        <v>5</v>
      </c>
      <c r="W30" s="1308">
        <f t="shared" si="11"/>
        <v>100</v>
      </c>
      <c r="X30" s="1302"/>
      <c r="Y30" s="3603"/>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104</v>
      </c>
      <c r="G31" s="806">
        <v>28.12</v>
      </c>
      <c r="H31" s="490">
        <f>LOOKUP(G31,91:91,92:92)-LOOKUP(C31,91:91,92:92)+100</f>
        <v>100</v>
      </c>
      <c r="I31" s="806">
        <v>27.69</v>
      </c>
      <c r="J31" s="490">
        <f>LOOKUP(I31,91:91,92:92)-LOOKUP(C31,91:91,92:92)+100</f>
        <v>100</v>
      </c>
      <c r="K31" s="533"/>
      <c r="L31" s="1743"/>
      <c r="M31" s="1640"/>
      <c r="N31" s="1640"/>
      <c r="O31" s="1744"/>
      <c r="P31" s="3603"/>
      <c r="Q31" s="818" t="str">
        <f t="shared" si="8"/>
        <v>停车位面积</v>
      </c>
      <c r="R31" s="1303" t="s">
        <v>5</v>
      </c>
      <c r="S31" s="1304">
        <f t="shared" si="9"/>
        <v>104</v>
      </c>
      <c r="T31" s="1303" t="s">
        <v>5</v>
      </c>
      <c r="U31" s="1304">
        <f t="shared" si="10"/>
        <v>100</v>
      </c>
      <c r="V31" s="1303" t="s">
        <v>5</v>
      </c>
      <c r="W31" s="1304">
        <f t="shared" si="11"/>
        <v>100</v>
      </c>
      <c r="X31" s="1305"/>
      <c r="Y31" s="3603"/>
      <c r="Z31" s="997" t="str">
        <f t="shared" si="12"/>
        <v>停车位面积</v>
      </c>
      <c r="AA31" s="997">
        <f t="shared" si="3"/>
        <v>0.96153846153846156</v>
      </c>
      <c r="AB31" s="997">
        <f t="shared" si="4"/>
        <v>1</v>
      </c>
      <c r="AC31" s="997">
        <f t="shared" si="5"/>
        <v>1</v>
      </c>
    </row>
    <row r="32" spans="1:29" ht="15">
      <c r="A32" s="852"/>
      <c r="B32" s="235" t="s">
        <v>752</v>
      </c>
      <c r="C32" s="524" t="s">
        <v>3535</v>
      </c>
      <c r="D32" s="490">
        <v>100</v>
      </c>
      <c r="E32" s="524" t="s">
        <v>3535</v>
      </c>
      <c r="F32" s="525">
        <f>SUMIF(93:93,E32,94:94)-SUMIF(93:93,C32,94:94)+100</f>
        <v>100</v>
      </c>
      <c r="G32" s="524" t="s">
        <v>3535</v>
      </c>
      <c r="H32" s="490">
        <f>SUMIF(93:93,G32,94:94)-SUMIF(93:93,C32,94:94)+100</f>
        <v>100</v>
      </c>
      <c r="I32" s="524" t="s">
        <v>3535</v>
      </c>
      <c r="J32" s="490">
        <f>SUMIF(93:93,I32,94:94)-SUMIF(93:93,C32,94:94)+100</f>
        <v>100</v>
      </c>
      <c r="K32" s="533">
        <v>2</v>
      </c>
      <c r="L32" s="1749"/>
      <c r="M32" s="1742"/>
      <c r="N32" s="1742"/>
      <c r="O32" s="1748"/>
      <c r="P32" s="3603" t="s">
        <v>499</v>
      </c>
      <c r="Q32" s="1306" t="str">
        <f t="shared" si="8"/>
        <v>车位类型</v>
      </c>
      <c r="R32" s="1307" t="s">
        <v>5</v>
      </c>
      <c r="S32" s="1308">
        <f t="shared" si="9"/>
        <v>100</v>
      </c>
      <c r="T32" s="1307" t="s">
        <v>5</v>
      </c>
      <c r="U32" s="1308">
        <f t="shared" si="10"/>
        <v>100</v>
      </c>
      <c r="V32" s="1307" t="s">
        <v>5</v>
      </c>
      <c r="W32" s="1308">
        <f t="shared" si="11"/>
        <v>100</v>
      </c>
      <c r="X32" s="1302"/>
      <c r="Y32" s="3603" t="s">
        <v>499</v>
      </c>
      <c r="Z32" s="1309" t="str">
        <f t="shared" si="12"/>
        <v>车位类型</v>
      </c>
      <c r="AA32" s="1309">
        <f t="shared" si="3"/>
        <v>1</v>
      </c>
      <c r="AB32" s="1309">
        <f t="shared" si="4"/>
        <v>1</v>
      </c>
      <c r="AC32" s="1309">
        <f t="shared" si="5"/>
        <v>1</v>
      </c>
    </row>
    <row r="33" spans="1:29" ht="15">
      <c r="A33" s="852"/>
      <c r="B33" s="235" t="s">
        <v>753</v>
      </c>
      <c r="C33" s="524" t="s">
        <v>3354</v>
      </c>
      <c r="D33" s="490">
        <v>100</v>
      </c>
      <c r="E33" s="524" t="s">
        <v>3354</v>
      </c>
      <c r="F33" s="525">
        <f>SUMIF(95:95,E33,96:96)-SUMIF(95:95,C33,96:96)+100</f>
        <v>100</v>
      </c>
      <c r="G33" s="524" t="s">
        <v>3354</v>
      </c>
      <c r="H33" s="490">
        <f>SUMIF(95:95,G33,96:96)-SUMIF(95:95,C33,96:96)+100</f>
        <v>100</v>
      </c>
      <c r="I33" s="524" t="s">
        <v>3354</v>
      </c>
      <c r="J33" s="490">
        <f>SUMIF(95:95,I33,96:96)-SUMIF(95:95,C33,96:96)+100</f>
        <v>100</v>
      </c>
      <c r="K33" s="533">
        <v>2</v>
      </c>
      <c r="L33" s="1749"/>
      <c r="M33" s="1742"/>
      <c r="N33" s="1742"/>
      <c r="O33" s="1748"/>
      <c r="P33" s="3603"/>
      <c r="Q33" s="1306" t="str">
        <f t="shared" si="8"/>
        <v>是否直接入户</v>
      </c>
      <c r="R33" s="1307" t="s">
        <v>5</v>
      </c>
      <c r="S33" s="1308">
        <f t="shared" si="9"/>
        <v>100</v>
      </c>
      <c r="T33" s="1307" t="s">
        <v>5</v>
      </c>
      <c r="U33" s="1308">
        <f t="shared" si="10"/>
        <v>100</v>
      </c>
      <c r="V33" s="1307" t="s">
        <v>5</v>
      </c>
      <c r="W33" s="1308">
        <f t="shared" si="11"/>
        <v>100</v>
      </c>
      <c r="X33" s="1302"/>
      <c r="Y33" s="3603"/>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03"/>
      <c r="Q34" s="1306">
        <f t="shared" si="8"/>
        <v>111</v>
      </c>
      <c r="R34" s="1307" t="s">
        <v>5</v>
      </c>
      <c r="S34" s="1308">
        <f t="shared" si="9"/>
        <v>100</v>
      </c>
      <c r="T34" s="1307" t="s">
        <v>5</v>
      </c>
      <c r="U34" s="1308">
        <f t="shared" si="10"/>
        <v>100</v>
      </c>
      <c r="V34" s="1307" t="s">
        <v>5</v>
      </c>
      <c r="W34" s="1308">
        <f t="shared" si="11"/>
        <v>100</v>
      </c>
      <c r="X34" s="1302"/>
      <c r="Y34" s="3603"/>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03"/>
      <c r="Q35" s="819">
        <f t="shared" si="8"/>
        <v>111</v>
      </c>
      <c r="R35" s="1310" t="s">
        <v>5</v>
      </c>
      <c r="S35" s="1311">
        <f t="shared" si="9"/>
        <v>100</v>
      </c>
      <c r="T35" s="1310" t="s">
        <v>5</v>
      </c>
      <c r="U35" s="1311">
        <f t="shared" si="10"/>
        <v>100</v>
      </c>
      <c r="V35" s="1310" t="s">
        <v>5</v>
      </c>
      <c r="W35" s="1311">
        <f t="shared" si="11"/>
        <v>100</v>
      </c>
      <c r="X35" s="1312"/>
      <c r="Y35" s="3603"/>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03"/>
      <c r="Q36" s="1306">
        <f t="shared" si="8"/>
        <v>111</v>
      </c>
      <c r="R36" s="1307" t="s">
        <v>5</v>
      </c>
      <c r="S36" s="1308">
        <f t="shared" si="9"/>
        <v>100</v>
      </c>
      <c r="T36" s="1307" t="s">
        <v>5</v>
      </c>
      <c r="U36" s="1308">
        <f t="shared" si="10"/>
        <v>100</v>
      </c>
      <c r="V36" s="1307" t="s">
        <v>5</v>
      </c>
      <c r="W36" s="1308">
        <f t="shared" si="11"/>
        <v>100</v>
      </c>
      <c r="X36" s="1302"/>
      <c r="Y36" s="3603"/>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598" t="str">
        <f>A37</f>
        <v>成交单价</v>
      </c>
      <c r="Q37" s="3598"/>
      <c r="R37" s="3614">
        <f>E37</f>
        <v>5687</v>
      </c>
      <c r="S37" s="3614"/>
      <c r="T37" s="3614">
        <f>G37</f>
        <v>6355</v>
      </c>
      <c r="U37" s="3614"/>
      <c r="V37" s="3614">
        <f>I37</f>
        <v>5768</v>
      </c>
      <c r="W37" s="3614"/>
      <c r="X37" s="799"/>
      <c r="Y37" s="1314"/>
      <c r="Z37" s="799"/>
      <c r="AA37" s="799"/>
      <c r="AB37" s="799"/>
      <c r="AC37" s="799"/>
    </row>
    <row r="38" spans="1:29" ht="15.75" thickBot="1">
      <c r="A38" s="564" t="s">
        <v>2042</v>
      </c>
      <c r="B38" s="813"/>
      <c r="C38" s="2082">
        <f>R39</f>
        <v>5808</v>
      </c>
      <c r="D38" s="2549" t="s">
        <v>2255</v>
      </c>
      <c r="E38" s="2083">
        <f>R38</f>
        <v>5468</v>
      </c>
      <c r="F38" s="2550"/>
      <c r="G38" s="2082">
        <f>T38</f>
        <v>6355</v>
      </c>
      <c r="H38" s="2550"/>
      <c r="I38" s="2083">
        <f>V38</f>
        <v>5600</v>
      </c>
      <c r="J38" s="2550"/>
      <c r="K38" s="2557">
        <f>F38+H38+J38</f>
        <v>0</v>
      </c>
      <c r="L38" s="1751"/>
      <c r="M38" s="1742"/>
      <c r="N38" s="1742"/>
      <c r="O38" s="1742"/>
      <c r="P38" s="3598" t="str">
        <f>A38</f>
        <v>比较价格（元/平方米）</v>
      </c>
      <c r="Q38" s="3598"/>
      <c r="R38" s="3614">
        <f>IF(F1="售价",ROUND(PRODUCT(R37,AA7:AA36),0),ROUND(PRODUCT(R37,AA7:AA36),1))</f>
        <v>5468</v>
      </c>
      <c r="S38" s="3614"/>
      <c r="T38" s="3614">
        <f>IF(F1="售价",ROUND(PRODUCT(T37,AB7:AB36),0),ROUND(PRODUCT(T37,AB7:AB36),1))</f>
        <v>6355</v>
      </c>
      <c r="U38" s="3614"/>
      <c r="V38" s="3614">
        <f>IF(F1="售价",ROUND(PRODUCT(V37,AC7:AC36),0),ROUND(PRODUCT(V37,AC7:AC36),1))</f>
        <v>5600</v>
      </c>
      <c r="W38" s="3614"/>
      <c r="X38" s="799"/>
      <c r="Y38" s="799"/>
      <c r="Z38" s="799"/>
      <c r="AA38" s="799"/>
      <c r="AB38" s="799"/>
      <c r="AC38" s="799"/>
    </row>
    <row r="39" spans="1:29" ht="15.75" thickBot="1">
      <c r="A39" s="568" t="s">
        <v>2192</v>
      </c>
      <c r="B39" s="569"/>
      <c r="C39" s="469">
        <f>R39</f>
        <v>5808</v>
      </c>
      <c r="D39" s="469"/>
      <c r="E39" s="469"/>
      <c r="F39" s="469"/>
      <c r="G39" s="469"/>
      <c r="H39" s="469"/>
      <c r="I39" s="469"/>
      <c r="J39" s="469"/>
      <c r="K39" s="1336"/>
      <c r="L39" s="1751"/>
      <c r="M39" s="1742"/>
      <c r="N39" s="1742"/>
      <c r="O39" s="1742"/>
      <c r="P39" s="3604" t="str">
        <f>A39</f>
        <v>估价对象XX用房的比较价格（楼面单价，元/平方米）</v>
      </c>
      <c r="Q39" s="3605"/>
      <c r="R39" s="3694">
        <f>IF(F1="售价",ROUND(IF(D38="简单平均",AVERAGE(R38:W38),R38*F38+T38*H38+V38*J38),0),ROUND(IF(D38="简单平均",AVERAGE(R38:V38),R38*F38+T38*H38+V38*J38),1))</f>
        <v>5808</v>
      </c>
      <c r="S39" s="3694"/>
      <c r="T39" s="3694"/>
      <c r="U39" s="3694"/>
      <c r="V39" s="3694"/>
      <c r="W39" s="3694"/>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4.0051207022677504E-2</v>
      </c>
      <c r="F42" s="574" t="str">
        <f>IF(OR(E42&gt;=0.3,E42&lt;=-0.3),"超过30%","")</f>
        <v/>
      </c>
      <c r="G42" s="573">
        <f>IF(G37&lt;G38,G38/G37-1,G37/G38-1)</f>
        <v>0</v>
      </c>
      <c r="H42" s="574" t="str">
        <f>IF(OR(G42&gt;=0.3,G42&lt;=-0.3),"超过30%","")</f>
        <v/>
      </c>
      <c r="I42" s="573">
        <f>IF(I37&lt;I38,I38/I37-1,I37/I38-1)</f>
        <v>3.0000000000000027E-2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0.16221653255303581</v>
      </c>
      <c r="F43" s="574" t="str">
        <f>IF(OR(E43&gt;=0.2,E43&lt;=-0.2),"超过20%","")</f>
        <v/>
      </c>
      <c r="G43" s="573">
        <f>IF(G38&lt;I38,I38/G38-1,G38/I38-1)</f>
        <v>0.13482142857142865</v>
      </c>
      <c r="H43" s="574" t="str">
        <f>IF(OR(G43&gt;=0.2,G43&lt;=-0.2),"超过20%","")</f>
        <v/>
      </c>
      <c r="I43" s="573">
        <f>IF(I38&lt;E38,E38/I38-1,I38/E38-1)</f>
        <v>2.4140453547915053E-2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97</v>
      </c>
      <c r="E70" s="621">
        <f>D70-$K20</f>
        <v>94</v>
      </c>
      <c r="F70" s="621">
        <f>E70-$K20</f>
        <v>91</v>
      </c>
      <c r="G70" s="621">
        <f>F70-$K20</f>
        <v>88</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3515</v>
      </c>
      <c r="D83" s="3405" t="s">
        <v>3516</v>
      </c>
      <c r="E83" s="3406" t="s">
        <v>3517</v>
      </c>
      <c r="F83" s="3406" t="s">
        <v>3518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3519</v>
      </c>
      <c r="D88" s="3405" t="s">
        <v>3520</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C92+4</f>
        <v>104</v>
      </c>
      <c r="E92" s="613">
        <f t="shared" ref="E92:F92" si="19">D92+4</f>
        <v>108</v>
      </c>
      <c r="F92" s="613">
        <f t="shared" si="19"/>
        <v>112</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3533</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3536</v>
      </c>
      <c r="D95" s="3404" t="s">
        <v>3537</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6" t="s">
        <v>738</v>
      </c>
      <c r="D4" s="3607"/>
      <c r="E4" s="3632" t="s">
        <v>739</v>
      </c>
      <c r="F4" s="3633"/>
      <c r="G4" s="3606" t="s">
        <v>740</v>
      </c>
      <c r="H4" s="3607"/>
      <c r="I4" s="3606" t="s">
        <v>741</v>
      </c>
      <c r="J4" s="3607"/>
      <c r="K4" s="465" t="s">
        <v>742</v>
      </c>
      <c r="L4" s="1741"/>
      <c r="M4" s="1742"/>
      <c r="N4" s="1742"/>
      <c r="O4" s="1742"/>
      <c r="P4" s="3608" t="s">
        <v>743</v>
      </c>
      <c r="Q4" s="3609"/>
      <c r="R4" s="3592" t="s">
        <v>739</v>
      </c>
      <c r="S4" s="3593"/>
      <c r="T4" s="3592" t="s">
        <v>740</v>
      </c>
      <c r="U4" s="3593"/>
      <c r="V4" s="3614" t="s">
        <v>741</v>
      </c>
      <c r="W4" s="3614"/>
      <c r="X4" s="1302"/>
      <c r="Y4" s="3592" t="s">
        <v>743</v>
      </c>
      <c r="Z4" s="3593"/>
      <c r="AA4" s="3587" t="s">
        <v>739</v>
      </c>
      <c r="AB4" s="3588" t="s">
        <v>740</v>
      </c>
      <c r="AC4" s="3587" t="s">
        <v>741</v>
      </c>
    </row>
    <row r="5" spans="1:29" ht="15">
      <c r="A5" s="466"/>
      <c r="B5" s="467"/>
      <c r="C5" s="3617" t="s">
        <v>2186</v>
      </c>
      <c r="D5" s="3618"/>
      <c r="E5" s="3634" t="s">
        <v>2187</v>
      </c>
      <c r="F5" s="3635"/>
      <c r="G5" s="3617" t="s">
        <v>2188</v>
      </c>
      <c r="H5" s="3618"/>
      <c r="I5" s="3617" t="s">
        <v>2189</v>
      </c>
      <c r="J5" s="3618"/>
      <c r="K5" s="465"/>
      <c r="L5" s="1741"/>
      <c r="M5" s="1742"/>
      <c r="N5" s="1742"/>
      <c r="O5" s="1742"/>
      <c r="P5" s="3610"/>
      <c r="Q5" s="3611"/>
      <c r="R5" s="3594"/>
      <c r="S5" s="3595"/>
      <c r="T5" s="3594"/>
      <c r="U5" s="3595"/>
      <c r="V5" s="3614"/>
      <c r="W5" s="3614"/>
      <c r="X5" s="1302"/>
      <c r="Y5" s="3594"/>
      <c r="Z5" s="3595"/>
      <c r="AA5" s="3588"/>
      <c r="AB5" s="3588"/>
      <c r="AC5" s="3588"/>
    </row>
    <row r="6" spans="1:29" ht="15.75" thickBot="1">
      <c r="A6" s="468"/>
      <c r="B6" s="469"/>
      <c r="C6" s="3615" t="s">
        <v>2190</v>
      </c>
      <c r="D6" s="3616"/>
      <c r="E6" s="3636" t="s">
        <v>2190</v>
      </c>
      <c r="F6" s="3637"/>
      <c r="G6" s="3615" t="s">
        <v>2190</v>
      </c>
      <c r="H6" s="3616"/>
      <c r="I6" s="3615" t="s">
        <v>2190</v>
      </c>
      <c r="J6" s="3616"/>
      <c r="K6" s="465" t="s">
        <v>477</v>
      </c>
      <c r="L6" s="1741"/>
      <c r="M6" s="1742"/>
      <c r="N6" s="1742"/>
      <c r="O6" s="1742"/>
      <c r="P6" s="3612"/>
      <c r="Q6" s="3613"/>
      <c r="R6" s="3594"/>
      <c r="S6" s="3595"/>
      <c r="T6" s="3596"/>
      <c r="U6" s="3597"/>
      <c r="V6" s="3614"/>
      <c r="W6" s="3614"/>
      <c r="X6" s="1302"/>
      <c r="Y6" s="3596"/>
      <c r="Z6" s="3597"/>
      <c r="AA6" s="3589"/>
      <c r="AB6" s="3589"/>
      <c r="AC6" s="3589"/>
    </row>
    <row r="7" spans="1:29" s="1060" customFormat="1" ht="15.75" thickBot="1">
      <c r="A7" s="2208"/>
      <c r="B7" s="2215" t="s">
        <v>478</v>
      </c>
      <c r="C7" s="470">
        <f>'数据-取费表'!B2</f>
        <v>45541</v>
      </c>
      <c r="D7" s="471">
        <v>100</v>
      </c>
      <c r="E7" s="472"/>
      <c r="F7" s="473">
        <f>SUMIF(46:46,YEAR(E7)&amp;"-"&amp;MONTH(E7),47:47)</f>
        <v>0</v>
      </c>
      <c r="G7" s="474"/>
      <c r="H7" s="471">
        <f>SUMIF(46:46,YEAR(G7)&amp;"-"&amp;MONTH(G7),47:47)</f>
        <v>0</v>
      </c>
      <c r="I7" s="474"/>
      <c r="J7" s="471">
        <f>SUMIF(46:46,YEAR(I7)&amp;"-"&amp;MONTH(I7),47:47)</f>
        <v>0</v>
      </c>
      <c r="K7" s="88"/>
      <c r="L7" s="1743"/>
      <c r="M7" s="1640"/>
      <c r="N7" s="1640"/>
      <c r="O7" s="1640"/>
      <c r="P7" s="3590" t="s">
        <v>479</v>
      </c>
      <c r="Q7" s="3599"/>
      <c r="R7" s="1303" t="s">
        <v>5</v>
      </c>
      <c r="S7" s="1304">
        <f t="shared" ref="S7:S14" si="0">F7</f>
        <v>0</v>
      </c>
      <c r="T7" s="1303" t="s">
        <v>5</v>
      </c>
      <c r="U7" s="1304">
        <f t="shared" ref="U7:U14" si="1">H7</f>
        <v>0</v>
      </c>
      <c r="V7" s="1303" t="s">
        <v>5</v>
      </c>
      <c r="W7" s="1304">
        <f t="shared" ref="W7:W14" si="2">J7</f>
        <v>0</v>
      </c>
      <c r="X7" s="1305"/>
      <c r="Y7" s="3590" t="s">
        <v>479</v>
      </c>
      <c r="Z7" s="3591"/>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90" t="s">
        <v>482</v>
      </c>
      <c r="Q8" s="3591"/>
      <c r="R8" s="1303" t="s">
        <v>5</v>
      </c>
      <c r="S8" s="1304">
        <f t="shared" si="0"/>
        <v>0</v>
      </c>
      <c r="T8" s="1303" t="s">
        <v>5</v>
      </c>
      <c r="U8" s="1304">
        <f t="shared" si="1"/>
        <v>0</v>
      </c>
      <c r="V8" s="1303" t="s">
        <v>5</v>
      </c>
      <c r="W8" s="1304">
        <f t="shared" si="2"/>
        <v>0</v>
      </c>
      <c r="X8" s="1305"/>
      <c r="Y8" s="3590" t="s">
        <v>482</v>
      </c>
      <c r="Z8" s="3591"/>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8" t="s">
        <v>484</v>
      </c>
      <c r="Q9" s="818" t="str">
        <f t="shared" ref="Q9:Q14" si="6">B9</f>
        <v>用途</v>
      </c>
      <c r="R9" s="1303" t="s">
        <v>5</v>
      </c>
      <c r="S9" s="1304">
        <f t="shared" si="0"/>
        <v>100</v>
      </c>
      <c r="T9" s="1303" t="s">
        <v>5</v>
      </c>
      <c r="U9" s="1304">
        <f t="shared" si="1"/>
        <v>100</v>
      </c>
      <c r="V9" s="1303" t="s">
        <v>5</v>
      </c>
      <c r="W9" s="1304">
        <f t="shared" si="2"/>
        <v>100</v>
      </c>
      <c r="X9" s="1305"/>
      <c r="Y9" s="3550"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8"/>
      <c r="Q10" s="818" t="str">
        <f t="shared" si="6"/>
        <v>土地使用年限（年）</v>
      </c>
      <c r="R10" s="1303" t="s">
        <v>5</v>
      </c>
      <c r="S10" s="1304">
        <f t="shared" si="0"/>
        <v>100</v>
      </c>
      <c r="T10" s="1303" t="s">
        <v>5</v>
      </c>
      <c r="U10" s="1304">
        <f t="shared" si="1"/>
        <v>100</v>
      </c>
      <c r="V10" s="1303" t="s">
        <v>5</v>
      </c>
      <c r="W10" s="1304">
        <f t="shared" si="2"/>
        <v>100</v>
      </c>
      <c r="X10" s="1305"/>
      <c r="Y10" s="3550"/>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8"/>
      <c r="Q11" s="818">
        <f t="shared" si="6"/>
        <v>111</v>
      </c>
      <c r="R11" s="1303" t="s">
        <v>5</v>
      </c>
      <c r="S11" s="1304">
        <f t="shared" si="0"/>
        <v>100</v>
      </c>
      <c r="T11" s="1303" t="s">
        <v>5</v>
      </c>
      <c r="U11" s="1304">
        <f t="shared" si="1"/>
        <v>100</v>
      </c>
      <c r="V11" s="1303" t="s">
        <v>5</v>
      </c>
      <c r="W11" s="1304">
        <f t="shared" si="2"/>
        <v>100</v>
      </c>
      <c r="X11" s="1305"/>
      <c r="Y11" s="3550"/>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8"/>
      <c r="Q12" s="818">
        <f t="shared" si="6"/>
        <v>111</v>
      </c>
      <c r="R12" s="1303" t="s">
        <v>5</v>
      </c>
      <c r="S12" s="1304">
        <f t="shared" si="0"/>
        <v>100</v>
      </c>
      <c r="T12" s="1303" t="s">
        <v>5</v>
      </c>
      <c r="U12" s="1304">
        <f t="shared" si="1"/>
        <v>100</v>
      </c>
      <c r="V12" s="1303" t="s">
        <v>5</v>
      </c>
      <c r="W12" s="1304">
        <f t="shared" si="2"/>
        <v>100</v>
      </c>
      <c r="X12" s="1305"/>
      <c r="Y12" s="3550"/>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8"/>
      <c r="Q13" s="818">
        <f t="shared" si="6"/>
        <v>111</v>
      </c>
      <c r="R13" s="1303" t="s">
        <v>5</v>
      </c>
      <c r="S13" s="1304">
        <f t="shared" si="0"/>
        <v>100</v>
      </c>
      <c r="T13" s="1303" t="s">
        <v>5</v>
      </c>
      <c r="U13" s="1304">
        <f t="shared" si="1"/>
        <v>100</v>
      </c>
      <c r="V13" s="1303" t="s">
        <v>5</v>
      </c>
      <c r="W13" s="1304">
        <f t="shared" si="2"/>
        <v>100</v>
      </c>
      <c r="X13" s="1305"/>
      <c r="Y13" s="3550"/>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00" t="s">
        <v>489</v>
      </c>
      <c r="Q14" s="1306" t="str">
        <f t="shared" si="6"/>
        <v>交通便捷度</v>
      </c>
      <c r="R14" s="1307" t="s">
        <v>5</v>
      </c>
      <c r="S14" s="1308">
        <f t="shared" si="0"/>
        <v>100</v>
      </c>
      <c r="T14" s="1307" t="s">
        <v>5</v>
      </c>
      <c r="U14" s="1308">
        <f t="shared" si="1"/>
        <v>100</v>
      </c>
      <c r="V14" s="1307" t="s">
        <v>5</v>
      </c>
      <c r="W14" s="1308">
        <f t="shared" si="2"/>
        <v>100</v>
      </c>
      <c r="X14" s="1302"/>
      <c r="Y14" s="3600"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01"/>
      <c r="Q15" s="1306"/>
      <c r="R15" s="1307"/>
      <c r="S15" s="1308"/>
      <c r="T15" s="1307"/>
      <c r="U15" s="1308"/>
      <c r="V15" s="1307"/>
      <c r="W15" s="1308"/>
      <c r="X15" s="1302"/>
      <c r="Y15" s="3601"/>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01"/>
      <c r="Q16" s="1306" t="str">
        <f>B16</f>
        <v>公共配套设施</v>
      </c>
      <c r="R16" s="1307" t="s">
        <v>5</v>
      </c>
      <c r="S16" s="1308">
        <f>F16</f>
        <v>100</v>
      </c>
      <c r="T16" s="1307" t="s">
        <v>5</v>
      </c>
      <c r="U16" s="1308">
        <f>H16</f>
        <v>100</v>
      </c>
      <c r="V16" s="1307" t="s">
        <v>5</v>
      </c>
      <c r="W16" s="1308">
        <f>J16</f>
        <v>100</v>
      </c>
      <c r="X16" s="1302"/>
      <c r="Y16" s="3601"/>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01"/>
      <c r="Q17" s="1306"/>
      <c r="R17" s="1307"/>
      <c r="S17" s="1308"/>
      <c r="T17" s="1307"/>
      <c r="U17" s="1308"/>
      <c r="V17" s="1307"/>
      <c r="W17" s="1308"/>
      <c r="X17" s="1302"/>
      <c r="Y17" s="3601"/>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01"/>
      <c r="Q18" s="1306" t="str">
        <f>B18</f>
        <v>基础设施水平</v>
      </c>
      <c r="R18" s="1307" t="s">
        <v>5</v>
      </c>
      <c r="S18" s="1308">
        <f>F18</f>
        <v>100</v>
      </c>
      <c r="T18" s="1307" t="s">
        <v>5</v>
      </c>
      <c r="U18" s="1308">
        <f>H18</f>
        <v>100</v>
      </c>
      <c r="V18" s="1307" t="s">
        <v>5</v>
      </c>
      <c r="W18" s="1308">
        <f>J18</f>
        <v>100</v>
      </c>
      <c r="X18" s="1302"/>
      <c r="Y18" s="3601"/>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1"/>
      <c r="Q19" s="1306"/>
      <c r="R19" s="1307"/>
      <c r="S19" s="1308"/>
      <c r="T19" s="1307"/>
      <c r="U19" s="1308"/>
      <c r="V19" s="1307"/>
      <c r="W19" s="1308"/>
      <c r="X19" s="1302"/>
      <c r="Y19" s="3601"/>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01"/>
      <c r="Q20" s="1306" t="str">
        <f>B20</f>
        <v>自然及人文环境</v>
      </c>
      <c r="R20" s="1307" t="s">
        <v>5</v>
      </c>
      <c r="S20" s="1308">
        <f>F20</f>
        <v>100</v>
      </c>
      <c r="T20" s="1307" t="s">
        <v>5</v>
      </c>
      <c r="U20" s="1308">
        <f>H20</f>
        <v>100</v>
      </c>
      <c r="V20" s="1307" t="s">
        <v>5</v>
      </c>
      <c r="W20" s="1308">
        <f>J20</f>
        <v>100</v>
      </c>
      <c r="X20" s="1302"/>
      <c r="Y20" s="3601"/>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01"/>
      <c r="Q21" s="1306"/>
      <c r="R21" s="1307"/>
      <c r="S21" s="1308"/>
      <c r="T21" s="1307"/>
      <c r="U21" s="1308"/>
      <c r="V21" s="1307"/>
      <c r="W21" s="1308"/>
      <c r="X21" s="1302"/>
      <c r="Y21" s="3601"/>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1"/>
      <c r="Q22" s="1306" t="str">
        <f>B22</f>
        <v>楼层</v>
      </c>
      <c r="R22" s="1307" t="s">
        <v>5</v>
      </c>
      <c r="S22" s="1308">
        <f>F22</f>
        <v>100</v>
      </c>
      <c r="T22" s="1307" t="s">
        <v>5</v>
      </c>
      <c r="U22" s="1308">
        <f>H22</f>
        <v>100</v>
      </c>
      <c r="V22" s="1307" t="s">
        <v>5</v>
      </c>
      <c r="W22" s="1308">
        <f>J22</f>
        <v>100</v>
      </c>
      <c r="X22" s="1302"/>
      <c r="Y22" s="3601"/>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1"/>
      <c r="Q23" s="1306">
        <f>B23</f>
        <v>111</v>
      </c>
      <c r="R23" s="1307" t="s">
        <v>5</v>
      </c>
      <c r="S23" s="1308">
        <f>F23</f>
        <v>100</v>
      </c>
      <c r="T23" s="1307" t="s">
        <v>5</v>
      </c>
      <c r="U23" s="1308">
        <f>H23</f>
        <v>100</v>
      </c>
      <c r="V23" s="1307" t="s">
        <v>5</v>
      </c>
      <c r="W23" s="1308">
        <f>J23</f>
        <v>100</v>
      </c>
      <c r="X23" s="1302"/>
      <c r="Y23" s="3601"/>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1"/>
      <c r="Q24" s="1306">
        <f t="shared" ref="Q24:Q34" si="8">B24</f>
        <v>111</v>
      </c>
      <c r="R24" s="1307" t="s">
        <v>5</v>
      </c>
      <c r="S24" s="1308">
        <f>F24</f>
        <v>100</v>
      </c>
      <c r="T24" s="1307" t="s">
        <v>5</v>
      </c>
      <c r="U24" s="1308">
        <f>H24</f>
        <v>100</v>
      </c>
      <c r="V24" s="1307" t="s">
        <v>5</v>
      </c>
      <c r="W24" s="1308">
        <f>J24</f>
        <v>100</v>
      </c>
      <c r="X24" s="1302"/>
      <c r="Y24" s="3601"/>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01"/>
      <c r="Q25" s="818">
        <f t="shared" si="8"/>
        <v>111</v>
      </c>
      <c r="R25" s="1303" t="s">
        <v>5</v>
      </c>
      <c r="S25" s="1304">
        <f>F25</f>
        <v>100</v>
      </c>
      <c r="T25" s="1303" t="s">
        <v>5</v>
      </c>
      <c r="U25" s="1304">
        <f>H25</f>
        <v>100</v>
      </c>
      <c r="V25" s="1303" t="s">
        <v>5</v>
      </c>
      <c r="W25" s="1304">
        <f>J25</f>
        <v>100</v>
      </c>
      <c r="X25" s="1305"/>
      <c r="Y25" s="3601"/>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02"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3"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03"/>
      <c r="Q27" s="819" t="str">
        <f t="shared" si="8"/>
        <v>成新率</v>
      </c>
      <c r="R27" s="1310" t="s">
        <v>5</v>
      </c>
      <c r="S27" s="1311" t="e">
        <f t="shared" si="9"/>
        <v>#N/A</v>
      </c>
      <c r="T27" s="1310" t="s">
        <v>5</v>
      </c>
      <c r="U27" s="1311" t="e">
        <f t="shared" si="10"/>
        <v>#N/A</v>
      </c>
      <c r="V27" s="1310" t="s">
        <v>5</v>
      </c>
      <c r="W27" s="1311" t="e">
        <f t="shared" si="11"/>
        <v>#N/A</v>
      </c>
      <c r="X27" s="1312"/>
      <c r="Y27" s="3603"/>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03"/>
      <c r="Q28" s="1306" t="str">
        <f t="shared" si="8"/>
        <v>物业等级</v>
      </c>
      <c r="R28" s="1307" t="s">
        <v>5</v>
      </c>
      <c r="S28" s="1308">
        <f t="shared" si="9"/>
        <v>100</v>
      </c>
      <c r="T28" s="1307" t="s">
        <v>5</v>
      </c>
      <c r="U28" s="1308">
        <f t="shared" si="10"/>
        <v>100</v>
      </c>
      <c r="V28" s="1307" t="s">
        <v>5</v>
      </c>
      <c r="W28" s="1308">
        <f t="shared" si="11"/>
        <v>100</v>
      </c>
      <c r="X28" s="1302"/>
      <c r="Y28" s="3603"/>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03"/>
      <c r="Q29" s="1306" t="str">
        <f t="shared" si="8"/>
        <v>有无电梯</v>
      </c>
      <c r="R29" s="1307" t="s">
        <v>5</v>
      </c>
      <c r="S29" s="1308">
        <f t="shared" si="9"/>
        <v>100</v>
      </c>
      <c r="T29" s="1307" t="s">
        <v>5</v>
      </c>
      <c r="U29" s="1308">
        <f t="shared" si="10"/>
        <v>100</v>
      </c>
      <c r="V29" s="1307" t="s">
        <v>5</v>
      </c>
      <c r="W29" s="1308">
        <f t="shared" si="11"/>
        <v>100</v>
      </c>
      <c r="X29" s="1302"/>
      <c r="Y29" s="3603"/>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03"/>
      <c r="Q30" s="1306" t="str">
        <f t="shared" si="8"/>
        <v>建筑面积</v>
      </c>
      <c r="R30" s="1307" t="s">
        <v>5</v>
      </c>
      <c r="S30" s="1308" t="e">
        <f t="shared" si="9"/>
        <v>#N/A</v>
      </c>
      <c r="T30" s="1307" t="s">
        <v>5</v>
      </c>
      <c r="U30" s="1308" t="e">
        <f t="shared" si="10"/>
        <v>#N/A</v>
      </c>
      <c r="V30" s="1307" t="s">
        <v>5</v>
      </c>
      <c r="W30" s="1308" t="e">
        <f t="shared" si="11"/>
        <v>#N/A</v>
      </c>
      <c r="X30" s="1302"/>
      <c r="Y30" s="3603"/>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03"/>
      <c r="Q31" s="818" t="str">
        <f t="shared" si="8"/>
        <v>是否封闭</v>
      </c>
      <c r="R31" s="1303" t="s">
        <v>5</v>
      </c>
      <c r="S31" s="1304">
        <f t="shared" si="9"/>
        <v>100</v>
      </c>
      <c r="T31" s="1303" t="s">
        <v>5</v>
      </c>
      <c r="U31" s="1304">
        <f t="shared" si="10"/>
        <v>100</v>
      </c>
      <c r="V31" s="1303" t="s">
        <v>5</v>
      </c>
      <c r="W31" s="1304">
        <f t="shared" si="11"/>
        <v>100</v>
      </c>
      <c r="X31" s="1305"/>
      <c r="Y31" s="3603"/>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03" t="s">
        <v>499</v>
      </c>
      <c r="Q32" s="1306">
        <f t="shared" si="8"/>
        <v>111</v>
      </c>
      <c r="R32" s="1307" t="s">
        <v>5</v>
      </c>
      <c r="S32" s="1308">
        <f t="shared" si="9"/>
        <v>100</v>
      </c>
      <c r="T32" s="1307" t="s">
        <v>5</v>
      </c>
      <c r="U32" s="1308">
        <f t="shared" si="10"/>
        <v>100</v>
      </c>
      <c r="V32" s="1307" t="s">
        <v>5</v>
      </c>
      <c r="W32" s="1308">
        <f t="shared" si="11"/>
        <v>100</v>
      </c>
      <c r="X32" s="1302"/>
      <c r="Y32" s="3603"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03"/>
      <c r="Q33" s="1306">
        <f t="shared" si="8"/>
        <v>111</v>
      </c>
      <c r="R33" s="1307" t="s">
        <v>5</v>
      </c>
      <c r="S33" s="1308">
        <f t="shared" si="9"/>
        <v>100</v>
      </c>
      <c r="T33" s="1307" t="s">
        <v>5</v>
      </c>
      <c r="U33" s="1308">
        <f t="shared" si="10"/>
        <v>100</v>
      </c>
      <c r="V33" s="1307" t="s">
        <v>5</v>
      </c>
      <c r="W33" s="1308">
        <f t="shared" si="11"/>
        <v>100</v>
      </c>
      <c r="X33" s="1302"/>
      <c r="Y33" s="3603"/>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03"/>
      <c r="Q34" s="1306">
        <f t="shared" si="8"/>
        <v>111</v>
      </c>
      <c r="R34" s="1307" t="s">
        <v>5</v>
      </c>
      <c r="S34" s="1308">
        <f t="shared" si="9"/>
        <v>100</v>
      </c>
      <c r="T34" s="1307" t="s">
        <v>5</v>
      </c>
      <c r="U34" s="1308">
        <f t="shared" si="10"/>
        <v>100</v>
      </c>
      <c r="V34" s="1307" t="s">
        <v>5</v>
      </c>
      <c r="W34" s="1308">
        <f t="shared" si="11"/>
        <v>100</v>
      </c>
      <c r="X34" s="1302"/>
      <c r="Y34" s="3603"/>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98" t="str">
        <f>A35</f>
        <v>成交单价（元/平方米）</v>
      </c>
      <c r="Q35" s="3598"/>
      <c r="R35" s="3614">
        <f>E35</f>
        <v>0</v>
      </c>
      <c r="S35" s="3614"/>
      <c r="T35" s="3614">
        <f>G35</f>
        <v>0</v>
      </c>
      <c r="U35" s="3614"/>
      <c r="V35" s="3614">
        <f>I35</f>
        <v>0</v>
      </c>
      <c r="W35" s="3614"/>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598" t="str">
        <f>A36</f>
        <v>比较价格（元/平方米）</v>
      </c>
      <c r="Q36" s="3598"/>
      <c r="R36" s="3614" t="e">
        <f>IF(F1="售价",ROUND(PRODUCT(R35,AA7:AA34),0),ROUND(PRODUCT(R35,AA7:AA34),1))</f>
        <v>#DIV/0!</v>
      </c>
      <c r="S36" s="3614"/>
      <c r="T36" s="3614" t="e">
        <f>IF(F1="售价",ROUND(PRODUCT(T35,AB7:AB34),0),ROUND(PRODUCT(T35,AB7:AB34),1))</f>
        <v>#DIV/0!</v>
      </c>
      <c r="U36" s="3614"/>
      <c r="V36" s="3614" t="e">
        <f>IF(F1="售价",ROUND(PRODUCT(V35,AC7:AC34),0),ROUND(PRODUCT(V35,AC7:AC34),1))</f>
        <v>#DIV/0!</v>
      </c>
      <c r="W36" s="3614"/>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04" t="str">
        <f>A37</f>
        <v>估价对象XX用房的比较价格（楼面单价，元/平方米）</v>
      </c>
      <c r="Q37" s="3605"/>
      <c r="R37" s="3694" t="e">
        <f>IF(F1="售价",ROUND(IF(D36="简单平均",AVERAGE(R36:W36),R36*F36+T36*H36+V36*J36),0),ROUND(IF(D36="简单平均",AVERAGE(R36:V36),R36*F36+T36*H36+V36*J36),1))</f>
        <v>#DIV/0!</v>
      </c>
      <c r="S37" s="3694"/>
      <c r="T37" s="3694"/>
      <c r="U37" s="3694"/>
      <c r="V37" s="3694"/>
      <c r="W37" s="3694"/>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5" t="s">
        <v>1661</v>
      </c>
      <c r="D1" s="3726"/>
      <c r="E1" s="3726"/>
      <c r="F1" s="3726"/>
      <c r="G1" s="3726"/>
      <c r="H1" s="3726"/>
      <c r="I1" s="3726"/>
      <c r="J1" s="3726"/>
      <c r="K1" s="3726"/>
      <c r="L1" s="3726"/>
      <c r="M1" s="3726"/>
      <c r="N1" s="3726"/>
      <c r="O1" s="3726"/>
      <c r="P1" s="3726"/>
      <c r="Q1" s="3726"/>
      <c r="R1" s="3726"/>
      <c r="S1" s="3727"/>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2" t="s">
        <v>14</v>
      </c>
      <c r="D22" s="3723"/>
      <c r="E22" s="3723"/>
      <c r="F22" s="3723"/>
      <c r="G22" s="3723"/>
      <c r="H22" s="3723"/>
      <c r="I22" s="3723"/>
      <c r="J22" s="3723"/>
      <c r="K22" s="3723"/>
      <c r="L22" s="3723"/>
      <c r="M22" s="3723"/>
      <c r="N22" s="3723"/>
      <c r="O22" s="3723"/>
      <c r="P22" s="3723"/>
      <c r="Q22" s="3724"/>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3" t="s">
        <v>1556</v>
      </c>
      <c r="B1" s="3413"/>
      <c r="C1" s="3413"/>
      <c r="D1" s="3413"/>
      <c r="E1" s="3413"/>
      <c r="F1" s="3413"/>
      <c r="G1" s="3413"/>
      <c r="H1" s="3413"/>
      <c r="I1" s="3413"/>
      <c r="J1" s="3413"/>
      <c r="K1" s="3413"/>
      <c r="L1" s="3413"/>
      <c r="M1" s="3413"/>
      <c r="N1" s="3413"/>
      <c r="O1" s="3413"/>
      <c r="P1" s="3413"/>
      <c r="Q1" s="3413"/>
      <c r="R1" s="3413"/>
    </row>
    <row r="2" spans="1:18">
      <c r="A2" s="1502" t="s">
        <v>1558</v>
      </c>
      <c r="B2" s="1502"/>
      <c r="C2" s="1502"/>
      <c r="D2" s="1502"/>
      <c r="E2" s="1502"/>
      <c r="F2" s="1502"/>
      <c r="G2" s="1502"/>
      <c r="H2" s="1502"/>
      <c r="I2" s="1503"/>
      <c r="J2" s="1503"/>
      <c r="K2" s="1504" t="str">
        <f>"估价期日："&amp;TEXT(项目基本情况!D3,"yyyy年m月d日;;")</f>
        <v>估价期日：2024年9月6日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4" t="s">
        <v>1547</v>
      </c>
      <c r="B3" s="3414" t="s">
        <v>2013</v>
      </c>
      <c r="C3" s="3415" t="s">
        <v>1548</v>
      </c>
      <c r="D3" s="3414" t="s">
        <v>2017</v>
      </c>
      <c r="E3" s="3416" t="s">
        <v>1549</v>
      </c>
      <c r="F3" s="3416"/>
      <c r="G3" s="3416"/>
      <c r="H3" s="3416" t="s">
        <v>1550</v>
      </c>
      <c r="I3" s="3416"/>
      <c r="J3" s="3416"/>
      <c r="K3" s="3415" t="s">
        <v>1551</v>
      </c>
      <c r="L3" s="3415" t="s">
        <v>1552</v>
      </c>
      <c r="M3" s="3414" t="s">
        <v>2014</v>
      </c>
      <c r="N3" s="3414" t="str">
        <f>"（分摊）"&amp;项目基本情况!A17&amp;"国有建设用地使用权面积/㎡"</f>
        <v>（分摊）出让国有建设用地使用权面积/㎡</v>
      </c>
      <c r="O3" s="3414" t="s">
        <v>1581</v>
      </c>
      <c r="P3" s="3415" t="s">
        <v>1561</v>
      </c>
      <c r="Q3" s="3415" t="s">
        <v>1582</v>
      </c>
      <c r="R3" s="3415" t="s">
        <v>1553</v>
      </c>
    </row>
    <row r="4" spans="1:18" ht="36.75" customHeight="1">
      <c r="A4" s="3414"/>
      <c r="B4" s="3414"/>
      <c r="C4" s="3415"/>
      <c r="D4" s="3414"/>
      <c r="E4" s="1505" t="s">
        <v>1560</v>
      </c>
      <c r="F4" s="1505" t="s">
        <v>2026</v>
      </c>
      <c r="G4" s="1505" t="s">
        <v>1554</v>
      </c>
      <c r="H4" s="1505" t="s">
        <v>1555</v>
      </c>
      <c r="I4" s="1505" t="s">
        <v>2027</v>
      </c>
      <c r="J4" s="1505" t="s">
        <v>1554</v>
      </c>
      <c r="K4" s="3415"/>
      <c r="L4" s="3415"/>
      <c r="M4" s="3414"/>
      <c r="N4" s="3414"/>
      <c r="O4" s="3414"/>
      <c r="P4" s="3415"/>
      <c r="Q4" s="3415"/>
      <c r="R4" s="3415"/>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26551</v>
      </c>
      <c r="Q5" s="1505">
        <f ca="1">结果表!D42</f>
        <v>11579</v>
      </c>
      <c r="R5" s="1506">
        <f ca="1">结果表!C42</f>
        <v>54064</v>
      </c>
    </row>
    <row r="6" spans="1:18">
      <c r="A6" s="3417" t="str">
        <f>IF(项目基本情况!B9="市场价格","——","抵押价格")</f>
        <v>抵押价格</v>
      </c>
      <c r="B6" s="3418"/>
      <c r="C6" s="3418"/>
      <c r="D6" s="3418"/>
      <c r="E6" s="3418"/>
      <c r="F6" s="3418"/>
      <c r="G6" s="3418"/>
      <c r="H6" s="3418"/>
      <c r="I6" s="3418"/>
      <c r="J6" s="3418"/>
      <c r="K6" s="3418"/>
      <c r="L6" s="3418"/>
      <c r="M6" s="3418"/>
      <c r="N6" s="3418"/>
      <c r="O6" s="3418"/>
      <c r="P6" s="3418"/>
      <c r="Q6" s="3419"/>
      <c r="R6" s="1507">
        <f ca="1">结果表!O39</f>
        <v>53526</v>
      </c>
    </row>
    <row r="7" spans="1:18">
      <c r="A7" s="3417" t="str">
        <f>IF(项目基本情况!B9="市场价格","——",IF(项目基本情况!E8="已注销及未注销","抵押担保权已注销时的抵押价格","——"))</f>
        <v>——</v>
      </c>
      <c r="B7" s="3418"/>
      <c r="C7" s="3418"/>
      <c r="D7" s="3418"/>
      <c r="E7" s="3418"/>
      <c r="F7" s="3418"/>
      <c r="G7" s="3418"/>
      <c r="H7" s="3418"/>
      <c r="I7" s="3418"/>
      <c r="J7" s="3418"/>
      <c r="K7" s="3418"/>
      <c r="L7" s="3418"/>
      <c r="M7" s="3418"/>
      <c r="N7" s="3418"/>
      <c r="O7" s="3418"/>
      <c r="P7" s="3418"/>
      <c r="Q7" s="3419"/>
      <c r="R7" s="1507" t="str">
        <f>结果表!O40</f>
        <v>——</v>
      </c>
    </row>
    <row r="8" spans="1:18">
      <c r="A8" s="3417" t="str">
        <f>IF(项目基本情况!B9="市场价格","——",项目基本情况!E9)</f>
        <v>——</v>
      </c>
      <c r="B8" s="3418"/>
      <c r="C8" s="3418"/>
      <c r="D8" s="3418"/>
      <c r="E8" s="3418"/>
      <c r="F8" s="3418"/>
      <c r="G8" s="3418"/>
      <c r="H8" s="3418"/>
      <c r="I8" s="3418"/>
      <c r="J8" s="3418"/>
      <c r="K8" s="3418"/>
      <c r="L8" s="3418"/>
      <c r="M8" s="3418"/>
      <c r="N8" s="3418"/>
      <c r="O8" s="3418"/>
      <c r="P8" s="3418"/>
      <c r="Q8" s="3419"/>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0" t="s">
        <v>1583</v>
      </c>
      <c r="B1" s="3420"/>
      <c r="C1" s="3420"/>
      <c r="D1" s="3420"/>
    </row>
    <row r="2" spans="1:4" ht="47.25" customHeight="1">
      <c r="A2" s="3423" t="str">
        <f>"1.权利限制："&amp;项目基本情况!L24&amp;"未设定租赁等其他他项权利。"</f>
        <v>1.权利限制：根据估价对象《不动产权证书》原件、《国有土地使用权》复印件，截至估价期日，估价对象抵押权未见登记。未设定租赁等其他他项权利。</v>
      </c>
      <c r="B2" s="3423"/>
      <c r="C2" s="3423"/>
      <c r="D2" s="3423"/>
    </row>
    <row r="3" spans="1:4" ht="48" customHeight="1">
      <c r="A3" s="34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0"/>
      <c r="C3" s="3420"/>
      <c r="D3" s="3420"/>
    </row>
    <row r="4" spans="1:4" ht="36.75" customHeight="1">
      <c r="A4" s="3420" t="str">
        <f>"3.估价规划限制条件：详见"&amp;项目基本情况!E21&amp;"。"</f>
        <v>3.估价规划限制条件：详见《建设工程规划许可证》[]、《出让合同》[]。</v>
      </c>
      <c r="B4" s="3420"/>
      <c r="C4" s="3420"/>
      <c r="D4" s="3420"/>
    </row>
    <row r="5" spans="1:4">
      <c r="A5" s="3422" t="s">
        <v>1584</v>
      </c>
      <c r="B5" s="3422"/>
      <c r="C5" s="3422"/>
      <c r="D5" s="3422"/>
    </row>
    <row r="6" spans="1:4">
      <c r="A6" s="3420" t="s">
        <v>1562</v>
      </c>
      <c r="B6" s="3420"/>
      <c r="C6" s="3420"/>
      <c r="D6" s="3420"/>
    </row>
    <row r="7" spans="1:4" ht="33" customHeight="1">
      <c r="A7" s="3420" t="s">
        <v>1857</v>
      </c>
      <c r="B7" s="3420"/>
      <c r="C7" s="3420"/>
      <c r="D7" s="3420"/>
    </row>
    <row r="8" spans="1:4" ht="32.25" customHeight="1">
      <c r="A8" s="34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0"/>
      <c r="C8" s="3420"/>
      <c r="D8" s="3420"/>
    </row>
    <row r="9" spans="1:4" ht="33.75" customHeight="1">
      <c r="A9" s="34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0"/>
      <c r="C9" s="3420"/>
      <c r="D9" s="3420"/>
    </row>
    <row r="10" spans="1:4">
      <c r="A10" s="3420" t="str">
        <f>IF(项目基本情况!B8="抵押","4.估价师所知悉的法定优先受偿款情况为：","——")</f>
        <v>4.估价师所知悉的法定优先受偿款情况为：</v>
      </c>
      <c r="B10" s="3420"/>
      <c r="C10" s="3420"/>
      <c r="D10" s="3420"/>
    </row>
    <row r="11" spans="1:4" ht="37.5" customHeight="1">
      <c r="A11" s="34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0"/>
      <c r="C11" s="3420"/>
      <c r="D11" s="3420"/>
    </row>
    <row r="12" spans="1:4" ht="168" customHeight="1">
      <c r="A12" s="3422" t="s">
        <v>1586</v>
      </c>
      <c r="B12" s="3422"/>
      <c r="C12" s="3422"/>
      <c r="D12" s="3422"/>
    </row>
    <row r="13" spans="1:4">
      <c r="A13" s="3421" t="s">
        <v>2028</v>
      </c>
      <c r="B13" s="3421"/>
      <c r="C13" s="3421"/>
      <c r="D13" s="3421"/>
    </row>
    <row r="14" spans="1:4">
      <c r="A14" s="3420" t="str">
        <f>IF(项目基本情况!B8="抵押","综上，"&amp;结果表!K47,"——")</f>
        <v>综上，本次评估估价师知悉的法定优先受偿款为人民币538万元整。</v>
      </c>
      <c r="B14" s="3420"/>
      <c r="C14" s="3420"/>
      <c r="D14" s="3420"/>
    </row>
    <row r="15" spans="1:4" ht="58.5" customHeight="1">
      <c r="A15" s="34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0"/>
      <c r="C15" s="3420"/>
      <c r="D15" s="3420"/>
    </row>
    <row r="16" spans="1:4" ht="70.5" customHeight="1">
      <c r="A16" s="34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0"/>
      <c r="C16" s="3420"/>
      <c r="D16" s="3420"/>
    </row>
    <row r="17" spans="1:4">
      <c r="A17" s="3420" t="s">
        <v>1984</v>
      </c>
      <c r="B17" s="3420"/>
      <c r="C17" s="3420"/>
      <c r="D17" s="3420"/>
    </row>
    <row r="18" spans="1:4">
      <c r="A18" s="3420" t="s">
        <v>1976</v>
      </c>
      <c r="B18" s="3420"/>
      <c r="C18" s="3420"/>
      <c r="D18" s="3420"/>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0" t="s">
        <v>1981</v>
      </c>
      <c r="B23" s="3420"/>
      <c r="C23" s="3420"/>
      <c r="D23" s="3420"/>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1" t="s">
        <v>27</v>
      </c>
      <c r="B15" s="3432" t="s">
        <v>784</v>
      </c>
      <c r="C15" s="3428"/>
    </row>
    <row r="16" spans="1:7" ht="14.25">
      <c r="A16" s="3431"/>
      <c r="B16" s="3429" t="s">
        <v>28</v>
      </c>
      <c r="C16" s="1017" t="s">
        <v>27</v>
      </c>
    </row>
    <row r="17" spans="1:3" ht="14.25">
      <c r="A17" s="3431"/>
      <c r="B17" s="3429"/>
      <c r="C17" s="1017" t="s">
        <v>29</v>
      </c>
    </row>
    <row r="18" spans="1:3" ht="14.25">
      <c r="A18" s="3431"/>
      <c r="B18" s="3429"/>
      <c r="C18" s="1017" t="s">
        <v>30</v>
      </c>
    </row>
    <row r="19" spans="1:3" ht="14.25">
      <c r="A19" s="3431"/>
      <c r="B19" s="3427" t="s">
        <v>31</v>
      </c>
      <c r="C19" s="3428"/>
    </row>
    <row r="20" spans="1:3" ht="14.25">
      <c r="A20" s="1018" t="s">
        <v>32</v>
      </c>
      <c r="B20" s="1019"/>
      <c r="C20" s="1020"/>
    </row>
    <row r="21" spans="1:3" ht="14.25">
      <c r="A21" s="3430" t="s">
        <v>33</v>
      </c>
      <c r="B21" s="3427" t="s">
        <v>34</v>
      </c>
      <c r="C21" s="3428"/>
    </row>
    <row r="22" spans="1:3" ht="14.25">
      <c r="A22" s="3430"/>
      <c r="B22" s="3427" t="s">
        <v>35</v>
      </c>
      <c r="C22" s="3428"/>
    </row>
    <row r="23" spans="1:3" ht="14.25">
      <c r="A23" s="3430"/>
      <c r="B23" s="3427" t="s">
        <v>36</v>
      </c>
      <c r="C23" s="3428"/>
    </row>
    <row r="24" spans="1:3" ht="14.25">
      <c r="A24" s="3430"/>
      <c r="B24" s="3433" t="s">
        <v>37</v>
      </c>
      <c r="C24" s="1021" t="s">
        <v>775</v>
      </c>
    </row>
    <row r="25" spans="1:3" ht="14.25">
      <c r="A25" s="3430"/>
      <c r="B25" s="3434"/>
      <c r="C25" s="1021" t="s">
        <v>776</v>
      </c>
    </row>
    <row r="26" spans="1:3" ht="14.25">
      <c r="A26" s="3430"/>
      <c r="B26" s="3434"/>
      <c r="C26" s="1021" t="s">
        <v>777</v>
      </c>
    </row>
    <row r="27" spans="1:3" ht="14.25">
      <c r="A27" s="3430"/>
      <c r="B27" s="3434"/>
      <c r="C27" s="1021" t="s">
        <v>778</v>
      </c>
    </row>
    <row r="28" spans="1:3" ht="14.25">
      <c r="A28" s="3430"/>
      <c r="B28" s="3434"/>
      <c r="C28" s="1021" t="s">
        <v>779</v>
      </c>
    </row>
    <row r="29" spans="1:3" ht="14.25">
      <c r="A29" s="3430"/>
      <c r="B29" s="3434"/>
      <c r="C29" s="1021" t="s">
        <v>780</v>
      </c>
    </row>
    <row r="30" spans="1:3" ht="14.25">
      <c r="A30" s="3430"/>
      <c r="B30" s="3434"/>
      <c r="C30" s="1021" t="s">
        <v>781</v>
      </c>
    </row>
    <row r="31" spans="1:3" ht="14.25">
      <c r="A31" s="3430"/>
      <c r="B31" s="3434"/>
      <c r="C31" s="1021" t="s">
        <v>782</v>
      </c>
    </row>
    <row r="32" spans="1:3" ht="14.25">
      <c r="A32" s="3430"/>
      <c r="B32" s="3434"/>
      <c r="C32" s="1021" t="s">
        <v>1181</v>
      </c>
    </row>
    <row r="33" spans="1:3" ht="14.25">
      <c r="A33" s="3430"/>
      <c r="B33" s="3424" t="s">
        <v>1187</v>
      </c>
      <c r="C33" s="1021" t="s">
        <v>1182</v>
      </c>
    </row>
    <row r="34" spans="1:3" ht="14.25">
      <c r="A34" s="3430"/>
      <c r="B34" s="3425"/>
      <c r="C34" s="1026" t="s">
        <v>1183</v>
      </c>
    </row>
    <row r="35" spans="1:3" ht="14.25">
      <c r="A35" s="3430"/>
      <c r="B35" s="3425"/>
      <c r="C35" s="1027" t="s">
        <v>1184</v>
      </c>
    </row>
    <row r="36" spans="1:3" ht="14.25">
      <c r="A36" s="3430"/>
      <c r="B36" s="3425"/>
      <c r="C36" s="1027" t="s">
        <v>1185</v>
      </c>
    </row>
    <row r="37" spans="1:3" ht="14.25">
      <c r="A37" s="3430"/>
      <c r="B37" s="3426"/>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45544</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38" t="s">
        <v>1448</v>
      </c>
      <c r="B18" s="3439"/>
      <c r="C18" s="3439"/>
      <c r="D18" s="3439"/>
      <c r="E18" s="3439"/>
      <c r="F18" s="3439"/>
      <c r="G18" s="2559"/>
    </row>
    <row r="19" spans="1:7" ht="20.25" customHeight="1">
      <c r="A19" s="3435" t="s">
        <v>1449</v>
      </c>
      <c r="B19" s="3435"/>
      <c r="C19" s="3436"/>
      <c r="D19" s="3437" t="s">
        <v>1450</v>
      </c>
      <c r="E19" s="3435"/>
      <c r="F19" s="3435"/>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0"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c r="D53" s="1469"/>
      <c r="E53" s="1469"/>
    </row>
    <row r="54" spans="1:5">
      <c r="A54" s="3440"/>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0"/>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0"/>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0"/>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2024-09-09T03:03:57Z</dcterms:modified>
</cp:coreProperties>
</file>