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结果表" sheetId="9" r:id="rId14"/>
    <sheet name="结果表 (1修多)" sheetId="57" state="hidden" r:id="rId15"/>
    <sheet name="基准地价修正" sheetId="43"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Sheet2" sheetId="65" state="hidden" r:id="rId23"/>
    <sheet name="实例" sheetId="63" state="hidden" r:id="rId24"/>
    <sheet name="Sheet1" sheetId="64" state="hidden" r:id="rId25"/>
    <sheet name="系统读取表" sheetId="62"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1"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C33" i="21"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3" i="61"/>
  <c r="D7" i="61"/>
  <c r="D6" i="61"/>
  <c r="F4" i="61"/>
  <c r="D4" i="61"/>
  <c r="F3" i="61"/>
  <c r="D5"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K104" i="43"/>
  <c r="H106"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D103" i="43" l="1"/>
  <c r="G103" i="43"/>
  <c r="L100" i="43"/>
  <c r="D100" i="43"/>
  <c r="K100" i="43"/>
  <c r="C100" i="43"/>
  <c r="C21" i="39"/>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C26" i="2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53" i="43"/>
  <c r="H49" i="43"/>
  <c r="H48" i="43"/>
  <c r="H52" i="43"/>
  <c r="H50" i="43"/>
  <c r="H54" i="43"/>
  <c r="H55" i="43"/>
  <c r="H63" i="43"/>
  <c r="H60" i="43"/>
  <c r="H59" i="43"/>
  <c r="H64" i="43"/>
  <c r="H66" i="43"/>
  <c r="H67" i="43"/>
  <c r="H61" i="43"/>
  <c r="H65" i="43"/>
  <c r="H62" i="43"/>
  <c r="H85" i="43"/>
  <c r="H86" i="43"/>
  <c r="K86" i="43" s="1"/>
  <c r="J86" i="43" s="1"/>
  <c r="D86" i="43" s="1"/>
  <c r="H82" i="43"/>
  <c r="K82" i="43" s="1"/>
  <c r="J82" i="43" s="1"/>
  <c r="D82" i="43" s="1"/>
  <c r="H84" i="43"/>
  <c r="H87" i="43"/>
  <c r="M87" i="43" s="1"/>
  <c r="N87" i="43" s="1"/>
  <c r="H83" i="43"/>
  <c r="M83" i="43" s="1"/>
  <c r="N83" i="43" s="1"/>
  <c r="H88" i="43"/>
  <c r="H81"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6"/>
  <c r="E2" i="11"/>
  <c r="E2" i="21"/>
  <c r="E2" i="33"/>
  <c r="E2" i="34"/>
  <c r="C20" i="57"/>
  <c r="C19" i="57"/>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D19" i="9"/>
  <c r="D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<sst xmlns="http://schemas.openxmlformats.org/spreadsheetml/2006/main" count="6938" uniqueCount="2943">
  <si>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</si>
  <si>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</si>
  <si>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</si>
  <si>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</si>
  <si>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</si>
  <si>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</si>
  <si>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</si>
  <si>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</si>
  <si>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</si>
  <si>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</si>
  <si>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</si>
  <si>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</si>
  <si>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</si>
  <si>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</si>
  <si>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</si>
  <si>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</si>
  <si>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</si>
  <si>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</si>
  <si>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</si>
  <si>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</si>
  <si>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</si>
  <si>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</si>
  <si>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</si>
  <si>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</si>
  <si>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</si>
  <si>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</si>
  <si>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</si>
  <si>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</si>
  <si>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</si>
  <si>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</si>
  <si>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</si>
  <si>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</si>
  <si>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</si>
  <si>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</si>
  <si>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</si>
  <si>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</si>
  <si>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</si>
  <si>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</si>
  <si>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</si>
  <si>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</si>
  <si>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</si>
  <si>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</si>
  <si>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</si>
  <si>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</si>
  <si>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</si>
  <si>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</si>
  <si>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</si>
  <si>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</si>
  <si>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</si>
  <si>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</si>
  <si>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</si>
  <si>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</si>
  <si>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</si>
  <si>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</si>
  <si>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</si>
  <si>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</si>
  <si>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</si>
  <si>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</si>
  <si>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</si>
  <si>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</si>
  <si>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</si>
  <si>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</si>
  <si>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</si>
  <si>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</si>
  <si>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</si>
  <si>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</si>
  <si>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</si>
  <si>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</si>
  <si>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</si>
  <si>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</si>
  <si>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</si>
  <si>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</si>
  <si>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</si>
  <si>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</si>
  <si>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</si>
  <si>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</si>
  <si>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</si>
  <si>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</si>
  <si>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</si>
  <si>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</si>
  <si>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</si>
  <si>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</si>
  <si>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</si>
  <si>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</si>
  <si>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</si>
  <si>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</si>
  <si>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</si>
  <si>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</si>
  <si>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</si>
  <si>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</si>
  <si>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</si>
  <si>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</si>
  <si>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</si>
  <si>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</si>
  <si>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</si>
  <si>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</si>
  <si>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</si>
  <si>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</si>
  <si>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</si>
  <si>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</si>
  <si>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</si>
  <si>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</si>
  <si>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</si>
  <si>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</si>
  <si>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</si>
  <si>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</si>
  <si>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</si>
  <si>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</si>
  <si>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</si>
  <si>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</si>
  <si>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</si>
  <si>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</si>
  <si>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</si>
  <si>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</si>
  <si>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</si>
  <si>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</si>
  <si>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</si>
  <si>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</si>
  <si>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</si>
  <si>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</si>
  <si>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</si>
  <si>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</si>
  <si>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</si>
  <si>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</si>
  <si>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</si>
  <si>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</si>
  <si>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</si>
  <si>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</si>
  <si>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</si>
  <si>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</si>
  <si>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</si>
  <si>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</si>
  <si>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</si>
  <si>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</si>
  <si>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</si>
  <si>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</si>
  <si>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</si>
  <si>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</si>
  <si>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</si>
  <si>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</si>
  <si>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</si>
  <si>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</si>
  <si>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</si>
  <si>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</si>
  <si>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</si>
  <si>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</si>
  <si>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</si>
  <si>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</si>
  <si>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</si>
  <si>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</si>
  <si>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</si>
  <si>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</si>
  <si>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</si>
  <si>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</si>
  <si>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</si>
  <si>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</si>
  <si>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</si>
  <si>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</si>
  <si>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</si>
  <si>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</si>
  <si>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</si>
  <si>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</si>
  <si>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</si>
  <si>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</si>
  <si>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</si>
  <si>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</si>
  <si>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</si>
  <si>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</si>
  <si>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</si>
  <si>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</si>
  <si>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</si>
  <si>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</si>
  <si>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</si>
  <si>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</si>
  <si>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</si>
  <si>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</si>
  <si>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</si>
  <si>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</si>
  <si>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</si>
  <si>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</si>
  <si>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</si>
  <si>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</si>
  <si>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</si>
  <si>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</si>
  <si>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</si>
  <si>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</si>
  <si>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</si>
  <si>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</si>
  <si>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</si>
  <si>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</si>
  <si>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</si>
  <si>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</si>
  <si>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</si>
  <si>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</si>
  <si>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</si>
  <si>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</si>
  <si>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</si>
  <si>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</si>
  <si>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</si>
  <si>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</si>
  <si>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</si>
  <si>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</si>
  <si>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</si>
  <si>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</si>
  <si>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</si>
  <si>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</si>
  <si>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</si>
  <si>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</si>
  <si>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</si>
  <si>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</si>
  <si>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</si>
  <si>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</si>
  <si>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</si>
  <si>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</si>
  <si>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</si>
  <si>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</si>
  <si>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</si>
  <si>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</si>
  <si>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</si>
  <si>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</si>
  <si>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</si>
  <si>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</si>
  <si>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</si>
  <si>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</si>
  <si>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</si>
  <si>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</si>
  <si>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</si>
  <si>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</si>
  <si>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</si>
  <si>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</si>
  <si>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</si>
  <si>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</si>
  <si>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</si>
  <si>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</si>
  <si>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</si>
  <si>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</si>
  <si>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</si>
  <si>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</si>
  <si>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</si>
  <si>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</si>
  <si>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</si>
  <si>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</si>
  <si>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</si>
  <si>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</si>
  <si>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</si>
  <si>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</si>
  <si>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</si>
  <si>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</si>
  <si>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</si>
  <si>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</si>
  <si>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</si>
  <si>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</si>
  <si>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</si>
  <si>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</si>
  <si>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</si>
  <si>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</si>
  <si>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</si>
  <si>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</si>
  <si>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</si>
  <si>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</si>
  <si>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</si>
  <si>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</si>
  <si>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</si>
  <si>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</si>
  <si>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</si>
  <si>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</si>
  <si>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</si>
  <si>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</si>
  <si>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</si>
  <si>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</si>
  <si>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</si>
  <si>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</si>
  <si>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</si>
  <si>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</si>
  <si>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</si>
  <si>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</si>
  <si>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</si>
  <si>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</si>
  <si>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</si>
  <si>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</si>
  <si>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</si>
  <si>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</si>
  <si>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</si>
  <si>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</si>
  <si>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</si>
  <si>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</si>
  <si>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</si>
  <si>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</si>
  <si>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</si>
  <si>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</si>
  <si>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</si>
  <si>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</si>
  <si>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</si>
  <si>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</si>
  <si>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</si>
  <si>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</si>
  <si>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</si>
  <si>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</si>
  <si>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</si>
  <si>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</si>
  <si>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</si>
  <si>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</si>
  <si>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</si>
  <si>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</si>
  <si>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</si>
  <si>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</si>
  <si>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</si>
  <si>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</si>
  <si>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</si>
  <si>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</si>
  <si>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</si>
  <si>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</si>
  <si>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</si>
  <si>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</si>
  <si>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</si>
  <si>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</si>
  <si>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</si>
  <si>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</si>
  <si>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</si>
  <si>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</si>
  <si>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</si>
  <si>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</si>
  <si>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</si>
  <si>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</si>
  <si>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</si>
  <si>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</si>
  <si>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</si>
  <si>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</si>
  <si>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</si>
  <si>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</si>
  <si>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</si>
  <si>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</si>
  <si>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</si>
  <si>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</si>
  <si>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</si>
  <si>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</si>
  <si>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</si>
  <si>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</si>
  <si>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</si>
  <si>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</si>
  <si>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</si>
  <si>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</si>
  <si>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</si>
  <si>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</si>
  <si>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</si>
  <si>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</si>
  <si>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</si>
  <si>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</si>
  <si>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</si>
  <si>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</si>
  <si>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</si>
  <si>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</si>
  <si>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</si>
  <si>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</si>
  <si>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</si>
  <si>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</si>
  <si>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</si>
  <si>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</si>
  <si>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</si>
  <si>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</si>
  <si>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</si>
  <si>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</si>
  <si>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</si>
  <si>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</si>
  <si>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</si>
  <si>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</si>
  <si>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</si>
  <si>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</si>
  <si>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</si>
  <si>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</si>
  <si>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</si>
  <si>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</si>
  <si>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</si>
  <si>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</si>
  <si>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</si>
  <si>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</si>
  <si>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</si>
  <si>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</si>
  <si>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</si>
  <si>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</si>
  <si>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</si>
  <si>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</si>
  <si>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</si>
  <si>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</si>
  <si>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</si>
  <si>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</si>
  <si>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</si>
  <si>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</si>
  <si>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</si>
  <si>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</si>
  <si>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</si>
  <si>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</si>
  <si>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</si>
  <si>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</si>
  <si>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</si>
  <si>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</si>
  <si>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</si>
  <si>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</si>
  <si>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</si>
  <si>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</si>
  <si>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</si>
  <si>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</si>
  <si>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</si>
  <si>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</si>
  <si>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</si>
  <si>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</si>
  <si>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</si>
  <si>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</si>
  <si>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</si>
  <si>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</si>
  <si>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</si>
  <si>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</si>
  <si>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</si>
  <si>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</si>
  <si>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</si>
  <si>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</si>
  <si>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</si>
  <si>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</si>
  <si>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</si>
  <si>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</si>
  <si>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</si>
  <si>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</si>
  <si>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</si>
  <si>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</si>
  <si>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</si>
  <si>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</si>
  <si>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</si>
  <si>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</si>
  <si>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</si>
  <si>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</si>
  <si>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</si>
  <si>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</si>
  <si>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</si>
  <si>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</si>
  <si>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</si>
  <si>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</si>
  <si>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</si>
  <si>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</si>
  <si>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</si>
  <si>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</si>
  <si>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</si>
  <si>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</si>
  <si>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</si>
  <si>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</si>
  <si>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</si>
  <si>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</si>
  <si>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</si>
  <si>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</si>
  <si>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</si>
  <si>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</si>
  <si>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</si>
  <si>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</si>
  <si>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</si>
  <si>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</si>
  <si>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</si>
  <si>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</si>
  <si>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</si>
  <si>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</si>
  <si>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</si>
  <si>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</si>
  <si>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</si>
  <si>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</si>
  <si>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</si>
  <si>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</si>
  <si>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</si>
  <si>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</si>
  <si>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</si>
  <si>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</si>
  <si>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</si>
  <si>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</si>
  <si>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</si>
  <si>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</si>
  <si>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</si>
  <si>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</si>
  <si>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</si>
  <si>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</si>
  <si>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</si>
  <si>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</si>
  <si>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</si>
  <si>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</si>
  <si>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</si>
  <si>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</si>
  <si>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</si>
  <si>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</si>
  <si>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</si>
  <si>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</si>
  <si>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</si>
  <si>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</si>
  <si>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</si>
  <si>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</si>
  <si>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</si>
  <si>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</si>
  <si>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</si>
  <si>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</si>
  <si>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</si>
  <si>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</si>
  <si>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</si>
  <si>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</si>
  <si>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</si>
  <si>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</si>
  <si>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</si>
  <si>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</si>
  <si>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</si>
  <si>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</si>
  <si>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</si>
  <si>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</si>
  <si>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</si>
  <si>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</si>
  <si>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</si>
  <si>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</si>
  <si>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</si>
  <si>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</si>
  <si>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</si>
  <si>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</si>
  <si>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</si>
  <si>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</si>
  <si>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</si>
  <si>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</si>
  <si>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</si>
  <si>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</si>
  <si>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</si>
  <si>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</si>
  <si>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</si>
  <si>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</si>
  <si>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</si>
  <si>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</si>
  <si>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</si>
  <si>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</si>
  <si>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</si>
  <si>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</si>
  <si>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</si>
  <si>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</si>
  <si>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</si>
  <si>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</si>
  <si>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</si>
  <si>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</si>
  <si>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</si>
  <si>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</si>
  <si>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</si>
  <si>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</si>
  <si>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</si>
  <si>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</si>
  <si>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</si>
  <si>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</si>
  <si>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</si>
  <si>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</si>
  <si>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</si>
  <si>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</si>
  <si>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</si>
  <si>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</si>
  <si>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</si>
  <si>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</si>
  <si>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</si>
  <si>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</si>
  <si>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</si>
  <si>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</si>
  <si>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</si>
  <si>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</si>
  <si>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</si>
  <si>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</si>
  <si>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</si>
  <si>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</si>
  <si>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</si>
  <si>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</si>
  <si>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</si>
  <si>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</si>
  <si>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</si>
  <si>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</si>
  <si>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</si>
  <si>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</si>
  <si>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</si>
  <si>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</si>
  <si>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</si>
  <si>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</si>
  <si>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</si>
  <si>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</si>
  <si>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</si>
  <si>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</si>
  <si>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</si>
  <si>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</si>
  <si>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</si>
  <si>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</si>
  <si>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</si>
  <si>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</si>
  <si>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</si>
  <si>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</si>
  <si>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</si>
  <si>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</si>
  <si>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</si>
  <si>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</si>
  <si>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</si>
  <si>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</si>
  <si>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</si>
  <si>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</si>
  <si>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</si>
  <si>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</si>
  <si>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</si>
  <si>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</si>
  <si>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</si>
  <si>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</si>
  <si>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</si>
  <si>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</si>
  <si>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</si>
  <si>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</si>
  <si>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</si>
  <si>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</si>
  <si>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</si>
  <si>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</si>
  <si>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</si>
  <si>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</si>
  <si>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</si>
  <si>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</si>
  <si>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</si>
  <si>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</si>
  <si>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</si>
  <si>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</si>
  <si>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</si>
  <si>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</si>
  <si>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</si>
  <si>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</si>
  <si>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</si>
  <si>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</si>
  <si>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</si>
  <si>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</si>
  <si>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</si>
  <si>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</si>
  <si>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</si>
  <si>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</si>
  <si>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</si>
  <si>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</si>
  <si>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</si>
  <si>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</si>
  <si>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</si>
  <si>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</si>
  <si>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</si>
  <si>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</si>
  <si>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</si>
  <si>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</si>
  <si>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</si>
  <si>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</si>
  <si>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</si>
  <si>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</si>
  <si>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</si>
  <si>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</si>
  <si>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</si>
  <si>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</si>
  <si>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</si>
  <si>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</si>
  <si>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</si>
  <si>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</si>
  <si>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</si>
  <si>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</si>
  <si>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</si>
  <si>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</si>
  <si>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</si>
  <si>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</si>
  <si>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</si>
  <si>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</si>
  <si>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</si>
  <si>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</si>
  <si>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</si>
  <si>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</si>
  <si>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</si>
  <si>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</si>
  <si>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</si>
  <si>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</si>
  <si>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</si>
  <si>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</si>
  <si>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</si>
  <si>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</si>
  <si>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</si>
  <si>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</si>
  <si>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</si>
  <si>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</si>
  <si>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</si>
  <si>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</si>
  <si>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</si>
  <si>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</si>
  <si>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</si>
  <si>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</si>
  <si>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</si>
  <si>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</si>
  <si>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</si>
  <si>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</si>
  <si>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</si>
  <si>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</si>
  <si>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</si>
  <si>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</si>
  <si>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</si>
  <si>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</si>
  <si>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</si>
  <si>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</si>
  <si>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</si>
  <si>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</si>
  <si>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</si>
  <si>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</si>
  <si>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</si>
  <si>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</si>
  <si>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</si>
  <si>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</si>
  <si>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</si>
  <si>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</si>
  <si>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</si>
  <si>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</si>
  <si>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</si>
  <si>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</si>
  <si>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</si>
  <si>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</si>
  <si>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</si>
  <si>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</si>
  <si>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</si>
  <si>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</si>
  <si>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</si>
  <si>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</si>
  <si>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</si>
  <si>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</si>
  <si>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</si>
  <si>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</si>
  <si>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</si>
  <si>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</si>
  <si>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</si>
  <si>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</si>
  <si>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</si>
  <si>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</si>
  <si>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</si>
  <si>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</si>
  <si>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</si>
  <si>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</si>
  <si>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</si>
  <si>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</si>
  <si>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</si>
  <si>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</si>
  <si>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</si>
  <si>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</si>
  <si>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</si>
  <si>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</si>
  <si>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</si>
  <si>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</si>
  <si>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</si>
  <si>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</si>
  <si>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</si>
  <si>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</si>
  <si>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</si>
  <si>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</si>
  <si>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</si>
  <si>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</si>
  <si>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</si>
  <si>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</si>
  <si>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</si>
  <si>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</si>
  <si>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</si>
  <si>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</si>
  <si>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</si>
  <si>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</si>
  <si>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</si>
  <si>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</si>
  <si>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</si>
  <si>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</si>
  <si>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</si>
  <si>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</si>
  <si>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</si>
  <si>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</si>
  <si>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</si>
  <si>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</si>
  <si>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</si>
  <si>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</si>
  <si>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</si>
  <si>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</si>
  <si>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</si>
  <si>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</si>
  <si>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</si>
  <si>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</si>
  <si>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</si>
  <si>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</si>
  <si>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</si>
  <si>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</si>
  <si>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</si>
  <si>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</si>
  <si>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</si>
  <si>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</si>
  <si>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</si>
  <si>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</si>
  <si>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</si>
  <si>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</si>
  <si>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</si>
  <si>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</si>
  <si>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</si>
  <si>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</si>
  <si>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</si>
  <si>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</si>
  <si>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</si>
  <si>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</si>
  <si>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</si>
  <si>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</si>
  <si>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</si>
  <si>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</si>
  <si>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</si>
  <si>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</si>
  <si>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</si>
  <si>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</si>
  <si>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</si>
  <si>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</si>
  <si>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</si>
  <si>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</si>
  <si>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</si>
  <si>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</si>
  <si>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</si>
  <si>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</si>
  <si>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</si>
  <si>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</si>
  <si>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</si>
  <si>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</si>
  <si>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</si>
  <si>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</si>
  <si>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</si>
  <si>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</si>
  <si>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</si>
  <si>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</si>
  <si>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</si>
  <si>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</si>
  <si>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</si>
  <si>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</si>
  <si>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</si>
  <si>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</si>
  <si>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</si>
  <si>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</si>
  <si>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</si>
  <si>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</si>
  <si>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</si>
  <si>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</si>
  <si>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</si>
  <si>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</si>
  <si>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</si>
  <si>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</si>
  <si>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</si>
  <si>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</si>
  <si>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</si>
  <si>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</si>
  <si>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</si>
  <si>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</si>
  <si>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</si>
  <si>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</si>
  <si>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</si>
  <si>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</si>
  <si>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</si>
  <si>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</si>
  <si>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</si>
  <si>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</si>
  <si>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</si>
  <si>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</si>
  <si>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</si>
  <si>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</si>
  <si>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</si>
  <si>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</si>
  <si>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</si>
  <si>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</si>
  <si>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</si>
  <si>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</si>
  <si>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</si>
  <si>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</si>
  <si>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</si>
  <si>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</si>
  <si>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</si>
  <si>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</si>
  <si>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</si>
  <si>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</si>
  <si>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</si>
  <si>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</si>
  <si>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</si>
  <si>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</si>
  <si>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</si>
  <si>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</si>
  <si>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</si>
  <si>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</si>
  <si>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</si>
  <si>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</si>
  <si>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</si>
  <si>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</si>
  <si>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</si>
  <si>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</si>
  <si>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</si>
  <si>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</si>
  <si>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</si>
  <si>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</si>
  <si>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</si>
  <si>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</si>
  <si>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</si>
  <si>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</si>
  <si>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</si>
  <si>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</si>
  <si>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</si>
  <si>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</si>
  <si>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</si>
  <si>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</si>
  <si>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</si>
  <si>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</si>
  <si>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</si>
  <si>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</si>
  <si>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</si>
  <si>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</si>
  <si>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</si>
  <si>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</si>
  <si>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</si>
  <si>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</si>
  <si>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</si>
  <si>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</si>
  <si>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</si>
  <si>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</si>
  <si>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</si>
  <si>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</si>
  <si>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</si>
  <si>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</si>
  <si>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</si>
  <si>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</si>
  <si>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</si>
  <si>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</si>
  <si>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</si>
  <si>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</si>
  <si>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</si>
  <si>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</si>
  <si>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</si>
  <si>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</si>
  <si>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</si>
  <si>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</si>
  <si>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</si>
  <si>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</si>
  <si>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</si>
  <si>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</si>
  <si>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</si>
  <si>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</si>
  <si>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</si>
  <si>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</si>
  <si>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</si>
  <si>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</si>
  <si>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</si>
  <si>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</si>
  <si>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</si>
  <si>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</si>
  <si>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</si>
  <si>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</si>
  <si>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</si>
  <si>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</si>
  <si>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</si>
  <si>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</si>
  <si>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</si>
  <si>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</si>
  <si>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</si>
  <si>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</si>
  <si>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</si>
  <si>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</si>
  <si>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</si>
  <si>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</si>
  <si>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</si>
  <si>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</si>
  <si>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</si>
  <si>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</si>
  <si>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</si>
  <si>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</si>
  <si>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</si>
  <si>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</si>
  <si>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</si>
  <si>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</si>
  <si>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</si>
  <si>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</si>
  <si>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</si>
  <si>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</si>
  <si>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</si>
  <si>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</si>
  <si>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</si>
  <si>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</si>
  <si>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</si>
  <si>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</si>
  <si>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</si>
  <si>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</si>
  <si>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</si>
  <si>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</si>
  <si>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</si>
  <si>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</si>
  <si>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</si>
  <si>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</si>
  <si>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</si>
  <si>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</si>
  <si>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</si>
  <si>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</si>
  <si>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</si>
  <si>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</si>
  <si>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</si>
  <si>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</si>
  <si>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</si>
  <si>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</si>
  <si>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</si>
  <si>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</si>
  <si>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</si>
  <si>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</si>
  <si>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</si>
  <si>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</si>
  <si>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</si>
  <si>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</si>
  <si>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</si>
  <si>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</si>
  <si>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</si>
  <si>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</si>
  <si>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</si>
  <si>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</si>
  <si>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</si>
  <si>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</si>
  <si>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</si>
  <si>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</si>
  <si>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</si>
  <si>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</si>
  <si>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</si>
  <si>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</si>
  <si>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</si>
  <si>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</si>
  <si>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</si>
  <si>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</si>
  <si>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</si>
  <si>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</si>
  <si>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</si>
  <si>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</si>
  <si>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</si>
  <si>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</si>
  <si>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</si>
  <si>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</si>
  <si>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</si>
  <si>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</si>
  <si>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</si>
  <si>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</si>
  <si>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</si>
  <si>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</si>
  <si>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</si>
  <si>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</si>
  <si>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</si>
  <si>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</si>
  <si>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</si>
  <si>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</si>
  <si>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</si>
  <si>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</si>
  <si>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</si>
  <si>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</si>
  <si>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</si>
  <si>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</si>
  <si>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</si>
  <si>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</si>
  <si>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</si>
  <si>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</si>
  <si>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</si>
  <si>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</si>
  <si>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</si>
  <si>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</si>
  <si>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</si>
  <si>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</si>
  <si>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</si>
  <si>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</si>
  <si>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</si>
  <si>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</si>
  <si>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</si>
  <si>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</si>
  <si>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</si>
  <si>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</si>
  <si>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</si>
  <si>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</si>
  <si>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</si>
  <si>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</si>
  <si>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</si>
  <si>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</si>
  <si>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</si>
  <si>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</si>
  <si>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</si>
  <si>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</si>
  <si>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</si>
  <si>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</si>
  <si>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</si>
  <si>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</si>
  <si>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</si>
  <si>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</si>
  <si>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</si>
  <si>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</si>
  <si>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</si>
  <si>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</si>
  <si>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</si>
  <si>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</si>
  <si>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</si>
  <si>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</si>
  <si>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</si>
  <si>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</si>
  <si>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</si>
  <si>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</si>
  <si>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</si>
  <si>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</si>
  <si>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</si>
  <si>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</si>
  <si>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</si>
  <si>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</si>
  <si>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</si>
  <si>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</si>
  <si>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</si>
  <si>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</si>
  <si>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</si>
  <si>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</si>
  <si>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</si>
  <si>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</si>
  <si>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</si>
  <si>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</si>
  <si>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</si>
  <si>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</si>
  <si>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</si>
  <si>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</si>
  <si>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</si>
  <si>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</si>
  <si>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</si>
  <si>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</si>
  <si>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</si>
  <si>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</si>
  <si>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</si>
  <si>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</si>
  <si>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</si>
  <si>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</si>
  <si>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</si>
  <si>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</si>
  <si>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</si>
  <si>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</si>
  <si>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</si>
  <si>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</si>
  <si>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</si>
  <si>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</si>
  <si>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</si>
  <si>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</si>
  <si>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</si>
  <si>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</si>
  <si>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</si>
  <si>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</si>
  <si>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</si>
  <si>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</si>
  <si>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</si>
  <si>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</si>
  <si>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</si>
  <si>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</si>
  <si>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</si>
  <si>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</si>
  <si>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</si>
  <si>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</si>
  <si>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</si>
  <si>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</si>
  <si>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</si>
  <si>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</si>
  <si>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</si>
  <si>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</si>
  <si>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</si>
  <si>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</si>
  <si>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</si>
  <si>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</si>
  <si>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</si>
  <si>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</si>
  <si>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</si>
  <si>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</si>
  <si>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</si>
  <si>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</si>
  <si>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</si>
  <si>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</si>
  <si>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</si>
  <si>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</si>
  <si>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</si>
  <si>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</si>
  <si>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</si>
  <si>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</si>
  <si>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</si>
  <si>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</si>
  <si>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</si>
  <si>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</si>
  <si>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</si>
  <si>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</si>
  <si>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</si>
  <si>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</si>
  <si>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</si>
  <si>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</si>
  <si>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</si>
  <si>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</si>
  <si>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</si>
  <si>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</si>
  <si>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</si>
  <si>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</si>
  <si>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</si>
  <si>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</si>
  <si>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</si>
  <si>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</si>
  <si>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</si>
  <si>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</si>
  <si>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</si>
  <si>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</si>
  <si>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</si>
  <si>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</si>
  <si>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</si>
  <si>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</si>
  <si>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</si>
  <si>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</si>
  <si>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</si>
  <si>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</si>
  <si>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</si>
  <si>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</si>
  <si>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</si>
  <si>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</si>
  <si>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</si>
  <si>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</si>
  <si>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</si>
  <si>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</si>
  <si>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</si>
  <si>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</si>
  <si>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</si>
  <si>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</si>
  <si>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</si>
  <si>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</si>
  <si>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</si>
  <si>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</si>
  <si>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</si>
  <si>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</si>
  <si>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</si>
  <si>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</si>
  <si>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</si>
  <si>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</si>
  <si>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</si>
  <si>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</si>
  <si>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</si>
  <si>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</si>
  <si>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</si>
  <si>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</si>
  <si>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</si>
  <si>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</si>
  <si>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</si>
  <si>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</si>
  <si>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</si>
  <si>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</si>
  <si>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</si>
  <si>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</si>
  <si>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</si>
  <si>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</si>
  <si>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</si>
  <si>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</si>
  <si>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</si>
  <si>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</si>
  <si>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</si>
  <si>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</si>
  <si>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</si>
  <si>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</si>
  <si>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</si>
  <si>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</si>
  <si>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</si>
  <si>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</si>
  <si>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</si>
  <si>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</si>
  <si>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</si>
  <si>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</si>
  <si>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</si>
  <si>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</si>
  <si>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</si>
  <si>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</si>
  <si>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</si>
  <si>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</si>
  <si>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</si>
  <si>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</si>
  <si>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</si>
  <si>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</si>
  <si>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</si>
  <si>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</si>
  <si>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</si>
  <si>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</si>
  <si>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</si>
  <si>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</si>
  <si>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</si>
  <si>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</si>
  <si>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</si>
  <si>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</si>
  <si>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</si>
  <si>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</si>
  <si>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</si>
  <si>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</si>
  <si>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</si>
  <si>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</si>
  <si>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</si>
  <si>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</si>
  <si>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</si>
  <si>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</si>
  <si>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</si>
  <si>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</si>
  <si>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</si>
  <si>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</si>
  <si>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</si>
  <si>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</si>
  <si>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</si>
  <si>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</si>
  <si>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</si>
  <si>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</si>
  <si>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</si>
  <si>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</si>
  <si>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</si>
  <si>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</si>
  <si>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</si>
  <si>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</si>
  <si>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</si>
  <si>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</si>
  <si>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</si>
  <si>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</si>
  <si>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</si>
  <si>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</si>
  <si>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</si>
  <si>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</si>
  <si>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</si>
  <si>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</si>
  <si>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</si>
  <si>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</si>
  <si>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</si>
  <si>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</si>
  <si>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</si>
  <si>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</si>
  <si>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</si>
  <si>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</si>
  <si>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</si>
  <si>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</si>
  <si>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</si>
  <si>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</si>
  <si>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</si>
  <si>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</si>
  <si>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</si>
  <si>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</si>
  <si>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</si>
  <si>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</si>
  <si>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</si>
  <si>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</si>
  <si>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</si>
  <si>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</si>
  <si>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</si>
  <si>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</si>
  <si>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</si>
  <si>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</si>
  <si>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</si>
  <si>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</si>
  <si>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</si>
  <si>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</si>
  <si>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</si>
  <si>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</si>
  <si>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</si>
  <si>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</si>
  <si>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</si>
  <si>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</si>
  <si>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</si>
  <si>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</si>
  <si>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</si>
  <si>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</si>
  <si>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</si>
  <si>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</si>
  <si>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</si>
  <si>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</si>
  <si>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</si>
  <si>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</si>
  <si>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</si>
  <si>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</si>
  <si>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</si>
  <si>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</si>
  <si>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</si>
  <si>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</si>
  <si>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</si>
  <si>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</si>
  <si>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</si>
  <si>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</si>
  <si>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</si>
  <si>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</si>
  <si>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</si>
  <si>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</si>
  <si>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</si>
  <si>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</si>
  <si>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</si>
  <si>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</si>
  <si>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</si>
  <si>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</si>
  <si>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</si>
  <si>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</si>
  <si>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</si>
  <si>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</si>
  <si>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</si>
  <si>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</si>
  <si>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</si>
  <si>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</si>
  <si>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</si>
  <si>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</si>
  <si>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</si>
  <si>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</si>
  <si>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</si>
  <si>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</si>
  <si>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</si>
  <si>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</si>
  <si>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</si>
  <si>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</si>
  <si>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</si>
  <si>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</si>
  <si>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</si>
  <si>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</si>
  <si>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</si>
  <si>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</si>
  <si>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</si>
  <si>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</si>
  <si>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</si>
  <si>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</si>
  <si>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</si>
  <si>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</si>
  <si>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</si>
  <si>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</si>
  <si>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</si>
  <si>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</si>
  <si>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</si>
  <si>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</si>
  <si>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</si>
  <si>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</si>
  <si>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</si>
  <si>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</si>
  <si>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</si>
  <si>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</si>
  <si>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</si>
  <si>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</si>
  <si>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</si>
  <si>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</si>
  <si>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</si>
  <si>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</si>
  <si>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</si>
  <si>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</si>
  <si>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</si>
  <si>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</si>
  <si>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</si>
  <si>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</si>
  <si>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</si>
  <si>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</si>
  <si>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</si>
  <si>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</si>
  <si>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</si>
  <si>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</si>
  <si>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</si>
  <si>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</si>
  <si>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</si>
  <si>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</si>
  <si>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</si>
  <si>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</si>
  <si>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</si>
  <si>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</si>
  <si>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</si>
  <si>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</si>
  <si>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</si>
  <si>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</si>
  <si>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</si>
  <si>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</si>
  <si>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</si>
  <si>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</si>
  <si>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</si>
  <si>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</si>
  <si>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</si>
  <si>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</si>
  <si>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</si>
  <si>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</si>
  <si>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</si>
  <si>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</si>
  <si>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</si>
  <si>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</si>
  <si>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</si>
  <si>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</si>
  <si>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</si>
  <si>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</si>
  <si>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</si>
  <si>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</si>
  <si>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</si>
  <si>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</si>
  <si>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</si>
  <si>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</si>
  <si>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</si>
  <si>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</si>
  <si>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</si>
  <si>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</si>
  <si>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</si>
  <si>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</si>
  <si>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</si>
  <si>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</si>
  <si>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</si>
  <si>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</si>
  <si>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</si>
  <si>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</si>
  <si>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</si>
  <si>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</si>
  <si>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</si>
  <si>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</si>
  <si>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</si>
  <si>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</si>
  <si>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</si>
  <si>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</si>
  <si>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</si>
  <si>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</si>
  <si>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</si>
  <si>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</si>
  <si>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</si>
  <si>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</si>
  <si>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</si>
  <si>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</si>
  <si>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</si>
  <si>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</si>
  <si>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</si>
  <si>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</si>
  <si>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</si>
  <si>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</si>
  <si>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</si>
  <si>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</si>
  <si>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</si>
  <si>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</si>
  <si>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</si>
  <si>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</si>
  <si>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</si>
  <si>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</si>
  <si>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</si>
  <si>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</si>
  <si>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</si>
  <si>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</si>
  <si>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</si>
  <si>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</si>
  <si>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</si>
  <si>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</si>
  <si>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</si>
  <si>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</si>
  <si>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</si>
  <si>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</si>
  <si>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</si>
  <si>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</si>
  <si>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</si>
  <si>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</si>
  <si>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</si>
  <si>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</si>
  <si>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</si>
  <si>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</si>
  <si>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</si>
  <si>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</si>
  <si>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</si>
  <si>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</si>
  <si>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</si>
  <si>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</si>
  <si>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</si>
  <si>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</si>
  <si>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</si>
  <si>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</si>
  <si>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</si>
  <si>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</si>
  <si>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</si>
  <si>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</si>
  <si>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</si>
  <si>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</si>
  <si>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</si>
  <si>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</si>
  <si>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</si>
  <si>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</si>
  <si>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</si>
  <si>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</si>
  <si>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</si>
  <si>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</si>
  <si>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</si>
  <si>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</si>
  <si>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</si>
  <si>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</si>
  <si>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</si>
  <si>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</si>
  <si>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</si>
  <si>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</si>
  <si>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</si>
  <si>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</si>
  <si>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</si>
  <si>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</si>
  <si>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</si>
  <si>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</si>
  <si>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</si>
  <si>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</si>
  <si>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</si>
  <si>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</si>
  <si>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</si>
  <si>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</si>
  <si>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</si>
  <si>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</si>
  <si>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</si>
  <si>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</si>
  <si>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</si>
  <si>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</si>
  <si>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</si>
  <si>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</si>
  <si>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</si>
  <si>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</si>
  <si>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</si>
  <si>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</si>
  <si>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</si>
  <si>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</si>
  <si>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</si>
  <si>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</si>
  <si>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</si>
  <si>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</si>
  <si>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</si>
  <si>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</si>
  <si>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</si>
  <si>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</si>
  <si>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</si>
  <si>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</si>
  <si>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</si>
  <si>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</si>
  <si>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</si>
  <si>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</si>
  <si>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</si>
  <si>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</si>
  <si>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</si>
  <si>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</si>
  <si>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</si>
  <si>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</si>
  <si>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</si>
  <si>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</si>
  <si>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</si>
  <si>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</si>
  <si>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</si>
  <si>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</si>
  <si>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</si>
  <si>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</si>
  <si>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</si>
  <si>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</si>
  <si>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</si>
  <si>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</si>
  <si>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</si>
  <si>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</si>
  <si>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</si>
  <si>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</si>
  <si>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</si>
  <si>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</si>
  <si>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</si>
  <si>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</si>
  <si>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</si>
  <si>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</si>
  <si>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</si>
  <si>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</si>
  <si>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</si>
  <si>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</si>
  <si>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</si>
  <si>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</si>
  <si>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</si>
  <si>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</si>
  <si>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</si>
  <si>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</si>
  <si>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</si>
  <si>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</si>
  <si>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</si>
  <si>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</si>
  <si>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</si>
  <si>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</si>
  <si>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</si>
  <si>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</si>
  <si>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</si>
  <si>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</si>
  <si>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</si>
  <si>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</si>
  <si>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</si>
  <si>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</si>
  <si>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</si>
  <si>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</si>
  <si>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</si>
  <si>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</si>
  <si>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</si>
  <si>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</si>
  <si>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</si>
  <si>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</si>
  <si>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</si>
  <si>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</si>
  <si>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</si>
  <si>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</si>
  <si>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</si>
  <si>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</si>
  <si>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</si>
  <si>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</si>
  <si>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</si>
  <si>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</si>
  <si>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</si>
  <si>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</si>
  <si>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</si>
  <si>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</si>
  <si>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</si>
  <si>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</si>
  <si>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</si>
  <si>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</si>
  <si>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</si>
  <si>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</si>
  <si>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</si>
  <si>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</si>
  <si>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</si>
  <si>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</si>
  <si>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</si>
  <si>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</si>
  <si>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</si>
  <si>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</si>
  <si>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</si>
  <si>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</si>
  <si>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</si>
  <si>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</si>
  <si>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</si>
  <si>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</si>
  <si>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</si>
  <si>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</si>
  <si>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</si>
  <si>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</si>
  <si>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</si>
  <si>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</si>
  <si>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</si>
  <si>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</si>
  <si>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</si>
  <si>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</si>
  <si>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</si>
  <si>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</si>
  <si>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</si>
  <si>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</si>
  <si>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</si>
  <si>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</si>
  <si>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</si>
  <si>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</si>
  <si>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</si>
  <si>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</si>
  <si>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</si>
  <si>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</si>
  <si>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</si>
  <si>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</si>
  <si>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</si>
  <si>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</si>
  <si>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</si>
  <si>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</si>
  <si>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</si>
  <si>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</si>
  <si>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</si>
  <si>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</si>
  <si>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</si>
  <si>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</si>
  <si>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</si>
  <si>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</si>
  <si>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</si>
  <si>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</si>
  <si>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</si>
  <si>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</si>
  <si>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</si>
  <si>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</si>
  <si>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</si>
  <si>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</si>
  <si>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</si>
  <si>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</si>
  <si>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</si>
  <si>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</si>
  <si>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</si>
  <si>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</si>
  <si>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</si>
  <si>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</si>
  <si>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</si>
  <si>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</si>
  <si>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</si>
  <si>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</si>
  <si>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</si>
  <si>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</si>
  <si>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</si>
  <si>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</si>
  <si>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</si>
  <si>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</si>
  <si>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</si>
  <si>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</si>
  <si>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</si>
  <si>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</si>
  <si>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</si>
  <si>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</si>
  <si>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</si>
  <si>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</si>
  <si>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</si>
  <si>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</si>
  <si>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</si>
  <si>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</si>
  <si>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</si>
  <si>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</si>
  <si>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</si>
  <si>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</si>
  <si>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</si>
  <si>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</si>
  <si>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</si>
  <si>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</si>
  <si>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</si>
  <si>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</si>
  <si>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</si>
  <si>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</si>
  <si>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</si>
  <si>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</si>
  <si>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</si>
  <si>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</si>
  <si>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</si>
  <si>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</si>
  <si>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</si>
  <si>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</si>
  <si>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</si>
  <si>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</si>
  <si>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</si>
  <si>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</si>
  <si>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</si>
  <si>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</si>
  <si>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</si>
  <si>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</si>
  <si>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</si>
  <si>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</si>
  <si>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</si>
  <si>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</si>
  <si>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</si>
  <si>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</si>
  <si>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</si>
  <si>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</si>
  <si>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</si>
  <si>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</si>
  <si>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</si>
  <si>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</si>
  <si>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</si>
  <si>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</si>
  <si>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</si>
  <si>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</si>
  <si>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</si>
  <si>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</si>
  <si>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</si>
  <si>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</si>
  <si>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</si>
  <si>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</si>
  <si>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</si>
  <si>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</si>
  <si>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</si>
  <si>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</si>
  <si>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</si>
  <si>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</si>
  <si>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</si>
  <si>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</si>
  <si>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</si>
  <si>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</si>
  <si>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</si>
  <si>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</si>
  <si>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</si>
  <si>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</si>
  <si>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</si>
  <si>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</si>
  <si>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</si>
  <si>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</si>
  <si>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</si>
  <si>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</si>
  <si>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</si>
  <si>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</si>
  <si>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</si>
  <si>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</si>
  <si>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</si>
  <si>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</si>
  <si>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</si>
  <si>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</si>
  <si>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</si>
  <si>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</si>
  <si>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</si>
  <si>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</si>
  <si>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</si>
  <si>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</si>
  <si>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</si>
  <si>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</si>
  <si>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</si>
  <si>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</si>
  <si>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</si>
  <si>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</si>
  <si>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</si>
  <si>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</si>
  <si>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</si>
  <si>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</si>
  <si>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</si>
  <si>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</si>
  <si>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</si>
  <si>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</si>
  <si>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</si>
  <si>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</si>
  <si>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</si>
  <si>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</si>
  <si>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</si>
  <si>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</si>
  <si>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</si>
  <si>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</si>
  <si>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</si>
  <si>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</si>
  <si>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</si>
  <si>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</si>
  <si>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</si>
  <si>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</si>
  <si>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</si>
  <si>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</si>
  <si>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</si>
  <si>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</si>
  <si>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</si>
  <si>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</si>
  <si>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</si>
  <si>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</si>
  <si>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</si>
  <si>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</si>
  <si>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</si>
  <si>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</si>
  <si>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</si>
  <si>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</si>
  <si>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</si>
  <si>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</si>
  <si>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</si>
  <si>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</si>
  <si>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</si>
  <si>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</si>
  <si>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</si>
  <si>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</si>
  <si>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</si>
  <si>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</si>
  <si>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</si>
  <si>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</si>
  <si>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</si>
  <si>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</si>
  <si>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</si>
  <si>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</si>
  <si>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</si>
  <si>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</si>
  <si>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</si>
  <si>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</si>
  <si>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</si>
  <si>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</si>
  <si>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</si>
  <si>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</si>
  <si>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</si>
  <si>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</si>
  <si>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</si>
  <si>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</si>
  <si>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</si>
  <si>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</si>
  <si>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</si>
  <si>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</si>
  <si>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</si>
  <si>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</si>
  <si>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</si>
  <si>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</si>
  <si>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</si>
  <si>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</si>
  <si>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</si>
  <si>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</si>
  <si>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</si>
  <si>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</si>
  <si>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</si>
  <si>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</si>
  <si>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</si>
  <si>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</si>
  <si>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</si>
  <si>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</si>
  <si>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</si>
  <si>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</si>
  <si>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</si>
  <si>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</si>
  <si>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</si>
  <si>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</si>
  <si>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</si>
  <si>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</si>
  <si>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</si>
  <si>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</si>
  <si>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</si>
  <si>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</si>
  <si>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</si>
  <si>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</si>
  <si>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</si>
  <si>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</si>
  <si>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</si>
  <si>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</si>
  <si>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</si>
  <si>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</si>
  <si>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</si>
  <si>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</si>
  <si>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</si>
  <si>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</si>
  <si>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</si>
  <si>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</si>
  <si>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</si>
  <si>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</si>
  <si>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</si>
  <si>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</si>
  <si>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</si>
  <si>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</si>
  <si>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</si>
  <si>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</si>
  <si>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</si>
  <si>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</si>
  <si>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</si>
  <si>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</si>
  <si>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</si>
  <si>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</si>
  <si>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</si>
  <si>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</si>
  <si>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</si>
  <si>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</si>
  <si>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</si>
  <si>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</si>
  <si>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</si>
  <si>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</si>
  <si>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</si>
  <si>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</si>
  <si>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</si>
  <si>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</si>
  <si>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</si>
  <si>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</si>
  <si>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</si>
  <si>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</si>
  <si>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</si>
  <si>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</si>
  <si>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</si>
  <si>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</si>
  <si>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</si>
  <si>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</si>
  <si>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</si>
  <si>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</si>
  <si>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</si>
  <si>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</si>
  <si>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</si>
  <si>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</si>
  <si>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</si>
  <si>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</si>
  <si>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</si>
  <si>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</si>
  <si>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</si>
  <si>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</si>
  <si>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</si>
  <si>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</si>
  <si>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</si>
  <si>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</si>
  <si>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</si>
  <si>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</si>
  <si>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</si>
  <si>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</si>
  <si>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</si>
  <si>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</si>
  <si>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</si>
  <si>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</si>
  <si>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</si>
  <si>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</si>
  <si>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</si>
  <si>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</si>
  <si>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</si>
  <si>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</si>
  <si>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</si>
  <si>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</si>
  <si>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</si>
  <si>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</si>
  <si>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</si>
  <si>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</si>
  <si>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</si>
  <si>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</si>
  <si>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</si>
  <si>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</si>
  <si>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</si>
  <si>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</si>
  <si>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</si>
  <si>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</si>
  <si>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</si>
  <si>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</si>
  <si>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</si>
  <si>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</si>
  <si>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</si>
  <si>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</si>
  <si>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</si>
  <si>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</si>
  <si>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</si>
  <si>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</si>
  <si>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</si>
  <si>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</si>
  <si>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</si>
  <si>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</si>
  <si>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</si>
  <si>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</si>
  <si>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</si>
  <si>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</si>
  <si>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</si>
  <si>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</si>
  <si>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</si>
  <si>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</si>
  <si>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</si>
  <si>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</si>
  <si>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</si>
  <si>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</si>
  <si>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</si>
  <si>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</si>
  <si>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</si>
  <si>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</si>
  <si>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</si>
  <si>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</si>
  <si>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</si>
  <si>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</si>
  <si>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</si>
  <si>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</si>
  <si>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</si>
  <si>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</si>
  <si>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</si>
  <si>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</si>
  <si>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</si>
  <si>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</si>
  <si>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</si>
  <si>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</si>
  <si>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</si>
  <si>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</si>
  <si>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</si>
  <si>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</si>
  <si>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</si>
  <si>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</si>
  <si>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</si>
  <si>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</si>
  <si>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</si>
  <si>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</si>
  <si>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</si>
  <si>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</si>
  <si>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</si>
  <si>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</si>
  <si>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</si>
  <si>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</si>
  <si>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</si>
  <si>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</si>
  <si>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</si>
  <si>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</si>
  <si>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</si>
  <si>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</si>
  <si>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</si>
  <si>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</si>
  <si>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</si>
  <si>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</si>
  <si>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</si>
  <si>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</si>
  <si>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</si>
  <si>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</si>
  <si>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</si>
  <si>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</si>
  <si>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</si>
  <si>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</si>
  <si>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</si>
  <si>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</si>
  <si>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</si>
  <si>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</si>
  <si>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</si>
  <si>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</si>
  <si>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</si>
  <si>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</si>
  <si>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</si>
  <si>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</si>
  <si>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</si>
  <si>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</si>
  <si>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</si>
  <si>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</si>
  <si>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</si>
  <si>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</si>
  <si>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</si>
  <si>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</si>
  <si>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</si>
  <si>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</si>
  <si>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</si>
  <si>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</si>
  <si>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</si>
  <si>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</si>
  <si>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</si>
  <si>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</si>
  <si>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</si>
  <si>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</si>
  <si>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</si>
  <si>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</si>
  <si>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</si>
  <si>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</si>
  <si>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</si>
  <si>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</si>
  <si>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</si>
  <si>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</si>
  <si>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</si>
  <si>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</si>
  <si>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</si>
  <si>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</si>
  <si>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</si>
  <si>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</si>
  <si>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</si>
  <si>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</si>
  <si>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</si>
  <si>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</si>
  <si>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</si>
  <si>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</si>
  <si>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</si>
  <si>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</si>
  <si>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</si>
  <si>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</si>
  <si>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</si>
  <si>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</si>
  <si>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</si>
  <si>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</si>
  <si>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</si>
  <si>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</si>
  <si>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</si>
  <si>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</si>
  <si>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</si>
  <si>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</si>
  <si>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</si>
  <si>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</si>
  <si>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</si>
  <si>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</si>
  <si>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</si>
  <si>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</si>
  <si>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</si>
  <si>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</si>
  <si>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</si>
  <si>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</si>
  <si>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</si>
  <si>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</si>
  <si>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</si>
  <si>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</si>
  <si>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</si>
  <si>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</si>
  <si>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</si>
  <si>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</si>
  <si>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</si>
  <si>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</si>
  <si>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</si>
  <si>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</si>
  <si>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</si>
  <si>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</si>
  <si>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</si>
  <si>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</si>
  <si>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</si>
  <si>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</si>
  <si>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</si>
  <si>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</si>
  <si>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</si>
  <si>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</si>
  <si>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</si>
  <si>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</si>
  <si>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</si>
  <si>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</si>
  <si>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</si>
  <si>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</si>
  <si>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</si>
  <si>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</si>
  <si>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</si>
  <si>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</si>
  <si>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</si>
  <si>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</si>
  <si>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</si>
  <si>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</si>
  <si>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</si>
  <si>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</si>
  <si>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</si>
  <si>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</si>
  <si>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</si>
  <si>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</si>
  <si>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</si>
  <si>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</si>
  <si>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</si>
  <si>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</si>
  <si>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</si>
  <si>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</si>
  <si>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</si>
  <si>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</si>
  <si>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</si>
  <si>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</si>
  <si>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</si>
  <si>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</si>
  <si>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</si>
  <si>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</si>
  <si>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</si>
  <si>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</si>
  <si>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</si>
  <si>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</si>
  <si>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</si>
  <si>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</si>
  <si>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</si>
  <si>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</si>
  <si>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</si>
  <si>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</si>
  <si>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</si>
  <si>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</si>
  <si>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</si>
  <si>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</si>
  <si>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</si>
  <si>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</si>
  <si>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</si>
  <si>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</si>
  <si>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</si>
  <si>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</si>
  <si>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</si>
  <si>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</si>
  <si>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</si>
  <si>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</si>
  <si>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</si>
  <si>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</si>
  <si>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</si>
  <si>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</si>
  <si>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</si>
  <si>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</si>
  <si>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</si>
  <si>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</si>
  <si>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</si>
  <si>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</si>
  <si>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</si>
  <si>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</si>
  <si>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</si>
  <si>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</si>
  <si>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</si>
  <si>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</si>
  <si>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</si>
  <si>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</si>
  <si>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</si>
  <si>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</si>
  <si>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</si>
  <si>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</si>
  <si>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</si>
  <si>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</si>
  <si>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</si>
  <si>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</si>
  <si>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</si>
  <si>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</si>
  <si>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</si>
  <si>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</si>
  <si>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</si>
  <si>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</si>
  <si>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</si>
  <si>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</si>
  <si>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</si>
  <si>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</si>
  <si>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</si>
  <si>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</si>
  <si>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</si>
  <si>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</si>
  <si>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</si>
  <si>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</si>
  <si>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</si>
  <si>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</si>
  <si>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</si>
  <si>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</si>
  <si>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</si>
  <si>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</si>
  <si>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</si>
  <si>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</si>
  <si>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</si>
  <si>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</si>
  <si>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</si>
  <si>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</si>
  <si>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</si>
  <si>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</si>
  <si>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</si>
  <si>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</si>
  <si>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</si>
  <si>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</si>
  <si>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</si>
  <si>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</si>
  <si>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</si>
  <si>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</si>
  <si>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</si>
  <si>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</si>
  <si>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</si>
  <si>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</si>
  <si>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</si>
  <si>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</si>
  <si>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</si>
  <si>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</si>
  <si>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</si>
  <si>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</si>
  <si>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</si>
  <si>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</si>
  <si>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</si>
  <si>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</si>
  <si>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</si>
  <si>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</si>
  <si>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</si>
  <si>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</si>
  <si>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</si>
  <si>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</si>
  <si>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</si>
  <si>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</si>
  <si>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</si>
  <si>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</si>
  <si>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</si>
  <si>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</si>
  <si>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</si>
  <si>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</si>
  <si>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</si>
  <si>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</si>
  <si>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</si>
  <si>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</si>
  <si>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</si>
  <si>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</si>
  <si>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</si>
  <si>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</si>
  <si>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</si>
  <si>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</si>
  <si>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</si>
  <si>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</si>
  <si>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</si>
  <si>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</si>
  <si>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</si>
  <si>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</si>
  <si>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</si>
  <si>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</si>
  <si>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</si>
  <si>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</si>
  <si>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</si>
  <si>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</si>
  <si>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</si>
  <si>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</si>
  <si>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</si>
  <si>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</si>
  <si>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</si>
  <si>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</si>
  <si>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</si>
  <si>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</si>
  <si>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</si>
  <si>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</si>
  <si>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</si>
  <si>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</si>
  <si>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</si>
  <si>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</si>
  <si>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</si>
  <si>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</si>
  <si>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</si>
  <si>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</si>
  <si>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</si>
  <si>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</si>
  <si>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</si>
  <si>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</si>
  <si>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</si>
  <si>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</si>
  <si>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</si>
  <si>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</si>
  <si>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</si>
  <si>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</si>
  <si>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</si>
  <si>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</si>
  <si>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</si>
  <si>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</si>
  <si>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</si>
  <si>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</si>
  <si>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</si>
  <si>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</si>
  <si>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</si>
  <si>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</si>
  <si>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</si>
  <si>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</si>
  <si>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</si>
  <si>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</si>
  <si>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</si>
  <si>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</si>
  <si>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</si>
  <si>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</si>
  <si>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</si>
  <si>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</si>
  <si>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</si>
  <si>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</si>
  <si>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</si>
  <si>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</si>
  <si>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</si>
  <si>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</si>
  <si>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</si>
  <si>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</si>
  <si>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</si>
  <si>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</si>
  <si>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</si>
  <si>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</si>
  <si>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</si>
  <si>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</si>
  <si>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</si>
  <si>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</si>
  <si>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</si>
  <si>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</si>
  <si>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</si>
  <si>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</si>
  <si>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</si>
  <si>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</si>
  <si>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</si>
  <si>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</si>
  <si>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</si>
  <si>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</si>
  <si>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</si>
  <si>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</si>
  <si>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</si>
  <si>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</si>
  <si>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</si>
  <si>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</si>
  <si>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</si>
  <si>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</si>
  <si>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</si>
  <si>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</si>
  <si>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</si>
  <si>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</si>
  <si>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</si>
  <si>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</si>
  <si>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</si>
  <si>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</si>
  <si>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</si>
  <si>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</si>
  <si>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</si>
  <si>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</si>
  <si>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</si>
  <si>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</si>
  <si>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</si>
  <si>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</si>
  <si>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</si>
  <si>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</si>
  <si>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</si>
  <si>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</si>
  <si>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</si>
  <si>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</si>
  <si>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</si>
  <si>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</si>
  <si>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</si>
  <si>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</si>
  <si>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</si>
  <si>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</si>
  <si>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</si>
  <si>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</si>
  <si>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</si>
  <si>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</si>
  <si>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</si>
  <si>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</si>
  <si>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</si>
  <si>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</si>
  <si>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</si>
  <si>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</si>
  <si>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</si>
  <si>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</si>
  <si>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</si>
  <si>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</si>
  <si>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</si>
  <si>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</si>
  <si>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</si>
  <si>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</si>
  <si>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</si>
  <si>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</si>
  <si>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</si>
  <si>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</si>
  <si>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</si>
  <si>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</si>
  <si>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</si>
  <si>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</si>
  <si>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</si>
  <si>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</si>
  <si>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</si>
  <si>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</si>
  <si>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</si>
  <si>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</si>
  <si>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</si>
  <si>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</si>
  <si>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</si>
  <si>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</si>
  <si>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</si>
  <si>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</si>
  <si>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</si>
  <si>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</si>
  <si>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</si>
  <si>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</si>
  <si>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</si>
  <si>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</si>
  <si>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</si>
  <si>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</si>
  <si>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</si>
  <si>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</si>
  <si>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</si>
  <si>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</si>
  <si>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</si>
  <si>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</si>
  <si>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</si>
  <si>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</si>
  <si>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</si>
  <si>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</si>
  <si>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</si>
  <si>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</si>
  <si>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</si>
  <si>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</si>
  <si>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</si>
  <si>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</si>
  <si>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</si>
  <si>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</si>
  <si>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</si>
  <si>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</si>
  <si>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</si>
  <si>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</si>
  <si>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</si>
  <si>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</si>
  <si>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</si>
  <si>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</si>
  <si>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</si>
  <si>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</si>
  <si>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</si>
  <si>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</si>
  <si>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</si>
  <si>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</si>
  <si>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</si>
  <si>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</si>
  <si>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</si>
  <si>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</si>
  <si>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</si>
  <si>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</si>
  <si>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</si>
  <si>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</si>
  <si>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</si>
  <si>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</si>
  <si>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</si>
  <si>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</si>
  <si>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</si>
  <si>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</si>
  <si>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</si>
  <si>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</si>
  <si>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</si>
  <si>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</si>
  <si>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</si>
  <si>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</si>
  <si>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</si>
  <si>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</si>
  <si>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</si>
  <si>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</si>
  <si>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</si>
  <si>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</si>
  <si>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</si>
  <si>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</si>
  <si>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</si>
  <si>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</si>
  <si>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</si>
  <si>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</si>
  <si>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</si>
  <si>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</si>
  <si>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</si>
  <si>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</si>
  <si>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</si>
  <si>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</si>
  <si>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</si>
  <si>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</si>
  <si>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</si>
  <si>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</si>
  <si>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</si>
  <si>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</si>
  <si>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</si>
  <si>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</si>
  <si>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</si>
  <si>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</si>
  <si>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</si>
  <si>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</si>
  <si>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</si>
  <si>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</si>
  <si>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</si>
  <si>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</si>
  <si>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</si>
  <si>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</si>
  <si>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</si>
  <si>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</si>
  <si>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</si>
  <si>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</si>
  <si>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</si>
  <si>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</si>
  <si>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</si>
  <si>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</si>
  <si>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</si>
  <si>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</si>
  <si>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</si>
  <si>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</si>
  <si>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</si>
  <si>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</si>
  <si>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</si>
  <si>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</si>
  <si>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</si>
  <si>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</si>
  <si>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</si>
  <si>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</si>
  <si>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</si>
  <si>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</si>
  <si>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</si>
  <si>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</si>
  <si>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</si>
  <si>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</si>
  <si>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</si>
  <si>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</si>
  <si>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</si>
  <si>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</si>
  <si>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</si>
  <si>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</si>
  <si>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</si>
  <si>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</si>
  <si>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</si>
  <si>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</si>
  <si>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</si>
  <si>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</si>
  <si>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</si>
  <si>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</si>
  <si>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</si>
  <si>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</si>
  <si>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</si>
  <si>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</si>
  <si>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</si>
  <si>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</si>
  <si>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</si>
  <si>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</si>
  <si>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</si>
  <si>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</si>
  <si>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</si>
  <si>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</si>
  <si>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</si>
  <si>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</si>
  <si>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</si>
  <si>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</si>
  <si>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</si>
  <si>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</si>
  <si>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</si>
  <si>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</si>
  <si>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</si>
  <si>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</si>
  <si>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</si>
  <si>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</si>
  <si>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</si>
  <si>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</si>
  <si>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</si>
  <si>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</si>
  <si>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</si>
  <si>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</si>
  <si>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</si>
  <si>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</si>
  <si>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</si>
  <si>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</si>
  <si>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</si>
  <si>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</si>
  <si>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</si>
  <si>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</si>
  <si>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</si>
  <si>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</si>
  <si>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</si>
  <si>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</si>
  <si>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</si>
  <si>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</si>
  <si>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</si>
  <si>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</si>
  <si>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</si>
  <si>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</si>
  <si>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</si>
  <si>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</si>
  <si>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</si>
  <si>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</si>
  <si>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</si>
  <si>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</si>
  <si>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</si>
  <si>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</si>
  <si>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</si>
  <si>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</si>
  <si>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</si>
  <si>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</si>
  <si>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</si>
  <si>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</si>
  <si>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</si>
  <si>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</si>
  <si>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</si>
  <si>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</si>
  <si>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</si>
  <si>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</si>
  <si>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</si>
  <si>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</si>
  <si>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</si>
  <si>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</si>
  <si>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</si>
  <si>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</si>
  <si>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</si>
  <si>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</si>
  <si>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</si>
  <si>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</si>
  <si>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</si>
  <si>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</si>
  <si>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</si>
  <si>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</si>
  <si>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</si>
  <si>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</si>
  <si>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</si>
  <si>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</si>
  <si>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</si>
  <si>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</si>
  <si>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</si>
  <si>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</si>
  <si>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</si>
  <si>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</si>
  <si>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</si>
  <si>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</si>
  <si>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</si>
  <si>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</si>
  <si>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</si>
  <si>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</si>
  <si>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</si>
  <si>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</si>
  <si>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</si>
  <si>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</si>
  <si>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</si>
  <si>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</si>
  <si>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</si>
  <si>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</si>
  <si>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</si>
  <si>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</si>
  <si>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</si>
  <si>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</si>
  <si>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</si>
  <si>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</si>
  <si>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</si>
  <si>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</si>
  <si>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</si>
  <si>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</si>
  <si>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</si>
  <si>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</si>
  <si>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</si>
  <si>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</si>
  <si>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</si>
  <si>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</si>
  <si>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</si>
  <si>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</si>
  <si>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</si>
  <si>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</si>
  <si>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</si>
  <si>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</si>
  <si>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</si>
  <si>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</si>
  <si>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</si>
  <si>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</si>
  <si>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</si>
  <si>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</si>
  <si>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</si>
  <si>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</si>
  <si>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</si>
  <si>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</si>
  <si>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</si>
  <si>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</si>
  <si>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</si>
  <si>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</si>
  <si>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</si>
  <si>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</si>
  <si>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</si>
  <si>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</si>
  <si>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</si>
  <si>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</si>
  <si>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</si>
  <si>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</si>
  <si>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</si>
  <si>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</si>
  <si>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</si>
  <si>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</si>
  <si>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</si>
  <si>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</si>
  <si>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</si>
  <si>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</si>
  <si>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</si>
  <si>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</si>
  <si>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</si>
  <si>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</si>
  <si>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</si>
  <si>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</si>
  <si>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</si>
  <si>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</si>
  <si>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</si>
  <si>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</si>
  <si>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</si>
  <si>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</si>
  <si>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</si>
  <si>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</si>
  <si>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</si>
  <si>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</si>
  <si>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</si>
  <si>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</si>
  <si>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</si>
  <si>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</si>
  <si>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</si>
  <si>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</si>
  <si>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</si>
  <si>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</si>
  <si>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</si>
  <si>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</si>
  <si>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</si>
  <si>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</si>
  <si>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</si>
  <si>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</si>
  <si>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</si>
  <si>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</si>
  <si>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</si>
  <si>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</si>
  <si>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</si>
  <si>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</si>
  <si>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</si>
  <si>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</si>
  <si>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</si>
  <si>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</si>
  <si>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</si>
  <si>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</si>
  <si>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</si>
  <si>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</si>
  <si>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</si>
  <si>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</si>
  <si>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</si>
  <si>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</si>
  <si>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</si>
  <si>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</si>
  <si>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</si>
  <si>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</si>
  <si>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</si>
  <si>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</si>
  <si>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</si>
  <si>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</si>
  <si>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</si>
  <si>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</si>
  <si>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</si>
  <si>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</si>
  <si>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</si>
  <si>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</si>
  <si>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钢混</t>
  </si>
  <si>
    <t>北</t>
    <phoneticPr fontId="4" type="noConversion"/>
  </si>
  <si>
    <t>北京市朝阳区紫南家园小区</t>
    <phoneticPr fontId="4" type="noConversion"/>
  </si>
  <si>
    <t>50-60（含）</t>
  </si>
  <si>
    <t>14</t>
    <phoneticPr fontId="4" type="noConversion"/>
  </si>
  <si>
    <t>=</t>
    <phoneticPr fontId="146" type="noConversion"/>
  </si>
  <si>
    <t>估价对象周边有世纪东方嘉园、官悦欣园、官悦新城、金源公寓等居住小区，小区规模和社区发展完善程度较好，综合评价居住社区成熟度较好</t>
  </si>
  <si>
    <t>估价对象周边有世纪东方嘉园、官悦欣园、官悦新城、金源公寓等居住小区，小区规模和社区发展完善程度较好，综合评价居住社区成熟度较好</t>
    <phoneticPr fontId="35" type="noConversion"/>
  </si>
  <si>
    <t>估价对象紧邻城市次干道——大柳树路，临近地铁7号线（南楼梓庄站）；以估价对象为中心半径2公里范围内有30路、31路、34路、41路、561路、657路等多条公交线路，综合评价交通便捷度较好</t>
  </si>
  <si>
    <t>估价对象所在区域基础设施水平——六通</t>
  </si>
  <si>
    <t>估价对象所在区域基础设施水平——六通</t>
    <phoneticPr fontId="20" type="noConversion"/>
  </si>
  <si>
    <t>自然环境：翠城公园、窑洼湖公园等；人文环境：北京CBD国际高尔夫球会、北京欢乐谷、北京工业大学、北京联合大学等，综合评价环境状况好</t>
  </si>
  <si>
    <t>城市次干道——大柳树路</t>
    <phoneticPr fontId="20" type="noConversion"/>
  </si>
  <si>
    <t>六通</t>
  </si>
  <si>
    <t>南北</t>
  </si>
  <si>
    <r>
      <t>2/12</t>
    </r>
    <r>
      <rPr>
        <sz val="11"/>
        <rFont val="宋体"/>
        <family val="3"/>
        <charset val="134"/>
      </rPr>
      <t>（低楼层）</t>
    </r>
    <phoneticPr fontId="20" type="noConversion"/>
  </si>
  <si>
    <t>次</t>
  </si>
  <si>
    <t>次</t>
    <phoneticPr fontId="20" type="noConversion"/>
  </si>
  <si>
    <t>次</t>
    <phoneticPr fontId="20" type="noConversion"/>
  </si>
  <si>
    <r>
      <t>2/12</t>
    </r>
    <r>
      <rPr>
        <sz val="11"/>
        <color indexed="8"/>
        <rFont val="宋体"/>
        <family val="3"/>
        <charset val="134"/>
      </rPr>
      <t>（低楼层）</t>
    </r>
    <phoneticPr fontId="20" type="noConversion"/>
  </si>
  <si>
    <t>估价对象紧邻城市次干道——大柳树路，临近地铁7号线（南楼梓庄站）；以估价对象为中心半径2公里范围内有30路、31路、34路、41路、561路、657路等多条公交线路，综合评价交通便捷度较好</t>
    <phoneticPr fontId="35" type="noConversion"/>
  </si>
  <si>
    <t>自然环境：翠城公园、窑洼湖公园等；人文环境：北京CBD国际高尔夫球会、北京欢乐谷、北京工业大学、北京联合大学等，综合评价环境状况好</t>
    <phoneticPr fontId="35" type="noConversion"/>
  </si>
  <si>
    <t>北京市朝阳区紫南家园101号楼2门201号住宅用房</t>
    <phoneticPr fontId="4" type="noConversion"/>
  </si>
  <si>
    <t>北京市朝阳区紫南家园小区</t>
    <phoneticPr fontId="4" type="noConversion"/>
  </si>
  <si>
    <t>普通装修</t>
  </si>
  <si>
    <t>顶层/5</t>
    <phoneticPr fontId="20" type="noConversion"/>
  </si>
  <si>
    <r>
      <t>中楼层</t>
    </r>
    <r>
      <rPr>
        <sz val="11"/>
        <rFont val="Arial"/>
        <family val="2"/>
      </rPr>
      <t>/5</t>
    </r>
    <phoneticPr fontId="20" type="noConversion"/>
  </si>
  <si>
    <r>
      <t>中楼层</t>
    </r>
    <r>
      <rPr>
        <sz val="11"/>
        <rFont val="Arial"/>
        <family val="2"/>
      </rPr>
      <t>/6</t>
    </r>
    <phoneticPr fontId="20" type="noConversion"/>
  </si>
  <si>
    <t>中楼层/5</t>
    <phoneticPr fontId="20" type="noConversion"/>
  </si>
  <si>
    <r>
      <t>中楼层</t>
    </r>
    <r>
      <rPr>
        <sz val="11"/>
        <color indexed="8"/>
        <rFont val="Arial"/>
        <family val="2"/>
      </rPr>
      <t>/6</t>
    </r>
    <phoneticPr fontId="20" type="noConversion"/>
  </si>
  <si>
    <t>商业</t>
  </si>
  <si>
    <t>商业</t>
    <phoneticPr fontId="7" type="noConversion"/>
  </si>
  <si>
    <t>商务金融用地（商业类）</t>
  </si>
  <si>
    <t>不临58条商业街</t>
  </si>
  <si>
    <t>六通一平</t>
  </si>
  <si>
    <t>缺少</t>
  </si>
  <si>
    <t>通热</t>
  </si>
  <si>
    <t>楼层修正</t>
  </si>
  <si>
    <t>季度增幅（自定义）</t>
  </si>
  <si>
    <t>成本法</t>
  </si>
  <si>
    <t>未包含在土地购买价格中</t>
  </si>
  <si>
    <t>已包含在土地取得成本中</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</si>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</sst>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649735</xdr:colOff>
      <xdr:row>10</xdr:row>
      <xdr:rowOff>45070</xdr:rowOff>
    </xdr:to>
    <xdr:pic>
      <xdr:nvPicPr>
        <xdr:cNvPr id="31" name="图片 30"/>
        <xdr:cNvPicPr>
          <a:picLocks noChangeAspect="1"/>
        </xdr:cNvPicPr>
      </xdr:nvPicPr>
      <xdr:blipFill>
        <a:blip xmlns:r="http://schemas.openxmlformats.org/officeDocument/2006/relationships" r:embed="rId1"/>
        <a:stretch>
          <a:fillRect/>
        </a:stretch>
      </xdr:blipFill>
      <xdr:spPr>
        <a:xfrm>
          <a:off x="0" y="0"/>
          <a:ext cx="8161905" cy="1752381"/>
        </a:xfrm>
        <a:prstGeom prst="rect">
          <a:avLst/>
        </a:prstGeom>
      </xdr:spPr>
    </xdr:pic>
    <xdr:clientData/>
  </xdr:twoCellAnchor>
  <xdr:twoCellAnchor editAs="oneCell">
    <xdr:from>
      <xdr:col>7</xdr:col>
      <xdr:colOff>80872</xdr:colOff>
      <xdr:row>6</xdr:row>
      <xdr:rowOff>35944</xdr:rowOff>
    </xdr:from>
    <xdr:to>
      <xdr:col>17</xdr:col>
      <xdr:colOff>53202</xdr:colOff>
      <xdr:row>28</xdr:row>
      <xdr:rowOff>7459</xdr:rowOff>
    </xdr:to>
    <xdr:pic>
      <xdr:nvPicPr>
        <xdr:cNvPr id="32" name="图片 31"/>
        <xdr:cNvPicPr>
          <a:picLocks noChangeAspect="1"/>
        </xdr:cNvPicPr>
      </xdr:nvPicPr>
      <xdr:blipFill>
        <a:blip xmlns:r="http://schemas.openxmlformats.org/officeDocument/2006/relationships" r:embed="rId2"/>
        <a:stretch>
          <a:fillRect/>
        </a:stretch>
      </xdr:blipFill>
      <xdr:spPr>
        <a:xfrm>
          <a:off x="4861344" y="1060331"/>
          <a:ext cx="6801575" cy="3727600"/>
        </a:xfrm>
        <a:prstGeom prst="rect">
          <a:avLst/>
        </a:prstGeom>
      </xdr:spPr>
    </xdr:pic>
    <xdr:clientData/>
  </xdr:twoCellAnchor>
  <xdr:twoCellAnchor editAs="oneCell">
    <xdr:from>
      <xdr:col>0</xdr:col>
      <xdr:colOff>8987</xdr:colOff>
      <xdr:row>9</xdr:row>
      <xdr:rowOff>125803</xdr:rowOff>
    </xdr:from>
    <xdr:to>
      <xdr:col>7</xdr:col>
      <xdr:colOff>56015</xdr:colOff>
      <xdr:row>28</xdr:row>
      <xdr:rowOff>1</xdr:rowOff>
    </xdr:to>
    <xdr:pic>
      <xdr:nvPicPr>
        <xdr:cNvPr id="33" name="图片 32"/>
        <xdr:cNvPicPr>
          <a:picLocks noChangeAspect="1"/>
        </xdr:cNvPicPr>
      </xdr:nvPicPr>
      <xdr:blipFill>
        <a:blip xmlns:r="http://schemas.openxmlformats.org/officeDocument/2006/relationships" r:embed="rId3"/>
        <a:stretch>
          <a:fillRect/>
        </a:stretch>
      </xdr:blipFill>
      <xdr:spPr>
        <a:xfrm>
          <a:off x="8987" y="1662383"/>
          <a:ext cx="4827500" cy="3118090"/>
        </a:xfrm>
        <a:prstGeom prst="rect">
          <a:avLst/>
        </a:prstGeom>
      </xdr:spPr>
    </xdr:pic>
    <xdr:clientData/>
  </xdr:twoCellAnchor>
  <xdr:twoCellAnchor editAs="oneCell">
    <xdr:from>
      <xdr:col>0</xdr:col>
      <xdr:colOff>0</xdr:colOff>
      <xdr:row>28</xdr:row>
      <xdr:rowOff>0</xdr:rowOff>
    </xdr:from>
    <xdr:to>
      <xdr:col>11</xdr:col>
      <xdr:colOff>506878</xdr:colOff>
      <xdr:row>37</xdr:row>
      <xdr:rowOff>130087</xdr:rowOff>
    </xdr:to>
    <xdr:pic>
      <xdr:nvPicPr>
        <xdr:cNvPr id="34" name="图片 33"/>
        <xdr:cNvPicPr>
          <a:picLocks noChangeAspect="1"/>
        </xdr:cNvPicPr>
      </xdr:nvPicPr>
      <xdr:blipFill>
        <a:blip xmlns:r="http://schemas.openxmlformats.org/officeDocument/2006/relationships" r:embed="rId4"/>
        <a:stretch>
          <a:fillRect/>
        </a:stretch>
      </xdr:blipFill>
      <xdr:spPr>
        <a:xfrm>
          <a:off x="0" y="4780472"/>
          <a:ext cx="8019048" cy="1666667"/>
        </a:xfrm>
        <a:prstGeom prst="rect">
          <a:avLst/>
        </a:prstGeom>
      </xdr:spPr>
    </xdr:pic>
    <xdr:clientData/>
  </xdr:twoCellAnchor>
  <xdr:twoCellAnchor editAs="oneCell">
    <xdr:from>
      <xdr:col>7</xdr:col>
      <xdr:colOff>323491</xdr:colOff>
      <xdr:row>34</xdr:row>
      <xdr:rowOff>8986</xdr:rowOff>
    </xdr:from>
    <xdr:to>
      <xdr:col>17</xdr:col>
      <xdr:colOff>475759</xdr:colOff>
      <xdr:row>57</xdr:row>
      <xdr:rowOff>25558</xdr:rowOff>
    </xdr:to>
    <xdr:pic>
      <xdr:nvPicPr>
        <xdr:cNvPr id="35" name="图片 34"/>
        <xdr:cNvPicPr>
          <a:picLocks noChangeAspect="1"/>
        </xdr:cNvPicPr>
      </xdr:nvPicPr>
      <xdr:blipFill>
        <a:blip xmlns:r="http://schemas.openxmlformats.org/officeDocument/2006/relationships" r:embed="rId5"/>
        <a:stretch>
          <a:fillRect/>
        </a:stretch>
      </xdr:blipFill>
      <xdr:spPr>
        <a:xfrm>
          <a:off x="5103963" y="5813844"/>
          <a:ext cx="6981513" cy="3943389"/>
        </a:xfrm>
        <a:prstGeom prst="rect">
          <a:avLst/>
        </a:prstGeom>
      </xdr:spPr>
    </xdr:pic>
    <xdr:clientData/>
  </xdr:twoCellAnchor>
  <xdr:twoCellAnchor editAs="oneCell">
    <xdr:from>
      <xdr:col>0</xdr:col>
      <xdr:colOff>1</xdr:colOff>
      <xdr:row>38</xdr:row>
      <xdr:rowOff>0</xdr:rowOff>
    </xdr:from>
    <xdr:to>
      <xdr:col>7</xdr:col>
      <xdr:colOff>601245</xdr:colOff>
      <xdr:row>56</xdr:row>
      <xdr:rowOff>71887</xdr:rowOff>
    </xdr:to>
    <xdr:pic>
      <xdr:nvPicPr>
        <xdr:cNvPr id="36" name="图片 35"/>
        <xdr:cNvPicPr>
          <a:picLocks noChangeAspect="1"/>
        </xdr:cNvPicPr>
      </xdr:nvPicPr>
      <xdr:blipFill>
        <a:blip xmlns:r="http://schemas.openxmlformats.org/officeDocument/2006/relationships" r:embed="rId6"/>
        <a:stretch>
          <a:fillRect/>
        </a:stretch>
      </xdr:blipFill>
      <xdr:spPr>
        <a:xfrm>
          <a:off x="1" y="6487783"/>
          <a:ext cx="5381716" cy="3145047"/>
        </a:xfrm>
        <a:prstGeom prst="rect">
          <a:avLst/>
        </a:prstGeom>
      </xdr:spPr>
    </xdr:pic>
    <xdr:clientData/>
  </xdr:twoCellAnchor>
  <xdr:twoCellAnchor editAs="oneCell">
    <xdr:from>
      <xdr:col>0</xdr:col>
      <xdr:colOff>0</xdr:colOff>
      <xdr:row>57</xdr:row>
      <xdr:rowOff>26957</xdr:rowOff>
    </xdr:from>
    <xdr:to>
      <xdr:col>11</xdr:col>
      <xdr:colOff>611640</xdr:colOff>
      <xdr:row>66</xdr:row>
      <xdr:rowOff>128472</xdr:rowOff>
    </xdr:to>
    <xdr:pic>
      <xdr:nvPicPr>
        <xdr:cNvPr id="37" name="图片 36"/>
        <xdr:cNvPicPr>
          <a:picLocks noChangeAspect="1"/>
        </xdr:cNvPicPr>
      </xdr:nvPicPr>
      <xdr:blipFill>
        <a:blip xmlns:r="http://schemas.openxmlformats.org/officeDocument/2006/relationships" r:embed="rId7"/>
        <a:stretch>
          <a:fillRect/>
        </a:stretch>
      </xdr:blipFill>
      <xdr:spPr>
        <a:xfrm>
          <a:off x="0" y="9758632"/>
          <a:ext cx="8123810" cy="1638095"/>
        </a:xfrm>
        <a:prstGeom prst="rect">
          <a:avLst/>
        </a:prstGeom>
      </xdr:spPr>
    </xdr:pic>
    <xdr:clientData/>
  </xdr:twoCellAnchor>
  <xdr:twoCellAnchor editAs="oneCell">
    <xdr:from>
      <xdr:col>7</xdr:col>
      <xdr:colOff>539150</xdr:colOff>
      <xdr:row>62</xdr:row>
      <xdr:rowOff>89859</xdr:rowOff>
    </xdr:from>
    <xdr:to>
      <xdr:col>18</xdr:col>
      <xdr:colOff>479522</xdr:colOff>
      <xdr:row>86</xdr:row>
      <xdr:rowOff>158465</xdr:rowOff>
    </xdr:to>
    <xdr:pic>
      <xdr:nvPicPr>
        <xdr:cNvPr id="38" name="图片 37"/>
        <xdr:cNvPicPr>
          <a:picLocks noChangeAspect="1"/>
        </xdr:cNvPicPr>
      </xdr:nvPicPr>
      <xdr:blipFill>
        <a:blip xmlns:r="http://schemas.openxmlformats.org/officeDocument/2006/relationships" r:embed="rId8"/>
        <a:stretch>
          <a:fillRect/>
        </a:stretch>
      </xdr:blipFill>
      <xdr:spPr>
        <a:xfrm>
          <a:off x="5319622" y="10675189"/>
          <a:ext cx="7452542" cy="4166153"/>
        </a:xfrm>
        <a:prstGeom prst="rect">
          <a:avLst/>
        </a:prstGeom>
      </xdr:spPr>
    </xdr:pic>
    <xdr:clientData/>
  </xdr:twoCellAnchor>
  <xdr:twoCellAnchor editAs="oneCell">
    <xdr:from>
      <xdr:col>0</xdr:col>
      <xdr:colOff>0</xdr:colOff>
      <xdr:row>67</xdr:row>
      <xdr:rowOff>0</xdr:rowOff>
    </xdr:from>
    <xdr:to>
      <xdr:col>7</xdr:col>
      <xdr:colOff>600055</xdr:colOff>
      <xdr:row>85</xdr:row>
      <xdr:rowOff>134788</xdr:rowOff>
    </xdr:to>
    <xdr:pic>
      <xdr:nvPicPr>
        <xdr:cNvPr id="39" name="图片 38"/>
        <xdr:cNvPicPr>
          <a:picLocks noChangeAspect="1"/>
        </xdr:cNvPicPr>
      </xdr:nvPicPr>
      <xdr:blipFill>
        <a:blip xmlns:r="http://schemas.openxmlformats.org/officeDocument/2006/relationships" r:embed="rId9"/>
        <a:stretch>
          <a:fillRect/>
        </a:stretch>
      </xdr:blipFill>
      <xdr:spPr>
        <a:xfrm>
          <a:off x="0" y="11438986"/>
          <a:ext cx="5380527" cy="3207948"/>
        </a:xfrm>
        <a:prstGeom prst="rect">
          <a:avLst/>
        </a:prstGeom>
      </xdr:spPr>
    </xdr:pic>
    <xdr:clientData/>
  </xdr:twoCellAnchor>
  <xdr:twoCellAnchor editAs="oneCell">
    <xdr:from>
      <xdr:col>0</xdr:col>
      <xdr:colOff>0</xdr:colOff>
      <xdr:row>89</xdr:row>
      <xdr:rowOff>0</xdr:rowOff>
    </xdr:from>
    <xdr:to>
      <xdr:col>12</xdr:col>
      <xdr:colOff>385859</xdr:colOff>
      <xdr:row>129</xdr:row>
      <xdr:rowOff>75517</xdr:rowOff>
    </xdr:to>
    <xdr:pic>
      <xdr:nvPicPr>
        <xdr:cNvPr id="40" name="图片 39"/>
        <xdr:cNvPicPr>
          <a:picLocks noChangeAspect="1"/>
        </xdr:cNvPicPr>
      </xdr:nvPicPr>
      <xdr:blipFill>
        <a:blip xmlns:r="http://schemas.openxmlformats.org/officeDocument/2006/relationships" r:embed="rId10"/>
        <a:stretch>
          <a:fillRect/>
        </a:stretch>
      </xdr:blipFill>
      <xdr:spPr>
        <a:xfrm>
          <a:off x="0" y="15195071"/>
          <a:ext cx="8580953" cy="6904762"/>
        </a:xfrm>
        <a:prstGeom prst="rect">
          <a:avLst/>
        </a:prstGeom>
      </xdr:spPr>
    </xdr:pic>
    <xdr:clientData/>
  </xdr:twoCellAnchor>
  <xdr:twoCellAnchor editAs="oneCell">
    <xdr:from>
      <xdr:col>0</xdr:col>
      <xdr:colOff>0</xdr:colOff>
      <xdr:row>131</xdr:row>
      <xdr:rowOff>0</xdr:rowOff>
    </xdr:from>
    <xdr:to>
      <xdr:col>11</xdr:col>
      <xdr:colOff>392592</xdr:colOff>
      <xdr:row>140</xdr:row>
      <xdr:rowOff>53896</xdr:rowOff>
    </xdr:to>
    <xdr:pic>
      <xdr:nvPicPr>
        <xdr:cNvPr id="2" name="图片 1"/>
        <xdr:cNvPicPr>
          <a:picLocks noChangeAspect="1"/>
        </xdr:cNvPicPr>
      </xdr:nvPicPr>
      <xdr:blipFill>
        <a:blip xmlns:r="http://schemas.openxmlformats.org/officeDocument/2006/relationships" r:embed="rId11"/>
        <a:stretch>
          <a:fillRect/>
        </a:stretch>
      </xdr:blipFill>
      <xdr:spPr>
        <a:xfrm>
          <a:off x="0" y="22365778"/>
          <a:ext cx="7904762" cy="1590476"/>
        </a:xfrm>
        <a:prstGeom prst="rect">
          <a:avLst/>
        </a:prstGeom>
      </xdr:spPr>
    </xdr:pic>
    <xdr:clientData/>
  </xdr:twoCellAnchor>
  <xdr:twoCellAnchor editAs="oneCell">
    <xdr:from>
      <xdr:col>7</xdr:col>
      <xdr:colOff>566108</xdr:colOff>
      <xdr:row>136</xdr:row>
      <xdr:rowOff>134788</xdr:rowOff>
    </xdr:from>
    <xdr:to>
      <xdr:col>17</xdr:col>
      <xdr:colOff>320687</xdr:colOff>
      <xdr:row>159</xdr:row>
      <xdr:rowOff>57891</xdr:rowOff>
    </xdr:to>
    <xdr:pic>
      <xdr:nvPicPr>
        <xdr:cNvPr id="3" name="图片 2"/>
        <xdr:cNvPicPr>
          <a:picLocks noChangeAspect="1"/>
        </xdr:cNvPicPr>
      </xdr:nvPicPr>
      <xdr:blipFill>
        <a:blip xmlns:r="http://schemas.openxmlformats.org/officeDocument/2006/relationships" r:embed="rId12"/>
        <a:stretch>
          <a:fillRect/>
        </a:stretch>
      </xdr:blipFill>
      <xdr:spPr>
        <a:xfrm>
          <a:off x="5346580" y="23354222"/>
          <a:ext cx="6583824" cy="3849919"/>
        </a:xfrm>
        <a:prstGeom prst="rect">
          <a:avLst/>
        </a:prstGeom>
      </xdr:spPr>
    </xdr:pic>
    <xdr:clientData/>
  </xdr:twoCellAnchor>
  <xdr:twoCellAnchor editAs="oneCell">
    <xdr:from>
      <xdr:col>0</xdr:col>
      <xdr:colOff>0</xdr:colOff>
      <xdr:row>140</xdr:row>
      <xdr:rowOff>80873</xdr:rowOff>
    </xdr:from>
    <xdr:to>
      <xdr:col>7</xdr:col>
      <xdr:colOff>505980</xdr:colOff>
      <xdr:row>158</xdr:row>
      <xdr:rowOff>161745</xdr:rowOff>
    </xdr:to>
    <xdr:pic>
      <xdr:nvPicPr>
        <xdr:cNvPr id="4" name="图片 3"/>
        <xdr:cNvPicPr>
          <a:picLocks noChangeAspect="1"/>
        </xdr:cNvPicPr>
      </xdr:nvPicPr>
      <xdr:blipFill>
        <a:blip xmlns:r="http://schemas.openxmlformats.org/officeDocument/2006/relationships" r:embed="rId13"/>
        <a:stretch>
          <a:fillRect/>
        </a:stretch>
      </xdr:blipFill>
      <xdr:spPr>
        <a:xfrm>
          <a:off x="0" y="23983231"/>
          <a:ext cx="5286452" cy="3154033"/>
        </a:xfrm>
        <a:prstGeom prst="rect">
          <a:avLst/>
        </a:prstGeom>
      </xdr:spPr>
    </xdr:pic>
    <xdr:clientData/>
  </xdr:twoCellAnchor>
  <xdr:twoCellAnchor editAs="oneCell">
    <xdr:from>
      <xdr:col>0</xdr:col>
      <xdr:colOff>0</xdr:colOff>
      <xdr:row>160</xdr:row>
      <xdr:rowOff>0</xdr:rowOff>
    </xdr:from>
    <xdr:to>
      <xdr:col>11</xdr:col>
      <xdr:colOff>573545</xdr:colOff>
      <xdr:row>169</xdr:row>
      <xdr:rowOff>158658</xdr:rowOff>
    </xdr:to>
    <xdr:pic>
      <xdr:nvPicPr>
        <xdr:cNvPr id="5" name="图片 4"/>
        <xdr:cNvPicPr>
          <a:picLocks noChangeAspect="1"/>
        </xdr:cNvPicPr>
      </xdr:nvPicPr>
      <xdr:blipFill>
        <a:blip xmlns:r="http://schemas.openxmlformats.org/officeDocument/2006/relationships" r:embed="rId14"/>
        <a:stretch>
          <a:fillRect/>
        </a:stretch>
      </xdr:blipFill>
      <xdr:spPr>
        <a:xfrm>
          <a:off x="0" y="27316981"/>
          <a:ext cx="8085715" cy="1695238"/>
        </a:xfrm>
        <a:prstGeom prst="rect">
          <a:avLst/>
        </a:prstGeom>
      </xdr:spPr>
    </xdr:pic>
    <xdr:clientData/>
  </xdr:twoCellAnchor>
  <xdr:twoCellAnchor editAs="oneCell">
    <xdr:from>
      <xdr:col>7</xdr:col>
      <xdr:colOff>161746</xdr:colOff>
      <xdr:row>166</xdr:row>
      <xdr:rowOff>8985</xdr:rowOff>
    </xdr:from>
    <xdr:to>
      <xdr:col>16</xdr:col>
      <xdr:colOff>655316</xdr:colOff>
      <xdr:row>188</xdr:row>
      <xdr:rowOff>100189</xdr:rowOff>
    </xdr:to>
    <xdr:pic>
      <xdr:nvPicPr>
        <xdr:cNvPr id="6" name="图片 5"/>
        <xdr:cNvPicPr>
          <a:picLocks noChangeAspect="1"/>
        </xdr:cNvPicPr>
      </xdr:nvPicPr>
      <xdr:blipFill>
        <a:blip xmlns:r="http://schemas.openxmlformats.org/officeDocument/2006/relationships" r:embed="rId15"/>
        <a:stretch>
          <a:fillRect/>
        </a:stretch>
      </xdr:blipFill>
      <xdr:spPr>
        <a:xfrm>
          <a:off x="4942218" y="28350353"/>
          <a:ext cx="6639890" cy="3847289"/>
        </a:xfrm>
        <a:prstGeom prst="rect">
          <a:avLst/>
        </a:prstGeom>
      </xdr:spPr>
    </xdr:pic>
    <xdr:clientData/>
  </xdr:twoCellAnchor>
  <xdr:twoCellAnchor editAs="oneCell">
    <xdr:from>
      <xdr:col>0</xdr:col>
      <xdr:colOff>0</xdr:colOff>
      <xdr:row>170</xdr:row>
      <xdr:rowOff>0</xdr:rowOff>
    </xdr:from>
    <xdr:to>
      <xdr:col>7</xdr:col>
      <xdr:colOff>231489</xdr:colOff>
      <xdr:row>187</xdr:row>
      <xdr:rowOff>8986</xdr:rowOff>
    </xdr:to>
    <xdr:pic>
      <xdr:nvPicPr>
        <xdr:cNvPr id="7" name="图片 6"/>
        <xdr:cNvPicPr>
          <a:picLocks noChangeAspect="1"/>
        </xdr:cNvPicPr>
      </xdr:nvPicPr>
      <xdr:blipFill>
        <a:blip xmlns:r="http://schemas.openxmlformats.org/officeDocument/2006/relationships" r:embed="rId16"/>
        <a:stretch>
          <a:fillRect/>
        </a:stretch>
      </xdr:blipFill>
      <xdr:spPr>
        <a:xfrm>
          <a:off x="0" y="29024292"/>
          <a:ext cx="5011961" cy="2911416"/>
        </a:xfrm>
        <a:prstGeom prst="rect">
          <a:avLst/>
        </a:prstGeom>
      </xdr:spPr>
    </xdr:pic>
    <xdr:clientData/>
  </xdr:twoCellAnchor>
  <xdr:twoCellAnchor editAs="oneCell">
    <xdr:from>
      <xdr:col>0</xdr:col>
      <xdr:colOff>0</xdr:colOff>
      <xdr:row>189</xdr:row>
      <xdr:rowOff>0</xdr:rowOff>
    </xdr:from>
    <xdr:to>
      <xdr:col>11</xdr:col>
      <xdr:colOff>516402</xdr:colOff>
      <xdr:row>198</xdr:row>
      <xdr:rowOff>44372</xdr:rowOff>
    </xdr:to>
    <xdr:pic>
      <xdr:nvPicPr>
        <xdr:cNvPr id="8" name="图片 7"/>
        <xdr:cNvPicPr>
          <a:picLocks noChangeAspect="1"/>
        </xdr:cNvPicPr>
      </xdr:nvPicPr>
      <xdr:blipFill>
        <a:blip xmlns:r="http://schemas.openxmlformats.org/officeDocument/2006/relationships" r:embed="rId17"/>
        <a:stretch>
          <a:fillRect/>
        </a:stretch>
      </xdr:blipFill>
      <xdr:spPr>
        <a:xfrm>
          <a:off x="0" y="32268184"/>
          <a:ext cx="8028572" cy="1580952"/>
        </a:xfrm>
        <a:prstGeom prst="rect">
          <a:avLst/>
        </a:prstGeom>
      </xdr:spPr>
    </xdr:pic>
    <xdr:clientData/>
  </xdr:twoCellAnchor>
  <xdr:twoCellAnchor editAs="oneCell">
    <xdr:from>
      <xdr:col>7</xdr:col>
      <xdr:colOff>107094</xdr:colOff>
      <xdr:row>194</xdr:row>
      <xdr:rowOff>98844</xdr:rowOff>
    </xdr:from>
    <xdr:to>
      <xdr:col>17</xdr:col>
      <xdr:colOff>160178</xdr:colOff>
      <xdr:row>217</xdr:row>
      <xdr:rowOff>134787</xdr:rowOff>
    </xdr:to>
    <xdr:pic>
      <xdr:nvPicPr>
        <xdr:cNvPr id="9" name="图片 8"/>
        <xdr:cNvPicPr>
          <a:picLocks noChangeAspect="1"/>
        </xdr:cNvPicPr>
      </xdr:nvPicPr>
      <xdr:blipFill>
        <a:blip xmlns:r="http://schemas.openxmlformats.org/officeDocument/2006/relationships" r:embed="rId18"/>
        <a:stretch>
          <a:fillRect/>
        </a:stretch>
      </xdr:blipFill>
      <xdr:spPr>
        <a:xfrm>
          <a:off x="4887566" y="33220684"/>
          <a:ext cx="6882329" cy="3962759"/>
        </a:xfrm>
        <a:prstGeom prst="rect">
          <a:avLst/>
        </a:prstGeom>
      </xdr:spPr>
    </xdr:pic>
    <xdr:clientData/>
  </xdr:twoCellAnchor>
  <xdr:twoCellAnchor editAs="oneCell">
    <xdr:from>
      <xdr:col>0</xdr:col>
      <xdr:colOff>0</xdr:colOff>
      <xdr:row>199</xdr:row>
      <xdr:rowOff>0</xdr:rowOff>
    </xdr:from>
    <xdr:to>
      <xdr:col>7</xdr:col>
      <xdr:colOff>17971</xdr:colOff>
      <xdr:row>217</xdr:row>
      <xdr:rowOff>39342</xdr:rowOff>
    </xdr:to>
    <xdr:pic>
      <xdr:nvPicPr>
        <xdr:cNvPr id="10" name="图片 9"/>
        <xdr:cNvPicPr>
          <a:picLocks noChangeAspect="1"/>
        </xdr:cNvPicPr>
      </xdr:nvPicPr>
      <xdr:blipFill>
        <a:blip xmlns:r="http://schemas.openxmlformats.org/officeDocument/2006/relationships" r:embed="rId19"/>
        <a:stretch>
          <a:fillRect/>
        </a:stretch>
      </xdr:blipFill>
      <xdr:spPr>
        <a:xfrm>
          <a:off x="0" y="33975495"/>
          <a:ext cx="4798443" cy="311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估价对象为房地产，为所有。根据《不动产权证书》[]，估价对象建筑面积为124.24平方米，（分摊）出让国有建设用地使用权面积为平方米。估价对象用途为。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2018年2月27日（评估专业人员实地查勘之日）</v>
      </c>
    </row>
    <row r="10" spans="1:2">
      <c r="A10" s="1708" t="s">
        <v>1120</v>
      </c>
      <c r="B10" s="1695" t="str">
        <f>'预评函-1'!A13</f>
        <v>本次估价的“房地产价值”是指在正常市场情况下，在价值时点2018年2月27日，估价对象规划用途为，假定未设立法定优先受偿款下的房地产市场价值。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124.24</v>
      </c>
    </row>
    <row r="19" spans="1:2">
      <c r="A19" s="1708" t="s">
        <v>1129</v>
      </c>
      <c r="B19" s="1695">
        <f ca="1">'预评函-2（1）'!D7</f>
        <v>1907084</v>
      </c>
    </row>
    <row r="20" spans="1:2">
      <c r="A20" s="1708" t="s">
        <v>1167</v>
      </c>
      <c r="B20" s="1695" t="str">
        <f>'预评函-2（1）'!C7</f>
        <v>总价（元）</v>
      </c>
    </row>
    <row r="21" spans="1:2">
      <c r="A21" s="1708" t="s">
        <v>1130</v>
      </c>
      <c r="B21" s="1695">
        <f ca="1">'预评函-2（1）'!D9</f>
        <v>15350</v>
      </c>
    </row>
    <row r="22" spans="1:2">
      <c r="A22" s="1708" t="s">
        <v>1131</v>
      </c>
      <c r="B22" s="1695" t="str">
        <f ca="1">'预评函-2（1）'!D8</f>
        <v>壹佰玖拾万柒仟零捌拾肆元整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1907084</v>
      </c>
    </row>
    <row r="30" spans="1:2">
      <c r="A30" s="1708" t="s">
        <v>1137</v>
      </c>
      <c r="B30" s="1695" t="str">
        <f ca="1">'预评函-2（1）'!D16</f>
        <v>壹佰玖拾万柒仟零捌拾肆元整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1476095</v>
      </c>
    </row>
    <row r="38" spans="1:2">
      <c r="A38" s="1708" t="s">
        <v>1145</v>
      </c>
      <c r="B38" s="1695">
        <f ca="1">'预评函-2（2）'!E4</f>
        <v>11881</v>
      </c>
    </row>
    <row r="39" spans="1:2">
      <c r="A39" s="1708" t="s">
        <v>1146</v>
      </c>
      <c r="B39" s="1695" t="str">
        <f ca="1">'预评函-2（2）'!D5</f>
        <v>壹佰肆拾柒万陆仟零玖拾伍元整</v>
      </c>
    </row>
    <row r="40" spans="1:2">
      <c r="A40" s="1708" t="s">
        <v>1147</v>
      </c>
      <c r="B40" s="1695">
        <f ca="1">'预评函-2（2）'!F4</f>
        <v>430989</v>
      </c>
    </row>
    <row r="41" spans="1:2">
      <c r="A41" s="1708" t="s">
        <v>1148</v>
      </c>
      <c r="B41" s="1695">
        <f ca="1">'预评函-2（2）'!G4</f>
        <v>3469</v>
      </c>
    </row>
    <row r="42" spans="1:2" s="1705" customFormat="1" ht="15.75" thickBot="1">
      <c r="A42" s="1709" t="s">
        <v>1149</v>
      </c>
      <c r="B42" s="1697" t="str">
        <f ca="1">'预评函-2（2）'!F5</f>
        <v>肆拾叁万零玖佰捌拾玖元整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15350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C58" sqref="C58"/>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43158</v>
      </c>
      <c r="C2" s="2005" t="s">
        <v>1550</v>
      </c>
      <c r="D2" s="1089">
        <v>43158</v>
      </c>
      <c r="E2" s="1065"/>
      <c r="F2" s="1065"/>
      <c r="G2" s="1689"/>
      <c r="H2" s="1021"/>
    </row>
    <row r="3" spans="1:10" ht="13.5" thickBot="1">
      <c r="A3" s="2006" t="s">
        <v>1551</v>
      </c>
      <c r="B3" s="2007" t="s">
        <v>2814</v>
      </c>
      <c r="C3" s="1066">
        <f ca="1">SUMIF(注册房地产估价师,B3,估价师及机构信息!B3:B24)</f>
        <v>1119970111</v>
      </c>
      <c r="D3" s="2007" t="s">
        <v>2897</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2931</v>
      </c>
      <c r="D9" s="2029"/>
      <c r="E9" s="1011" t="s">
        <v>1565</v>
      </c>
      <c r="F9" s="997" t="s">
        <v>221</v>
      </c>
      <c r="G9" s="1013"/>
    </row>
    <row r="10" spans="1:10" ht="13.5" thickBot="1">
      <c r="A10" s="2813"/>
      <c r="B10" s="345" t="s">
        <v>1566</v>
      </c>
      <c r="C10" s="2828"/>
      <c r="D10" s="2829"/>
      <c r="E10" s="2030" t="s">
        <v>1567</v>
      </c>
      <c r="F10" s="1014" t="s">
        <v>211</v>
      </c>
      <c r="G10" s="1015"/>
    </row>
    <row r="11" spans="1:10" ht="13.5" thickBot="1">
      <c r="A11" s="2813"/>
      <c r="B11" s="2031" t="s">
        <v>1568</v>
      </c>
      <c r="C11" s="2830"/>
      <c r="D11" s="2831"/>
      <c r="E11" s="1023"/>
      <c r="F11" s="1022"/>
      <c r="G11" s="1075"/>
    </row>
    <row r="12" spans="1:10" ht="24.75" thickBot="1">
      <c r="A12" s="2817" t="s">
        <v>1569</v>
      </c>
      <c r="B12" s="2032" t="s">
        <v>1570</v>
      </c>
      <c r="C12" s="1017">
        <v>124.24</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3.5</v>
      </c>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43158</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2809</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2810</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124.24</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2930</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40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19.5</v>
      </c>
      <c r="C13" s="2102"/>
      <c r="D13" s="2103" t="s">
        <v>1664</v>
      </c>
      <c r="E13" s="39">
        <f>成本法!C10</f>
        <v>14909</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0.67500000000000004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372720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v>
      </c>
      <c r="F20" s="1239"/>
      <c r="G20" s="1861"/>
      <c r="H20" s="2849" t="s">
        <v>2872</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2873</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2874</v>
      </c>
      <c r="I22" s="2749" t="s">
        <v>2904</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2875</v>
      </c>
      <c r="I23" s="2749" t="s">
        <v>2876</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2877</v>
      </c>
      <c r="I24" s="2751">
        <f>ROUND(1-(1-I21)*I22/I23,2)</f>
        <v>0.77</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2878</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1999</v>
      </c>
      <c r="C26" s="1861"/>
      <c r="D26" s="2100" t="s">
        <v>1692</v>
      </c>
      <c r="E26" s="40">
        <v>0.02</v>
      </c>
      <c r="F26" s="1858" t="s">
        <v>1690</v>
      </c>
      <c r="G26" s="2083"/>
      <c r="H26" s="2850" t="s">
        <v>2879</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2880</v>
      </c>
      <c r="I27" s="2755" t="s">
        <v>2881</v>
      </c>
      <c r="J27" s="2755" t="s">
        <v>2882</v>
      </c>
      <c r="K27" s="2755" t="s">
        <v>2883</v>
      </c>
      <c r="L27" s="2755" t="s">
        <v>2884</v>
      </c>
      <c r="N27" s="1861"/>
      <c r="AE27" s="1239"/>
      <c r="AF27" s="1239"/>
      <c r="AG27" s="1239"/>
      <c r="AH27" s="1239"/>
      <c r="AI27" s="1239"/>
      <c r="AJ27" s="1239"/>
      <c r="AK27" s="1239"/>
      <c r="AL27" s="1239"/>
      <c r="AM27" s="1239"/>
      <c r="AN27" s="1239"/>
      <c r="AO27" s="1239"/>
    </row>
    <row r="28" spans="1:41" ht="15" thickBot="1">
      <c r="A28" s="2115" t="s">
        <v>1695</v>
      </c>
      <c r="B28" s="2116" t="s">
        <v>2808</v>
      </c>
      <c r="C28" s="1239"/>
      <c r="D28" s="2117" t="s">
        <v>1696</v>
      </c>
      <c r="E28" s="990">
        <v>0.2</v>
      </c>
      <c r="G28" s="2083"/>
      <c r="H28" s="2754" t="s">
        <v>2885</v>
      </c>
      <c r="I28" s="2755">
        <v>100</v>
      </c>
      <c r="J28" s="2755" t="s">
        <v>2886</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3.25</v>
      </c>
      <c r="C29" s="1239"/>
      <c r="D29" s="2104" t="s">
        <v>1697</v>
      </c>
      <c r="E29" s="989">
        <f>E30+E31</f>
        <v>5.6000000000000001E-2</v>
      </c>
      <c r="F29" s="1855"/>
      <c r="G29" s="2083"/>
      <c r="H29" s="2754" t="s">
        <v>2887</v>
      </c>
      <c r="I29" s="2755">
        <v>100</v>
      </c>
      <c r="J29" s="2755" t="s">
        <v>2886</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2888</v>
      </c>
      <c r="I30" s="2755">
        <v>100</v>
      </c>
      <c r="J30" s="2755" t="s">
        <v>2886</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7" t="s">
        <v>2878</v>
      </c>
      <c r="I31" s="2758">
        <f>1-I25</f>
        <v>0.5</v>
      </c>
      <c r="J31" s="2755" t="s">
        <v>2877</v>
      </c>
      <c r="K31" s="2759">
        <v>0.85</v>
      </c>
      <c r="L31" s="2760"/>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19.5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124.24</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365</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2" sqref="G12"/>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2907</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2920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2890</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2910</v>
      </c>
      <c r="D8" s="2158"/>
      <c r="E8" s="2158"/>
      <c r="F8" s="1248"/>
      <c r="G8" s="1248"/>
      <c r="H8" s="2148"/>
      <c r="I8" s="2148"/>
      <c r="J8" s="2148"/>
      <c r="K8" s="2148"/>
      <c r="L8" s="2148"/>
      <c r="M8" s="2148"/>
      <c r="N8" s="2148"/>
      <c r="O8" s="2148"/>
      <c r="P8" s="2148"/>
      <c r="Q8" s="2148"/>
      <c r="R8" s="2148"/>
    </row>
    <row r="9" spans="1:29" ht="81">
      <c r="A9" s="412"/>
      <c r="B9" s="1893" t="s">
        <v>1756</v>
      </c>
      <c r="C9" s="2727" t="s">
        <v>2921</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估价对象周边有世纪东方嘉园、官悦欣园、官悦新城、金源公寓等居住小区，小区规模和社区发展完善程度较好，综合评价居住社区成熟度较好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估价对象紧邻城市次干道——大柳树路，临近地铁7号线（南楼梓庄站）；以估价对象为中心半径2公里范围内有30路、31路、34路、41路、561路、657路等多条公交线路，综合评价交通便捷度较好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85.5">
      <c r="A20" s="630"/>
      <c r="B20" s="2187" t="s">
        <v>1766</v>
      </c>
      <c r="C20" s="2185" t="str">
        <f>C9</f>
        <v>自然环境：翠城公园、窑洼湖公园等；人文环境：北京CBD国际高尔夫球会、北京欢乐谷、北京工业大学、北京联合大学等，综合评价环境状况好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2812</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城市次干道——大柳树路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2861</v>
      </c>
      <c r="D4" s="2205" t="s">
        <v>2939</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30" t="s">
        <v>1776</v>
      </c>
      <c r="B5" s="2875">
        <v>25</v>
      </c>
      <c r="C5" s="2937">
        <v>60</v>
      </c>
      <c r="D5" s="2934">
        <f>100-C5</f>
        <v>40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60</v>
      </c>
      <c r="D17" s="57">
        <f>SUM(D5:D16)</f>
        <v>40</v>
      </c>
      <c r="E17" s="2201"/>
      <c r="F17" s="2201"/>
      <c r="G17" s="2201"/>
      <c r="H17" s="2201"/>
      <c r="I17" s="2201"/>
    </row>
    <row r="18" spans="1:35" ht="15.75" thickBot="1">
      <c r="A18" s="2210" t="s">
        <v>1794</v>
      </c>
      <c r="B18" s="2211"/>
      <c r="C18" s="58">
        <f>ROUND(C17/SUM(C17:D17),2)</f>
        <v>0.6</v>
      </c>
      <c r="D18" s="58">
        <f>1-C18</f>
        <v>0.4</v>
      </c>
      <c r="E18" s="2201"/>
      <c r="F18" s="2201"/>
      <c r="G18" s="2201"/>
      <c r="H18" s="2201"/>
      <c r="I18" s="2201"/>
    </row>
    <row r="19" spans="1:35" ht="15">
      <c r="A19" s="2212" t="s">
        <v>1795</v>
      </c>
      <c r="B19" s="2213" t="s">
        <v>1796</v>
      </c>
      <c r="C19" s="59">
        <f ca="1">SUMIF(INDIRECT("'"&amp;C4&amp;"'"&amp;"!A:A"),结果表!B19,INDIRECT("'"&amp;C4&amp;"'"&amp;"!B:B"))</f>
        <v>1754769</v>
      </c>
      <c r="D19" s="60">
        <f ca="1">SUMIF(INDIRECT("'"&amp;D4&amp;"'"&amp;"!A:A"),结果表!B19,INDIRECT("'"&amp;D4&amp;"'"&amp;"!B:B"))</f>
        <v>2135640</v>
      </c>
      <c r="E19" s="2212" t="s">
        <v>1797</v>
      </c>
      <c r="F19" s="2213" t="s">
        <v>1796</v>
      </c>
      <c r="G19" s="61">
        <f ca="1">ROUND(C19*$C$18+D19*$D$18,0)</f>
        <v>1907117</v>
      </c>
      <c r="H19" s="2214" t="str">
        <f>'数据-取费表'!B3</f>
        <v>元</v>
      </c>
      <c r="I19" s="2201"/>
    </row>
    <row r="20" spans="1:35" ht="15">
      <c r="A20" s="2215"/>
      <c r="B20" s="2216" t="s">
        <v>1798</v>
      </c>
      <c r="C20" s="62">
        <f ca="1">SUMIF(INDIRECT("'"&amp;C4&amp;"'"&amp;"!A:A"),结果表!B20,INDIRECT("'"&amp;C4&amp;"'"&amp;"!B:B"))</f>
        <v>14124</v>
      </c>
      <c r="D20" s="63">
        <f ca="1">SUMIF(INDIRECT("'"&amp;D4&amp;"'"&amp;"!A:A"),结果表!B20,INDIRECT("'"&amp;D4&amp;"'"&amp;"!B:B"))</f>
        <v>17190</v>
      </c>
      <c r="E20" s="2215"/>
      <c r="F20" s="2216" t="s">
        <v>1798</v>
      </c>
      <c r="G20" s="64">
        <f ca="1">ROUND(C20*$C$18+D20*$D$18,0)</f>
        <v>15350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0.21704908167399806</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2871</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15350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11881</v>
      </c>
      <c r="D34" s="1092">
        <f ca="1">IF(D33="自定义",ROUND(C34/C32,3),1-D35)</f>
        <v>0.77400000000000002</v>
      </c>
      <c r="E34" s="2239" t="s">
        <v>1811</v>
      </c>
      <c r="F34" s="1834">
        <v>2000</v>
      </c>
      <c r="G34" s="2201"/>
      <c r="H34" s="2201"/>
      <c r="I34" s="2201"/>
    </row>
    <row r="35" spans="1:16" ht="15.75" hidden="1" thickBot="1">
      <c r="A35" s="2240"/>
      <c r="B35" s="2241" t="s">
        <v>1812</v>
      </c>
      <c r="C35" s="74">
        <f ca="1">IF(D33="自定义",F35,ROUND(C32*D35,0))</f>
        <v>3469</v>
      </c>
      <c r="D35" s="1091">
        <f ca="1">IF(D33="自定义",ROUND(C35/C32,3),IF(D33="成本法成本比率",成本法!C56,IF(D33="收益法收益比率",收益法!J38,收益法!J41)))</f>
        <v>0.22600000000000001</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1907084</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43158</v>
      </c>
      <c r="N47" s="2867"/>
      <c r="O47" s="2867"/>
      <c r="P47" s="1851"/>
    </row>
    <row r="48" spans="1:16" ht="25.5" hidden="1">
      <c r="A48" s="2951" t="s">
        <v>1837</v>
      </c>
      <c r="B48" s="2952"/>
      <c r="C48" s="2952"/>
      <c r="D48" s="56">
        <f ca="1">IF(H48="情况1",0,IF(H48="情况2",D52,IF(H48="情况3",D53,IF(H48="情况4",D54))))</f>
        <v>101711</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1907084</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101711</v>
      </c>
      <c r="E52" s="10" t="s">
        <v>1854</v>
      </c>
      <c r="F52" s="101">
        <f>'数据-取费表'!E29</f>
        <v>5.6000000000000001E-2</v>
      </c>
      <c r="G52" s="2268"/>
      <c r="H52" s="2201"/>
      <c r="I52" s="2266"/>
      <c r="J52" s="1889">
        <v>1</v>
      </c>
      <c r="K52" s="2855" t="s">
        <v>1855</v>
      </c>
      <c r="L52" s="2855"/>
      <c r="M52" s="779">
        <f ca="1">D48</f>
        <v>101711</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101711</v>
      </c>
      <c r="E53" s="10" t="s">
        <v>1854</v>
      </c>
      <c r="F53" s="101">
        <f>'数据-取费表'!E29</f>
        <v>5.6000000000000001E-2</v>
      </c>
      <c r="G53" s="2268"/>
      <c r="H53" s="2201"/>
      <c r="I53" s="2266"/>
      <c r="J53" s="1889">
        <v>2</v>
      </c>
      <c r="K53" s="2855" t="s">
        <v>1858</v>
      </c>
      <c r="L53" s="2855"/>
      <c r="M53" s="779">
        <f t="shared" ref="M53:O54" ca="1" si="1">D55</f>
        <v>954</v>
      </c>
      <c r="N53" s="1889" t="str">
        <f t="shared" si="1"/>
        <v>销售额×税（费）率</v>
      </c>
      <c r="O53" s="780">
        <f t="shared" si="1"/>
        <v>5.0000000000000001E-4</v>
      </c>
      <c r="P53" s="1851"/>
    </row>
    <row r="54" spans="1:16" ht="12" hidden="1" customHeight="1">
      <c r="A54" s="100" t="s">
        <v>1859</v>
      </c>
      <c r="B54" s="2931" t="s">
        <v>1860</v>
      </c>
      <c r="C54" s="2823"/>
      <c r="D54" s="99">
        <f ca="1">C68</f>
        <v>101711</v>
      </c>
      <c r="E54" s="20" t="s">
        <v>1861</v>
      </c>
      <c r="F54" s="101">
        <f>'数据-取费表'!E29</f>
        <v>5.6000000000000001E-2</v>
      </c>
      <c r="G54" s="2268"/>
      <c r="H54" s="2269"/>
      <c r="I54" s="2266"/>
      <c r="J54" s="1889">
        <v>3</v>
      </c>
      <c r="K54" s="2855" t="s">
        <v>1862</v>
      </c>
      <c r="L54" s="2855"/>
      <c r="M54" s="779">
        <f t="shared" ca="1" si="1"/>
        <v>1079409</v>
      </c>
      <c r="N54" s="1889" t="str">
        <f t="shared" si="1"/>
        <v>增值额×税（费）率</v>
      </c>
      <c r="O54" s="781" t="str">
        <f t="shared" si="1"/>
        <v>——</v>
      </c>
      <c r="P54" s="1851"/>
    </row>
    <row r="55" spans="1:16" ht="24" hidden="1" customHeight="1">
      <c r="A55" s="2815" t="s">
        <v>1863</v>
      </c>
      <c r="B55" s="2952"/>
      <c r="C55" s="2952"/>
      <c r="D55" s="102">
        <f ca="1">IF(H55="个人住宅",0,ROUND(D45*I55,0))</f>
        <v>954</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19071</v>
      </c>
      <c r="N55" s="1892" t="str">
        <f>E59</f>
        <v>销售额×税（费）率</v>
      </c>
      <c r="O55" s="783">
        <f>F59</f>
        <v>0.01</v>
      </c>
      <c r="P55" s="1851"/>
    </row>
    <row r="56" spans="1:16" ht="24.75" hidden="1">
      <c r="A56" s="2815" t="s">
        <v>1866</v>
      </c>
      <c r="B56" s="2952"/>
      <c r="C56" s="2952"/>
      <c r="D56" s="102">
        <f ca="1">IF(H56="个人住宅",D57,D58)</f>
        <v>1079409</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1201145</v>
      </c>
      <c r="O57" s="2273"/>
      <c r="P57" s="1847" t="e">
        <f ca="1">N57/M49</f>
        <v>#VALUE!</v>
      </c>
    </row>
    <row r="58" spans="1:16" ht="24.75" hidden="1">
      <c r="A58" s="100" t="s">
        <v>1852</v>
      </c>
      <c r="B58" s="2940" t="s">
        <v>1872</v>
      </c>
      <c r="C58" s="2941"/>
      <c r="D58" s="102">
        <f ca="1">IF(H58="转让取得",C81,C97)</f>
        <v>1079409</v>
      </c>
      <c r="E58" s="10" t="s">
        <v>1867</v>
      </c>
      <c r="F58" s="14" t="s">
        <v>48</v>
      </c>
      <c r="G58" s="2268"/>
      <c r="H58" s="2271" t="s">
        <v>1873</v>
      </c>
      <c r="I58" s="1023"/>
      <c r="J58" s="2855"/>
      <c r="K58" s="2855"/>
      <c r="L58" s="2272" t="s">
        <v>1874</v>
      </c>
      <c r="M58" s="786"/>
      <c r="N58" s="2274" t="str">
        <f ca="1">IF(H19="元",NUMBERSTRING(INT(N57),2)&amp;"元整",NUMBERSTRING(INT(N57*10000),2)&amp;"元整")</f>
        <v>壹佰贰拾万壹仟壹佰肆拾伍元整</v>
      </c>
      <c r="O58" s="2275"/>
      <c r="P58" s="1851"/>
    </row>
    <row r="59" spans="1:16" ht="26.25" hidden="1" thickBot="1">
      <c r="A59" s="2816" t="s">
        <v>1875</v>
      </c>
      <c r="B59" s="2819"/>
      <c r="C59" s="2819"/>
      <c r="D59" s="105">
        <f ca="1">IF(H59="非个人房产","——",IF(H59="个人住宅",0,ROUND(D45*I59,0)))</f>
        <v>19071</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1816270</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1907084</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1816270</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101711</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1816270</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10898</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10898</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1805372</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165.66085520278949</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1079409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1816270</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10898</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10898</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1805372</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165.66085520278949</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1079409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收益法</v>
      </c>
      <c r="D100" s="722" t="str">
        <f>D4</f>
        <v>成本法</v>
      </c>
      <c r="E100" s="2201"/>
      <c r="F100" s="2899" t="s">
        <v>1937</v>
      </c>
      <c r="G100" s="2901"/>
      <c r="H100" s="2899" t="s">
        <v>1938</v>
      </c>
      <c r="I100" s="2900"/>
    </row>
    <row r="101" spans="1:35" ht="15.75" hidden="1">
      <c r="A101" s="2919" t="s">
        <v>1939</v>
      </c>
      <c r="B101" s="2296" t="str">
        <f>IF(H19="元","总价（元）","总价（万元）")</f>
        <v>总价（元）</v>
      </c>
      <c r="C101" s="721">
        <f ca="1">C19</f>
        <v>1754769</v>
      </c>
      <c r="D101" s="722">
        <f ca="1">D19</f>
        <v>2135640</v>
      </c>
      <c r="E101" s="2201"/>
      <c r="F101" s="2899" t="str">
        <f>项目基本情况!I1</f>
        <v>房地产</v>
      </c>
      <c r="G101" s="2901"/>
      <c r="H101" s="2960">
        <f>项目基本情况!C12</f>
        <v>124.24</v>
      </c>
      <c r="I101" s="2900"/>
    </row>
    <row r="102" spans="1:35" ht="15.75" hidden="1">
      <c r="A102" s="2919"/>
      <c r="B102" s="2296" t="s">
        <v>1940</v>
      </c>
      <c r="C102" s="723">
        <f ca="1">C20</f>
        <v>14124</v>
      </c>
      <c r="D102" s="724">
        <f ca="1">D20</f>
        <v>17190</v>
      </c>
      <c r="E102" s="2201"/>
      <c r="F102" s="2974" t="s">
        <v>1941</v>
      </c>
      <c r="G102" s="2975"/>
      <c r="H102" s="2297" t="str">
        <f>C106</f>
        <v>总价（元）</v>
      </c>
      <c r="I102" s="1868">
        <f ca="1">H121</f>
        <v>1907084</v>
      </c>
    </row>
    <row r="103" spans="1:35" ht="15" hidden="1">
      <c r="A103" s="2919" t="s">
        <v>1942</v>
      </c>
      <c r="B103" s="2298" t="str">
        <f>B101</f>
        <v>总价（元）</v>
      </c>
      <c r="C103" s="725">
        <f ca="1">H121</f>
        <v>1907084</v>
      </c>
      <c r="D103" s="726"/>
      <c r="E103" s="2201"/>
      <c r="F103" s="2974"/>
      <c r="G103" s="2975"/>
      <c r="H103" s="2297" t="s">
        <v>1940</v>
      </c>
      <c r="I103" s="1051">
        <f ca="1">I121</f>
        <v>15350</v>
      </c>
    </row>
    <row r="104" spans="1:35" ht="16.5" hidden="1" thickBot="1">
      <c r="A104" s="2920"/>
      <c r="B104" s="2299" t="s">
        <v>1940</v>
      </c>
      <c r="C104" s="727">
        <f ca="1">I121</f>
        <v>15350</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1907084</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15350</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1907084</v>
      </c>
    </row>
    <row r="111" spans="1:35" ht="15" hidden="1">
      <c r="A111" s="2888" t="s">
        <v>1949</v>
      </c>
      <c r="B111" s="2889"/>
      <c r="C111" s="2300" t="str">
        <f>C108</f>
        <v>总额（元）</v>
      </c>
      <c r="D111" s="638">
        <f>C38</f>
        <v>0</v>
      </c>
      <c r="E111" s="2201"/>
      <c r="F111" s="2870"/>
      <c r="G111" s="2871"/>
      <c r="H111" s="2297" t="s">
        <v>1940</v>
      </c>
      <c r="I111" s="2303">
        <f ca="1">D113</f>
        <v>15350</v>
      </c>
    </row>
    <row r="112" spans="1:35" ht="26.25" hidden="1" customHeight="1">
      <c r="A112" s="2927" t="str">
        <f>IF(项目基本情况!F5="已注销","——","3.房地产抵押价值")</f>
        <v>3.房地产抵押价值</v>
      </c>
      <c r="B112" s="2928"/>
      <c r="C112" s="2297" t="str">
        <f>B101</f>
        <v>总价（元）</v>
      </c>
      <c r="D112" s="1052">
        <f ca="1">IF(A112="——","——",D106-D108)</f>
        <v>1907084</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15350</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124.24</v>
      </c>
      <c r="C121" s="1893">
        <f>项目基本情况!C13</f>
        <v>0</v>
      </c>
      <c r="D121" s="1893">
        <f ca="1">ROUND(IF(B32="总价",C34,IF('数据-取费表'!B3="万元",E121*B121/10000,E121*B121)),0)</f>
        <v>1476095</v>
      </c>
      <c r="E121" s="1893">
        <f ca="1">ROUND(IF(B32="楼面单价",C34,IF(H19="元",D121/B121,D121*10000/B121)),0)</f>
        <v>11881</v>
      </c>
      <c r="F121" s="1893">
        <f ca="1">ROUND(IF(B32="总价",C35,IF('数据-取费表'!B3="万元",G121*B121/10000,G121*B121)),0)</f>
        <v>430989</v>
      </c>
      <c r="G121" s="1893">
        <f ca="1">ROUND(IF(B32="楼面单价",C35,IF(H19="元",F121/B121,F121*10000/B121)),0)</f>
        <v>3469</v>
      </c>
      <c r="H121" s="1893">
        <f ca="1">ROUND(IF(B32="总价",C32,IF('数据-取费表'!B3="万元",I121*B121/10000,I121*B121)),0)</f>
        <v>1907084</v>
      </c>
      <c r="I121" s="638">
        <f ca="1">ROUND(IF(B32="楼面单价",C32,IF(H19="元",H121/B121,H121*10000/B121)),0)</f>
        <v>15350</v>
      </c>
    </row>
    <row r="122" spans="1:15" ht="14.25" hidden="1">
      <c r="A122" s="2879" t="s">
        <v>1959</v>
      </c>
      <c r="B122" s="2875"/>
      <c r="C122" s="2875"/>
      <c r="D122" s="2911" t="str">
        <f ca="1">IF(H19="元",NUMBERSTRING(INT(D121),2)&amp;"元整",NUMBERSTRING(INT(D121*10000),2)&amp;"元整")</f>
        <v>壹佰肆拾柒万陆仟零玖拾伍元整</v>
      </c>
      <c r="E122" s="2912"/>
      <c r="F122" s="2911" t="str">
        <f ca="1">IF(H19="元",NUMBERSTRING(INT(F121),2)&amp;"元整",NUMBERSTRING(INT(F121*10000),2)&amp;"元整")</f>
        <v>肆拾叁万零玖佰捌拾玖元整</v>
      </c>
      <c r="G122" s="2912"/>
      <c r="H122" s="2911" t="str">
        <f ca="1">IF(H19="元",NUMBERSTRING(INT(H121),2)&amp;"元整",NUMBERSTRING(INT(H121*10000),2)&amp;"元整")</f>
        <v>壹佰玖拾万柒仟零捌拾肆元整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1907084</v>
      </c>
      <c r="E125" s="2914"/>
      <c r="F125" s="2914"/>
      <c r="G125" s="2914"/>
      <c r="H125" s="2914"/>
      <c r="I125" s="2963"/>
    </row>
    <row r="126" spans="1:15" ht="14.25" hidden="1">
      <c r="A126" s="2879" t="s">
        <v>1959</v>
      </c>
      <c r="B126" s="2875"/>
      <c r="C126" s="2875"/>
      <c r="D126" s="2964">
        <f ca="1">I111</f>
        <v>15350</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2868</v>
      </c>
      <c r="E134" s="2309">
        <f ca="1">G20-ROUND(F134*0.1,0)</f>
        <v>13815</v>
      </c>
      <c r="F134" s="2309">
        <f ca="1">G20</f>
        <v>15350</v>
      </c>
      <c r="G134" s="2309"/>
      <c r="H134" s="2310"/>
      <c r="I134" s="2311"/>
    </row>
    <row r="135" spans="1:9" ht="21.75" hidden="1" customHeight="1">
      <c r="A135" s="2312">
        <v>2</v>
      </c>
      <c r="B135" s="2313"/>
      <c r="C135" s="2313"/>
      <c r="D135" s="2309"/>
      <c r="E135" s="2309">
        <f>'数据-取费表'!B5-结果表!F135</f>
        <v>121.33</v>
      </c>
      <c r="F135" s="2309">
        <v>2.91</v>
      </c>
      <c r="G135" s="2739" t="s">
        <v>2869</v>
      </c>
      <c r="H135" s="2740" t="s">
        <v>2870</v>
      </c>
      <c r="I135" s="2311"/>
    </row>
    <row r="136" spans="1:9" ht="21.75" hidden="1" customHeight="1">
      <c r="A136" s="2312">
        <v>3</v>
      </c>
      <c r="B136" s="2313"/>
      <c r="C136" s="2313"/>
      <c r="D136" s="2309"/>
      <c r="E136" s="2309">
        <f ca="1">ROUND(E134*E135,0)</f>
        <v>1676174</v>
      </c>
      <c r="F136" s="2309">
        <f ca="1">ROUND(F134*F135,0)</f>
        <v>44669</v>
      </c>
      <c r="G136" s="2741">
        <f ca="1">E136+F136</f>
        <v>1720843</v>
      </c>
      <c r="H136" s="2741">
        <f ca="1">ROUND(G136/项目基本情况!C12,0)</f>
        <v>13851</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43158</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C34" sqref="C34"/>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124.24</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f ca="1">C26</f>
        <v>1185498</v>
      </c>
      <c r="C2" s="2515" t="s">
        <v>2608</v>
      </c>
      <c r="D2" s="2516" t="s">
        <v>2609</v>
      </c>
      <c r="E2" s="2517" t="s">
        <v>2930</v>
      </c>
      <c r="F2" s="2516" t="s">
        <v>2610</v>
      </c>
      <c r="G2" s="2518" t="str">
        <f>项目基本情况!F9</f>
        <v>二级</v>
      </c>
      <c r="H2" s="2519" t="s">
        <v>2611</v>
      </c>
      <c r="I2" s="2518" t="str">
        <f>项目基本情况!F10</f>
        <v>Ⅱ—08</v>
      </c>
      <c r="J2" s="2520"/>
      <c r="L2" s="2521" t="s">
        <v>2612</v>
      </c>
      <c r="M2" s="1121">
        <f>SUMPRODUCT((区片价!B10:B28=I2)*(区片价!C3:F3=E2)*(区片价!C10:F28))</f>
        <v>24700</v>
      </c>
      <c r="N2" s="1124">
        <f>SUMPRODUCT((因素修正幅度!B10:B28=I2)*(因素修正幅度!C3:F3=E2)*(因素修正幅度!C10:F28))</f>
        <v>9.5000000000000001E-2</v>
      </c>
      <c r="O2" s="1464"/>
      <c r="P2" s="1464"/>
      <c r="Q2" s="1464"/>
      <c r="R2" s="1715">
        <v>1</v>
      </c>
      <c r="S2" s="1715">
        <f>ROUND(IF(G3&gt;1,IF(R2&lt;7,SUMPRODUCT((B93:B98=R2)*(C92:N92=G2)*(C93:N98)),SUMIF(C92:N92,G2,C100:N100)),IF(R2&lt;7,SUMPRODUCT((B102:B107=R2)*(C92:N92=G2)*(C102:N107)),SUMIF(C92:N92,G2,C109:N109))),4)</f>
        <v>1.9361999999999999</v>
      </c>
      <c r="T2" s="1715">
        <f ca="1">ROUND($C$5*$C$18*$C$19*$C$20*S2*$C$24,0)</f>
        <v>40645</v>
      </c>
      <c r="U2" s="1716"/>
      <c r="V2" s="1715">
        <f ca="1">ROUND(T2*U2/10000,0)</f>
        <v>0</v>
      </c>
      <c r="W2" s="1719"/>
      <c r="X2" s="1719"/>
      <c r="Y2" s="1719"/>
      <c r="Z2" s="1719"/>
      <c r="AA2" s="1719"/>
      <c r="AB2" s="1719"/>
      <c r="AC2" s="1720"/>
      <c r="AD2" s="1721"/>
      <c r="AE2" s="1721"/>
      <c r="AF2" s="1721"/>
      <c r="AG2" s="1721"/>
      <c r="AH2" s="1721"/>
      <c r="AI2" s="1721"/>
      <c r="AJ2" s="1722"/>
    </row>
    <row r="3" spans="1:36" ht="25.5">
      <c r="A3" s="168" t="s">
        <v>2613</v>
      </c>
      <c r="B3" s="169">
        <f ca="1">ROUND(B2/D1,0)</f>
        <v>9542</v>
      </c>
      <c r="C3" s="2515" t="s">
        <v>2614</v>
      </c>
      <c r="D3" s="2516" t="s">
        <v>2615</v>
      </c>
      <c r="E3" s="2522" t="s">
        <v>2932</v>
      </c>
      <c r="F3" s="2523" t="s">
        <v>2616</v>
      </c>
      <c r="G3" s="942">
        <f>项目基本情况!C15</f>
        <v>3.5</v>
      </c>
      <c r="H3" s="116" t="s">
        <v>2617</v>
      </c>
      <c r="I3" s="975">
        <v>21</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29805</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24339</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f>ROUND(IF(E2="商业",IF(F16="增加",C6*C7+C16,C6*C7-C16),IF(E2="住宅",IF(F16="增加",C6*C12+C16,C6*C12-C16),IF(F16="增加",C6+C16,C6-C16))),0)</f>
        <v>24683</v>
      </c>
      <c r="D5" s="1883">
        <f>ROUND(IF(E2="商业",IF(F16="增加",C6+C16,C6-C16)),0)</f>
        <v>24683</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20199</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24700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17669</v>
      </c>
      <c r="U6" s="1716"/>
      <c r="V6" s="1715">
        <f t="shared" ca="1" si="1"/>
        <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f>IF(C8="不临58条商业街",1,ROUND(1+(1.6*E8+1.2*E9+0.8*E10+0.4*E11)*C9,4))</f>
        <v>1</v>
      </c>
      <c r="D7" s="2542" t="s">
        <v>2628</v>
      </c>
      <c r="E7" s="976">
        <v>6</v>
      </c>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15971</v>
      </c>
      <c r="U7" s="1716"/>
      <c r="V7" s="1715">
        <f t="shared" ca="1" si="1"/>
        <v>0</v>
      </c>
      <c r="W7" s="1911" t="s">
        <v>2630</v>
      </c>
      <c r="X7" s="1717" t="str">
        <f>G2</f>
        <v>二级</v>
      </c>
      <c r="Y7" s="1717" t="s">
        <v>2631</v>
      </c>
      <c r="Z7" s="1718">
        <f>G3</f>
        <v>3.5</v>
      </c>
      <c r="AA7" s="1719"/>
      <c r="AB7" s="1719"/>
      <c r="AC7" s="1720"/>
      <c r="AD7" s="1721"/>
      <c r="AE7" s="1721"/>
      <c r="AF7" s="1721"/>
      <c r="AG7" s="1721"/>
      <c r="AH7" s="1721"/>
      <c r="AI7" s="1721"/>
      <c r="AJ7" s="1722"/>
    </row>
    <row r="8" spans="1:36" ht="15">
      <c r="A8" s="3088"/>
      <c r="B8" s="116" t="s">
        <v>2632</v>
      </c>
      <c r="C8" s="2546" t="s">
        <v>2933</v>
      </c>
      <c r="D8" s="946" t="s">
        <v>89</v>
      </c>
      <c r="E8" s="947">
        <f>ROUND(C11/E7,4)</f>
        <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f>ROUND(C11/E7,4)</f>
        <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f>ROUND(C11/E7,4)</f>
        <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f>ROUND(C11/E7,4)</f>
        <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102" t="s">
        <v>2659</v>
      </c>
      <c r="X11" s="1728" t="s">
        <v>2660</v>
      </c>
      <c r="Y11" s="1729">
        <f>$G$3</f>
        <v>3.5</v>
      </c>
      <c r="Z11" s="1729">
        <f t="shared" ref="Z11:AJ11" si="3">$G$3</f>
        <v>3.5</v>
      </c>
      <c r="AA11" s="1729">
        <f t="shared" si="3"/>
        <v>3.5</v>
      </c>
      <c r="AB11" s="1729">
        <f t="shared" si="3"/>
        <v>3.5</v>
      </c>
      <c r="AC11" s="1729">
        <f t="shared" si="3"/>
        <v>3.5</v>
      </c>
      <c r="AD11" s="1729">
        <f t="shared" si="3"/>
        <v>3.5</v>
      </c>
      <c r="AE11" s="1729">
        <f t="shared" si="3"/>
        <v>3.5</v>
      </c>
      <c r="AF11" s="1729">
        <f t="shared" si="3"/>
        <v>3.5</v>
      </c>
      <c r="AG11" s="1729">
        <f t="shared" si="3"/>
        <v>3.5</v>
      </c>
      <c r="AH11" s="1729">
        <f t="shared" si="3"/>
        <v>3.5</v>
      </c>
      <c r="AI11" s="1729">
        <f t="shared" si="3"/>
        <v>3.5</v>
      </c>
      <c r="AJ11" s="1729">
        <f t="shared" si="3"/>
        <v>3.5</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f t="shared" ca="1" si="0"/>
        <v>0</v>
      </c>
      <c r="U13" s="1716"/>
      <c r="V13" s="1715">
        <f t="shared" ca="1" si="1"/>
        <v>0</v>
      </c>
      <c r="W13" s="3102"/>
      <c r="X13" s="1730"/>
      <c r="Y13" s="1727">
        <f>(-0.163*(Y12^2)-0.59*Y12+7617)*(10^(-4))/Y11</f>
        <v>0.21762857142857145</v>
      </c>
      <c r="Z13" s="1727">
        <f t="shared" ref="Z13:AJ13" si="5">(-0.163*(Z12^2)-0.59*Z12+7617)*(10^(-4))/Z11</f>
        <v>0.21762857142857145</v>
      </c>
      <c r="AA13" s="1727">
        <f t="shared" si="5"/>
        <v>0.21762857142857145</v>
      </c>
      <c r="AB13" s="1727">
        <f t="shared" si="5"/>
        <v>0.21762857142857145</v>
      </c>
      <c r="AC13" s="1727">
        <f t="shared" si="5"/>
        <v>0.21762857142857145</v>
      </c>
      <c r="AD13" s="1727">
        <f t="shared" si="5"/>
        <v>0.21762857142857145</v>
      </c>
      <c r="AE13" s="1727">
        <f t="shared" si="5"/>
        <v>0.21762857142857145</v>
      </c>
      <c r="AF13" s="1727">
        <f t="shared" si="5"/>
        <v>0.21762857142857145</v>
      </c>
      <c r="AG13" s="1727">
        <f t="shared" si="5"/>
        <v>0.21762857142857145</v>
      </c>
      <c r="AH13" s="1727">
        <f t="shared" si="5"/>
        <v>0.21762857142857145</v>
      </c>
      <c r="AI13" s="1727">
        <f t="shared" si="5"/>
        <v>0.21762857142857145</v>
      </c>
      <c r="AJ13" s="1727">
        <f t="shared" si="5"/>
        <v>0.21762857142857145</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7">
        <f>IF(E2="办公",2,IF(E2="工业",2,IF(E2="住宅",3,IF(E2="商业",IF(C8="不临58条商业街",2,3)))))</f>
        <v>2</v>
      </c>
      <c r="B16" s="2541" t="s">
        <v>2681</v>
      </c>
      <c r="C16" s="1891">
        <f>ROUND(SUM(G17:J17)/C17,0)</f>
        <v>17</v>
      </c>
      <c r="D16" s="2576" t="s">
        <v>2682</v>
      </c>
      <c r="E16" s="2577" t="s">
        <v>2934</v>
      </c>
      <c r="F16" s="2578" t="s">
        <v>2935</v>
      </c>
      <c r="G16" s="2579" t="s">
        <v>2936</v>
      </c>
      <c r="H16" s="2579"/>
      <c r="I16" s="2579"/>
      <c r="J16" s="2580"/>
      <c r="L16" s="1462" t="s">
        <v>2683</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3.5</v>
      </c>
      <c r="D17" s="2582" t="s">
        <v>2685</v>
      </c>
      <c r="E17" s="949" t="str">
        <f>IF(OR(G2="八级",G2="九级",G2="十级",G2="十一级",G2="十二级"),"五通一平","七通一平")</f>
        <v>七通一平</v>
      </c>
      <c r="F17" s="950" t="s">
        <v>2686</v>
      </c>
      <c r="G17" s="950">
        <f>SUMPRODUCT((七通一平=G16)*(修正!B1:M1=G2)*(修正!B6:M14))</f>
        <v>60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1.1000000000000001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2690</v>
      </c>
      <c r="B19" s="2584" t="s">
        <v>2691</v>
      </c>
      <c r="C19" s="953">
        <f>ROUND(IF(H19="按公示增长率计算",SUMPRODUCT((地价!A3:A19=YEAR(G19)&amp;"-"&amp;ROUNDUP(MONTH(G19)/3,0))*(地价!X2:AB2=E2)*(地价!X3:AB19)),IF(H19="地价指数",M20/M19,(1+I19)^O19)),4)</f>
        <v>1</v>
      </c>
      <c r="D19" s="2592" t="s">
        <v>2692</v>
      </c>
      <c r="E19" s="954">
        <v>41640</v>
      </c>
      <c r="F19" s="2592" t="s">
        <v>2693</v>
      </c>
      <c r="G19" s="955">
        <f>'数据-取费表'!B2</f>
        <v>43158</v>
      </c>
      <c r="H19" s="2593" t="s">
        <v>2938</v>
      </c>
      <c r="I19" s="956">
        <f>IF(H19="季度增幅（自定义）",SUMIF(N21:N24,E2,O21:O24),"")</f>
        <v>0</v>
      </c>
      <c r="J19" s="2589"/>
      <c r="K19" s="2590"/>
      <c r="L19" s="2594" t="s">
        <v>2694</v>
      </c>
      <c r="M19" s="1832">
        <f>ROUND(SUMIF(地价!B2:F2,E2,地价!B19:F19),0)</f>
        <v>258</v>
      </c>
      <c r="N19" s="1468" t="s">
        <v>2695</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2696</v>
      </c>
      <c r="B20" s="2599" t="s">
        <v>2697</v>
      </c>
      <c r="C20" s="958">
        <f ca="1">ROUND(POWER(1+G20,J20-I20)*(POWER(1+G20,I20)-1)/(POWER(1+G20,J20)-1),4)</f>
        <v>0.73050000000000004</v>
      </c>
      <c r="D20" s="2600" t="s">
        <v>2698</v>
      </c>
      <c r="E20" s="1862">
        <f ca="1">存贷款利率!D4/100</f>
        <v>4.3499999999999997E-2</v>
      </c>
      <c r="F20" s="2600" t="s">
        <v>2687</v>
      </c>
      <c r="G20" s="964">
        <f ca="1">SUMIF(M15:P15,E2,M17:P17)</f>
        <v>5.3999999999999999E-2</v>
      </c>
      <c r="H20" s="2600" t="s">
        <v>2699</v>
      </c>
      <c r="I20" s="965">
        <f>'数据-取费表'!B13</f>
        <v>19.5</v>
      </c>
      <c r="J20" s="966">
        <f>IF(E2="住宅",70,IF(E2="商业",40,50))</f>
        <v>40</v>
      </c>
      <c r="K20" s="2590"/>
      <c r="L20" s="2601" t="s">
        <v>2700</v>
      </c>
      <c r="M20" s="1833">
        <f>ROUND(SUMPRODUCT((地价!A4:A19=YEAR(G19)&amp;"-"&amp;ROUNDUP(MONTH(G19)/3,0))*(地价!B2:F2=E2)*(地价!B4:F19)),0)</f>
        <v>0</v>
      </c>
      <c r="N20" s="2602" t="s">
        <v>2701</v>
      </c>
      <c r="O20" s="2603" t="s">
        <v>2702</v>
      </c>
      <c r="P20" s="2604" t="s">
        <v>2703</v>
      </c>
      <c r="R20" s="1464"/>
      <c r="S20" s="1464"/>
      <c r="T20" s="1464"/>
      <c r="U20" s="1464"/>
      <c r="V20" s="1464"/>
      <c r="W20" s="1464"/>
      <c r="X20" s="1464"/>
      <c r="Y20" s="1464"/>
      <c r="Z20" s="1464"/>
      <c r="AA20" s="1464"/>
      <c r="AB20" s="1464"/>
      <c r="AC20" s="1464"/>
      <c r="AD20" s="1464"/>
      <c r="AE20" s="2590"/>
      <c r="AF20" s="2590"/>
    </row>
    <row r="21" spans="1:37" s="2533" customFormat="1" ht="15">
      <c r="A21" s="2605" t="s">
        <v>2704</v>
      </c>
      <c r="B21" s="2606" t="s">
        <v>2937</v>
      </c>
      <c r="C21" s="967">
        <f>IF(B21="容积率修正",IF(G3&lt;=10,D22,J22),C23)</f>
        <v>0.75329999999999997</v>
      </c>
      <c r="D21" s="2607"/>
      <c r="E21" s="2607"/>
      <c r="F21" s="2607"/>
      <c r="G21" s="2607"/>
      <c r="H21" s="2607"/>
      <c r="I21" s="2607"/>
      <c r="J21" s="2608"/>
      <c r="K21" s="2590"/>
      <c r="N21" s="2609" t="s">
        <v>2705</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2706</v>
      </c>
      <c r="C22" s="1905" t="s">
        <v>2707</v>
      </c>
      <c r="D22" s="1905">
        <f>IF(E22=G22,F22,IF(G3&lt;=10,ROUND(F22+(H22-F22)*(G3-E22)/(G22-E22),4),"——"))</f>
        <v>1</v>
      </c>
      <c r="E22" s="942">
        <f>ROUNDDOWN(G3,1)</f>
        <v>3.5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3.5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2708</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2709</v>
      </c>
      <c r="C23" s="959">
        <f>ROUND(IF(G3&gt;1,IF(I3&lt;7,SUMPRODUCT((B93:B98=I3)*(C92:N92=G2)*(C93:N98)),SUMIF(C92:N92,G2,C100:N100)),IF(I3&lt;7,SUMPRODUCT((B102:B107=I3)*(C92:N92=G2)*(C102:N107)),SUMIF(C92:N92,G2,C109:N109))),4)</f>
        <v>0.75329999999999997</v>
      </c>
      <c r="D23" s="2570"/>
      <c r="E23" s="2570"/>
      <c r="F23" s="2612"/>
      <c r="G23" s="2613"/>
      <c r="H23" s="2614"/>
      <c r="I23" s="2615"/>
      <c r="J23" s="2616"/>
      <c r="N23" s="2609" t="s">
        <v>2710</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2711</v>
      </c>
      <c r="B24" s="2618" t="s">
        <v>2712</v>
      </c>
      <c r="C24" s="969">
        <f>SUMIF(A46:A88,E2,B46:B88)</f>
        <v>1.0584</v>
      </c>
      <c r="D24" s="2619"/>
      <c r="E24" s="2620"/>
      <c r="F24" s="2620"/>
      <c r="G24" s="2620"/>
      <c r="H24" s="2620"/>
      <c r="I24" s="2620"/>
      <c r="J24" s="2621"/>
      <c r="K24" s="2590"/>
      <c r="N24" s="2622" t="s">
        <v>2713</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2714</v>
      </c>
      <c r="B25" s="2623" t="s">
        <v>2715</v>
      </c>
      <c r="C25" s="960"/>
      <c r="D25" s="2544"/>
      <c r="E25" s="2544"/>
      <c r="F25" s="2624"/>
      <c r="G25" s="2544"/>
      <c r="H25" s="2544"/>
      <c r="I25" s="2544"/>
      <c r="J25" s="2545"/>
      <c r="L25" s="1464"/>
      <c r="M25" s="1464"/>
      <c r="N25" s="2625" t="s">
        <v>2716</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2717</v>
      </c>
      <c r="C26" s="124">
        <f ca="1">E29+SUM(E33:E39)</f>
        <v>1185498</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2718</v>
      </c>
      <c r="C27" s="961">
        <f ca="1">E30+SUM(I33:I39)</f>
        <v>296437</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2719</v>
      </c>
      <c r="C28" s="2636" t="s">
        <v>2720</v>
      </c>
      <c r="D28" s="2636" t="s">
        <v>2721</v>
      </c>
      <c r="E28" s="2637" t="s">
        <v>2722</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2723</v>
      </c>
      <c r="C29" s="124">
        <f ca="1">ROUND(C5*C18*C19*C20*C21*C24,0)</f>
        <v>15814</v>
      </c>
      <c r="D29" s="2641">
        <v>0</v>
      </c>
      <c r="E29" s="973">
        <f ca="1">ROUND(C29*D29,0)</f>
        <v>0</v>
      </c>
      <c r="F29" s="2642" t="s">
        <v>2724</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2725</v>
      </c>
      <c r="C30" s="151">
        <f ca="1">ROUND(IF(E2="工业",C29*M39,C29*M38),0)</f>
        <v>3954</v>
      </c>
      <c r="D30" s="2647"/>
      <c r="E30" s="973">
        <f ca="1">ROUND(C30*D30,0)</f>
        <v>0</v>
      </c>
      <c r="F30" s="2648" t="s">
        <v>2726</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2727</v>
      </c>
      <c r="C31" s="2653" t="s">
        <v>2728</v>
      </c>
      <c r="D31" s="2557"/>
      <c r="E31" s="2653"/>
      <c r="F31" s="2653"/>
      <c r="G31" s="2555" t="s">
        <v>2729</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2720</v>
      </c>
      <c r="D32" s="480" t="s">
        <v>2721</v>
      </c>
      <c r="E32" s="480" t="s">
        <v>2722</v>
      </c>
      <c r="F32" s="368" t="s">
        <v>2730</v>
      </c>
      <c r="G32" s="959" t="s">
        <v>2720</v>
      </c>
      <c r="H32" s="959" t="s">
        <v>2721</v>
      </c>
      <c r="I32" s="959" t="s">
        <v>2722</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2731</v>
      </c>
      <c r="B33" s="2656" t="s">
        <v>2732</v>
      </c>
      <c r="C33" s="124">
        <f ca="1">ROUND(D5*C19*C20*C24*F33,0)</f>
        <v>15267</v>
      </c>
      <c r="D33" s="2641"/>
      <c r="E33" s="118">
        <f t="shared" ref="E33:E39" ca="1" si="6">ROUND(C33*D33,0)</f>
        <v>0</v>
      </c>
      <c r="F33" s="118">
        <f>SUMIF(修正!A45:A56,G2,修正!B45:B56)</f>
        <v>0.8</v>
      </c>
      <c r="G33" s="118">
        <f t="shared" ref="G33:G39" ca="1" si="7">ROUND(IF(E2="工业",C33*$M$39,C33*$M$38),0)</f>
        <v>3817</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2733</v>
      </c>
      <c r="C34" s="124">
        <f ca="1">ROUND(D5*C19*C20*C24*F34,0)</f>
        <v>9542</v>
      </c>
      <c r="D34" s="2641">
        <v>124.24</v>
      </c>
      <c r="E34" s="118">
        <f t="shared" ca="1" si="6"/>
        <v>1185498</v>
      </c>
      <c r="F34" s="118">
        <f>SUMIF(修正!A45:A56,G2,修正!C45:C56)</f>
        <v>0.5</v>
      </c>
      <c r="G34" s="118">
        <f t="shared" ca="1" si="7"/>
        <v>2386</v>
      </c>
      <c r="H34" s="118">
        <f t="shared" ref="H34:H39" si="9">D34</f>
        <v>124.24</v>
      </c>
      <c r="I34" s="118">
        <f t="shared" ca="1" si="8"/>
        <v>296437</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2734</v>
      </c>
      <c r="C35" s="124">
        <f ca="1">ROUND(D5*C19*C20*C24*F35,0)</f>
        <v>6870</v>
      </c>
      <c r="D35" s="2641"/>
      <c r="E35" s="118">
        <f t="shared" ca="1" si="6"/>
        <v>0</v>
      </c>
      <c r="F35" s="118">
        <f>SUMIF(修正!A45:A56,G2,修正!D45:D56)</f>
        <v>0.36</v>
      </c>
      <c r="G35" s="118">
        <f t="shared" ca="1" si="7"/>
        <v>1718</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2735</v>
      </c>
      <c r="C36" s="124">
        <f ca="1">ROUND(D5*C19*C20*C24*F36,0)</f>
        <v>5725</v>
      </c>
      <c r="D36" s="2641"/>
      <c r="E36" s="118">
        <f t="shared" ca="1" si="6"/>
        <v>0</v>
      </c>
      <c r="F36" s="118">
        <f>SUMIF(修正!A45:A56,G2,修正!E45:E56)</f>
        <v>0.3</v>
      </c>
      <c r="G36" s="118">
        <f t="shared" ca="1" si="7"/>
        <v>1431</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2736</v>
      </c>
      <c r="C37" s="118">
        <f ca="1">ROUND(C5*C19*C20*C24*F37,0)</f>
        <v>5725</v>
      </c>
      <c r="D37" s="2641"/>
      <c r="E37" s="118">
        <f t="shared" ca="1" si="6"/>
        <v>0</v>
      </c>
      <c r="F37" s="124">
        <f>SUMIF(修正!A45:A56,G2,修正!F45:F56)</f>
        <v>0.3</v>
      </c>
      <c r="G37" s="118">
        <f t="shared" ca="1" si="7"/>
        <v>1431</v>
      </c>
      <c r="H37" s="118">
        <f t="shared" si="9"/>
        <v>0</v>
      </c>
      <c r="I37" s="118">
        <f t="shared" ca="1" si="8"/>
        <v>0</v>
      </c>
      <c r="J37" s="2657"/>
      <c r="L37" s="2660" t="s">
        <v>2737</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2738</v>
      </c>
      <c r="C38" s="118">
        <f ca="1">ROUND(C5*C19*C20*C24*F38,0)</f>
        <v>5725</v>
      </c>
      <c r="D38" s="2641"/>
      <c r="E38" s="118">
        <f t="shared" ca="1" si="6"/>
        <v>0</v>
      </c>
      <c r="F38" s="124">
        <f>SUMIF(修正!A45:A56,G2,修正!G45:G56)</f>
        <v>0.3</v>
      </c>
      <c r="G38" s="118">
        <f t="shared" ca="1" si="7"/>
        <v>1431</v>
      </c>
      <c r="H38" s="118">
        <f t="shared" si="9"/>
        <v>0</v>
      </c>
      <c r="I38" s="118">
        <f t="shared" ca="1" si="8"/>
        <v>0</v>
      </c>
      <c r="J38" s="2657"/>
      <c r="L38" s="2661" t="s">
        <v>2739</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2740</v>
      </c>
      <c r="C39" s="151">
        <f ca="1">ROUND(C5*C19*C20*C24*F39,0)</f>
        <v>4771</v>
      </c>
      <c r="D39" s="2647"/>
      <c r="E39" s="151">
        <f t="shared" ca="1" si="6"/>
        <v>0</v>
      </c>
      <c r="F39" s="962">
        <f>SUMIF(修正!A45:A56,G2,修正!H45:H56)</f>
        <v>0.25</v>
      </c>
      <c r="G39" s="151">
        <f t="shared" ca="1" si="7"/>
        <v>1193</v>
      </c>
      <c r="H39" s="151">
        <f t="shared" si="9"/>
        <v>0</v>
      </c>
      <c r="I39" s="151">
        <f t="shared" ca="1" si="8"/>
        <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2741</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2742</v>
      </c>
      <c r="B46" s="2673">
        <f>1+E48</f>
        <v>1.0584</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2743</v>
      </c>
      <c r="B47" s="824" t="s">
        <v>2744</v>
      </c>
      <c r="C47" s="824" t="s">
        <v>2745</v>
      </c>
      <c r="D47" s="824" t="s">
        <v>2746</v>
      </c>
      <c r="E47" s="825" t="s">
        <v>2747</v>
      </c>
      <c r="F47" s="2678" t="s">
        <v>2748</v>
      </c>
      <c r="G47" s="824" t="s">
        <v>2749</v>
      </c>
      <c r="H47" s="2679" t="s">
        <v>2750</v>
      </c>
      <c r="I47" s="824" t="s">
        <v>2751</v>
      </c>
      <c r="J47" s="588" t="s">
        <v>2752</v>
      </c>
      <c r="K47" s="588" t="s">
        <v>2753</v>
      </c>
      <c r="L47" s="588" t="s">
        <v>2754</v>
      </c>
      <c r="M47" s="588" t="s">
        <v>2755</v>
      </c>
      <c r="N47" s="588" t="s">
        <v>2756</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2757</v>
      </c>
      <c r="B48" s="2680">
        <f>估价对象房地状况!C16</f>
        <v>0</v>
      </c>
      <c r="C48" s="2567" t="s">
        <v>29</v>
      </c>
      <c r="D48" s="1378">
        <f t="shared" ref="D48:D56" si="10">SUMIF($J$47:$N$47,C48,J48:N48)</f>
        <v>3.1199999999999999E-2</v>
      </c>
      <c r="E48" s="830">
        <f>ROUND(SUM(D48:D56),4)</f>
        <v>5.8400000000000001E-2</v>
      </c>
      <c r="F48" s="2283">
        <f>IF(E2="商业",SUMIF(L1:L12,G2,N1:N12),"——")</f>
        <v>9.5000000000000001E-2</v>
      </c>
      <c r="G48" s="1379">
        <v>1.5599999999999999E-2</v>
      </c>
      <c r="H48" s="1383">
        <f t="shared" ref="H48:H56" si="11">IFERROR(ROUNDDOWN($F$48*I48/2,4),"——")</f>
        <v>1.5599999999999999E-2</v>
      </c>
      <c r="I48" s="829">
        <v>0.33</v>
      </c>
      <c r="J48" s="1380">
        <f t="shared" ref="J48:J56" si="12">K48+$G48</f>
        <v>3.1199999999999999E-2</v>
      </c>
      <c r="K48" s="1380">
        <f t="shared" ref="K48:K56" si="13">$L48+$G48</f>
        <v>1.5599999999999999E-2</v>
      </c>
      <c r="L48" s="1380">
        <v>0</v>
      </c>
      <c r="M48" s="1380">
        <f t="shared" ref="M48:N56" si="14">L48-$G48</f>
        <v>-1.5599999999999999E-2</v>
      </c>
      <c r="N48" s="1380">
        <f t="shared" si="14"/>
        <v>-3.1199999999999999E-2</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2758</v>
      </c>
      <c r="B49" s="2681" t="str">
        <f>估价对象房地状况!C18</f>
        <v>估价对象紧邻城市次干道——大柳树路，临近地铁7号线（南楼梓庄站）；以估价对象为中心半径2公里范围内有30路、31路、34路、41路、561路、657路等多条公交线路，综合评价交通便捷度较好</v>
      </c>
      <c r="C49" s="2567" t="s">
        <v>29</v>
      </c>
      <c r="D49" s="1378">
        <f t="shared" si="10"/>
        <v>2.3599999999999999E-2</v>
      </c>
      <c r="E49" s="833"/>
      <c r="F49" s="2283"/>
      <c r="G49" s="1379">
        <v>1.18E-2</v>
      </c>
      <c r="H49" s="1383">
        <f t="shared" si="11"/>
        <v>1.18E-2</v>
      </c>
      <c r="I49" s="829">
        <v>0.25</v>
      </c>
      <c r="J49" s="1380">
        <f t="shared" si="12"/>
        <v>2.3599999999999999E-2</v>
      </c>
      <c r="K49" s="1380">
        <f t="shared" si="13"/>
        <v>1.18E-2</v>
      </c>
      <c r="L49" s="1380">
        <v>0</v>
      </c>
      <c r="M49" s="1380">
        <f t="shared" si="14"/>
        <v>-1.18E-2</v>
      </c>
      <c r="N49" s="1380">
        <f t="shared" si="14"/>
        <v>-2.3599999999999999E-2</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2759</v>
      </c>
      <c r="B50" s="2681">
        <f>估价对象房地状况!C19</f>
        <v>0</v>
      </c>
      <c r="C50" s="2567" t="s">
        <v>30</v>
      </c>
      <c r="D50" s="1378">
        <f t="shared" si="10"/>
        <v>2.3E-3</v>
      </c>
      <c r="E50" s="833"/>
      <c r="F50" s="2283"/>
      <c r="G50" s="1379">
        <v>2.3E-3</v>
      </c>
      <c r="H50" s="1383">
        <f t="shared" si="11"/>
        <v>2.3E-3</v>
      </c>
      <c r="I50" s="829">
        <v>0.05</v>
      </c>
      <c r="J50" s="1380">
        <f t="shared" si="12"/>
        <v>4.5999999999999999E-3</v>
      </c>
      <c r="K50" s="1380">
        <f t="shared" si="13"/>
        <v>2.3E-3</v>
      </c>
      <c r="L50" s="1380">
        <v>0</v>
      </c>
      <c r="M50" s="1380">
        <f t="shared" si="14"/>
        <v>-2.3E-3</v>
      </c>
      <c r="N50" s="1380">
        <f t="shared" si="14"/>
        <v>-4.5999999999999999E-3</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2760</v>
      </c>
      <c r="B51" s="2682" t="s">
        <v>2761</v>
      </c>
      <c r="C51" s="2567" t="s">
        <v>35</v>
      </c>
      <c r="D51" s="1378">
        <f t="shared" si="10"/>
        <v>-4.5999999999999999E-3</v>
      </c>
      <c r="E51" s="833"/>
      <c r="F51" s="2283"/>
      <c r="G51" s="1379">
        <v>2.3E-3</v>
      </c>
      <c r="H51" s="1383">
        <f t="shared" si="11"/>
        <v>2.3E-3</v>
      </c>
      <c r="I51" s="829">
        <v>0.05</v>
      </c>
      <c r="J51" s="1380">
        <f t="shared" si="12"/>
        <v>4.5999999999999999E-3</v>
      </c>
      <c r="K51" s="1380">
        <f t="shared" si="13"/>
        <v>2.3E-3</v>
      </c>
      <c r="L51" s="1380">
        <v>0</v>
      </c>
      <c r="M51" s="1380">
        <f t="shared" si="14"/>
        <v>-2.3E-3</v>
      </c>
      <c r="N51" s="1380">
        <f t="shared" si="14"/>
        <v>-4.5999999999999999E-3</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2762</v>
      </c>
      <c r="B52" s="2681" t="str">
        <f>估价对象房地状况!C24</f>
        <v>城市次干道——大柳树路</v>
      </c>
      <c r="C52" s="2567" t="s">
        <v>35</v>
      </c>
      <c r="D52" s="1378">
        <f t="shared" si="10"/>
        <v>-7.6E-3</v>
      </c>
      <c r="E52" s="833"/>
      <c r="F52" s="2283"/>
      <c r="G52" s="1379">
        <v>3.8E-3</v>
      </c>
      <c r="H52" s="1383">
        <f t="shared" si="11"/>
        <v>3.8E-3</v>
      </c>
      <c r="I52" s="829">
        <v>0.08</v>
      </c>
      <c r="J52" s="1380">
        <f t="shared" si="12"/>
        <v>7.6E-3</v>
      </c>
      <c r="K52" s="1380">
        <f t="shared" si="13"/>
        <v>3.8E-3</v>
      </c>
      <c r="L52" s="1380">
        <v>0</v>
      </c>
      <c r="M52" s="1380">
        <f t="shared" si="14"/>
        <v>-3.8E-3</v>
      </c>
      <c r="N52" s="1380">
        <f t="shared" si="14"/>
        <v>-7.6E-3</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2763</v>
      </c>
      <c r="B53" s="2683" t="s">
        <v>2764</v>
      </c>
      <c r="C53" s="2567" t="s">
        <v>30</v>
      </c>
      <c r="D53" s="1378">
        <f t="shared" si="10"/>
        <v>1.4E-3</v>
      </c>
      <c r="E53" s="833"/>
      <c r="F53" s="2283"/>
      <c r="G53" s="1379">
        <v>1.4E-3</v>
      </c>
      <c r="H53" s="1383">
        <f t="shared" si="11"/>
        <v>1.4E-3</v>
      </c>
      <c r="I53" s="829">
        <v>0.03</v>
      </c>
      <c r="J53" s="1380">
        <f t="shared" si="12"/>
        <v>2.8E-3</v>
      </c>
      <c r="K53" s="1380">
        <f t="shared" si="13"/>
        <v>1.4E-3</v>
      </c>
      <c r="L53" s="1380">
        <v>0</v>
      </c>
      <c r="M53" s="1380">
        <f t="shared" si="14"/>
        <v>-1.4E-3</v>
      </c>
      <c r="N53" s="1380">
        <f t="shared" si="14"/>
        <v>-2.8E-3</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2765</v>
      </c>
      <c r="B54" s="2685" t="str">
        <f>估价对象房地状况!C21</f>
        <v>估价对象所在区域公共配套设施齐备情况较好</v>
      </c>
      <c r="C54" s="2567" t="s">
        <v>29</v>
      </c>
      <c r="D54" s="1378">
        <f t="shared" si="10"/>
        <v>4.5999999999999999E-3</v>
      </c>
      <c r="E54" s="833"/>
      <c r="F54" s="2283"/>
      <c r="G54" s="1379">
        <v>2.3E-3</v>
      </c>
      <c r="H54" s="1383">
        <f t="shared" si="11"/>
        <v>2.3E-3</v>
      </c>
      <c r="I54" s="829">
        <v>0.05</v>
      </c>
      <c r="J54" s="1380">
        <f t="shared" si="12"/>
        <v>4.5999999999999999E-3</v>
      </c>
      <c r="K54" s="1380">
        <f t="shared" si="13"/>
        <v>2.3E-3</v>
      </c>
      <c r="L54" s="1380">
        <v>0</v>
      </c>
      <c r="M54" s="1380">
        <f t="shared" si="14"/>
        <v>-2.3E-3</v>
      </c>
      <c r="N54" s="1380">
        <f t="shared" si="14"/>
        <v>-4.5999999999999999E-3</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2766</v>
      </c>
      <c r="B55" s="2681" t="str">
        <f>估价对象房地状况!C22</f>
        <v>估价对象所在区域基础设施水平——六通</v>
      </c>
      <c r="C55" s="2567" t="s">
        <v>30</v>
      </c>
      <c r="D55" s="1378">
        <f t="shared" si="10"/>
        <v>4.7000000000000002E-3</v>
      </c>
      <c r="E55" s="833"/>
      <c r="F55" s="2283"/>
      <c r="G55" s="1379">
        <v>4.7000000000000002E-3</v>
      </c>
      <c r="H55" s="1383">
        <f t="shared" si="11"/>
        <v>4.7000000000000002E-3</v>
      </c>
      <c r="I55" s="829">
        <v>0.1</v>
      </c>
      <c r="J55" s="1380">
        <f t="shared" si="12"/>
        <v>9.4000000000000004E-3</v>
      </c>
      <c r="K55" s="1380">
        <f t="shared" si="13"/>
        <v>4.7000000000000002E-3</v>
      </c>
      <c r="L55" s="1380">
        <v>0</v>
      </c>
      <c r="M55" s="1380">
        <f t="shared" si="14"/>
        <v>-4.7000000000000002E-3</v>
      </c>
      <c r="N55" s="1380">
        <f t="shared" si="14"/>
        <v>-9.4000000000000004E-3</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2767</v>
      </c>
      <c r="B56" s="2687" t="str">
        <f>估价对象房地状况!C20</f>
        <v>自然环境：翠城公园、窑洼湖公园等；人文环境：北京CBD国际高尔夫球会、北京欢乐谷、北京工业大学、北京联合大学等，综合评价环境状况好</v>
      </c>
      <c r="C56" s="2567" t="s">
        <v>30</v>
      </c>
      <c r="D56" s="1378">
        <f t="shared" si="10"/>
        <v>2.8E-3</v>
      </c>
      <c r="E56" s="839"/>
      <c r="F56" s="2283"/>
      <c r="G56" s="1379">
        <v>2.8E-3</v>
      </c>
      <c r="H56" s="1383">
        <f t="shared" si="11"/>
        <v>2.8E-3</v>
      </c>
      <c r="I56" s="838">
        <v>0.06</v>
      </c>
      <c r="J56" s="1380">
        <f t="shared" si="12"/>
        <v>5.5999999999999999E-3</v>
      </c>
      <c r="K56" s="1380">
        <f t="shared" si="13"/>
        <v>2.8E-3</v>
      </c>
      <c r="L56" s="1380">
        <v>0</v>
      </c>
      <c r="M56" s="1380">
        <f t="shared" si="14"/>
        <v>-2.8E-3</v>
      </c>
      <c r="N56" s="1380">
        <f t="shared" si="14"/>
        <v>-5.5999999999999999E-3</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2768</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2743</v>
      </c>
      <c r="B58" s="2681"/>
      <c r="C58" s="824" t="s">
        <v>2745</v>
      </c>
      <c r="D58" s="824" t="s">
        <v>2746</v>
      </c>
      <c r="E58" s="825" t="s">
        <v>2747</v>
      </c>
      <c r="F58" s="2678" t="s">
        <v>2748</v>
      </c>
      <c r="G58" s="824" t="s">
        <v>2769</v>
      </c>
      <c r="H58" s="2679" t="s">
        <v>2770</v>
      </c>
      <c r="I58" s="824" t="s">
        <v>2771</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2772</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2758</v>
      </c>
      <c r="B60" s="2681" t="str">
        <f>估价对象房地状况!C18</f>
        <v>估价对象紧邻城市次干道——大柳树路，临近地铁7号线（南楼梓庄站）；以估价对象为中心半径2公里范围内有30路、31路、34路、41路、561路、657路等多条公交线路，综合评价交通便捷度较好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2759</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2760</v>
      </c>
      <c r="B62" s="2682" t="s">
        <v>2761</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2762</v>
      </c>
      <c r="B63" s="2681" t="str">
        <f>估价对象房地状况!C24</f>
        <v>城市次干道——大柳树路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2763</v>
      </c>
      <c r="B64" s="2683" t="s">
        <v>2764</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2765</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2766</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2767</v>
      </c>
      <c r="B67" s="2689" t="str">
        <f>估价对象房地状况!C20</f>
        <v>自然环境：翠城公园、窑洼湖公园等；人文环境：北京CBD国际高尔夫球会、北京欢乐谷、北京工业大学、北京联合大学等，综合评价环境状况好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2773</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2743</v>
      </c>
      <c r="B69" s="2681"/>
      <c r="C69" s="824" t="s">
        <v>2745</v>
      </c>
      <c r="D69" s="824" t="s">
        <v>2746</v>
      </c>
      <c r="E69" s="825" t="s">
        <v>2747</v>
      </c>
      <c r="F69" s="2678" t="s">
        <v>2748</v>
      </c>
      <c r="G69" s="824" t="s">
        <v>2769</v>
      </c>
      <c r="H69" s="2679" t="s">
        <v>2770</v>
      </c>
      <c r="I69" s="824" t="s">
        <v>2771</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2774</v>
      </c>
      <c r="B70" s="2680" t="str">
        <f>估价对象房地状况!C15</f>
        <v>估价对象周边有世纪东方嘉园、官悦欣园、官悦新城、金源公寓等居住小区，小区规模和社区发展完善程度较好，综合评价居住社区成熟度较好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2758</v>
      </c>
      <c r="B71" s="2681" t="str">
        <f>估价对象房地状况!C18</f>
        <v>估价对象紧邻城市次干道——大柳树路，临近地铁7号线（南楼梓庄站）；以估价对象为中心半径2公里范围内有30路、31路、34路、41路、561路、657路等多条公交线路，综合评价交通便捷度较好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2759</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2775</v>
      </c>
      <c r="B73" s="2681" t="str">
        <f>估价对象房地状况!C24</f>
        <v>城市次干道——大柳树路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2765</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2766</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2763</v>
      </c>
      <c r="B76" s="2683" t="s">
        <v>2764</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2767</v>
      </c>
      <c r="B77" s="2680" t="str">
        <f>估价对象房地状况!C20</f>
        <v>自然环境：翠城公园、窑洼湖公园等；人文环境：北京CBD国际高尔夫球会、北京欢乐谷、北京工业大学、北京联合大学等，综合评价环境状况好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2776</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2777</v>
      </c>
      <c r="B79" s="2688">
        <f>1+E81</f>
        <v>1</v>
      </c>
      <c r="C79" s="818"/>
      <c r="D79" s="818"/>
      <c r="E79" s="819"/>
      <c r="F79" s="2675"/>
      <c r="G79" s="7"/>
      <c r="H79" s="7"/>
      <c r="I79" s="7"/>
      <c r="J79" s="9"/>
      <c r="K79" s="9"/>
      <c r="L79" s="9"/>
      <c r="M79" s="9"/>
      <c r="N79" s="9"/>
      <c r="Z79" s="2514"/>
      <c r="AA79" s="2591"/>
      <c r="AG79" s="2667"/>
      <c r="AK79" s="2591"/>
    </row>
    <row r="80" spans="1:37" ht="24.75">
      <c r="A80" s="2677" t="s">
        <v>2743</v>
      </c>
      <c r="B80" s="2681"/>
      <c r="C80" s="824" t="s">
        <v>2745</v>
      </c>
      <c r="D80" s="824" t="s">
        <v>2746</v>
      </c>
      <c r="E80" s="825" t="s">
        <v>2747</v>
      </c>
      <c r="F80" s="2678" t="s">
        <v>2748</v>
      </c>
      <c r="G80" s="824" t="s">
        <v>2769</v>
      </c>
      <c r="H80" s="2679" t="s">
        <v>2770</v>
      </c>
      <c r="I80" s="824" t="s">
        <v>2771</v>
      </c>
      <c r="J80" s="588" t="s">
        <v>2405</v>
      </c>
      <c r="K80" s="588" t="s">
        <v>2406</v>
      </c>
      <c r="L80" s="588" t="s">
        <v>2407</v>
      </c>
      <c r="M80" s="588" t="s">
        <v>2408</v>
      </c>
      <c r="N80" s="588" t="s">
        <v>2409</v>
      </c>
      <c r="Z80" s="2514"/>
      <c r="AA80" s="2591"/>
      <c r="AG80" s="2667"/>
      <c r="AK80" s="2591"/>
    </row>
    <row r="81" spans="1:37" ht="38.25">
      <c r="A81" s="2677" t="s">
        <v>2778</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2758</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2759</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2775</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2765</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2766</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2763</v>
      </c>
      <c r="B87" s="2683" t="s">
        <v>2764</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2779</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2780</v>
      </c>
      <c r="B90" s="3089"/>
      <c r="C90" s="3089"/>
      <c r="D90" s="3089"/>
      <c r="E90" s="3089"/>
      <c r="F90" s="3089"/>
      <c r="G90" s="3089"/>
      <c r="H90" s="3089"/>
      <c r="I90" s="3089"/>
      <c r="J90" s="3089"/>
      <c r="K90" s="2694"/>
      <c r="L90" s="2694"/>
      <c r="M90" s="2694"/>
      <c r="N90" s="2694"/>
    </row>
    <row r="91" spans="1:37">
      <c r="A91" s="3091" t="s">
        <v>2781</v>
      </c>
      <c r="B91" s="3091" t="s">
        <v>2782</v>
      </c>
      <c r="C91" s="2642" t="s">
        <v>2783</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2784</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21</v>
      </c>
      <c r="D99" s="2699">
        <f t="shared" ref="D99:M99" si="30">$I$3</f>
        <v>21</v>
      </c>
      <c r="E99" s="2699">
        <f t="shared" si="30"/>
        <v>21</v>
      </c>
      <c r="F99" s="2699">
        <f t="shared" si="30"/>
        <v>21</v>
      </c>
      <c r="G99" s="2699">
        <f t="shared" si="30"/>
        <v>21</v>
      </c>
      <c r="H99" s="2699">
        <f t="shared" si="30"/>
        <v>21</v>
      </c>
      <c r="I99" s="2699">
        <f t="shared" si="30"/>
        <v>21</v>
      </c>
      <c r="J99" s="2699">
        <f t="shared" si="30"/>
        <v>21</v>
      </c>
      <c r="K99" s="2699">
        <f t="shared" si="30"/>
        <v>21</v>
      </c>
      <c r="L99" s="2699">
        <f t="shared" si="30"/>
        <v>21</v>
      </c>
      <c r="M99" s="2699">
        <f t="shared" si="30"/>
        <v>21</v>
      </c>
      <c r="N99" s="2699">
        <f>$I$3</f>
        <v>21</v>
      </c>
    </row>
    <row r="100" spans="1:14">
      <c r="A100" s="3094"/>
      <c r="B100" s="2697">
        <v>7</v>
      </c>
      <c r="C100" s="2700">
        <f>(-0.163*(C99^2)-0.59*C99+7617)*(10^(-4))</f>
        <v>0.75327270000000002</v>
      </c>
      <c r="D100" s="2700">
        <f>(-0.163*(D99^2)-0.59*D99+7617)*(10^(-4))</f>
        <v>0.75327270000000002</v>
      </c>
      <c r="E100" s="2700">
        <f>(-0.161*(E99^2)-7.509*E99+6533)*(10^(-4))</f>
        <v>0.63043100000000007</v>
      </c>
      <c r="F100" s="2700">
        <f>(-0.161*(F99^2)-7.509*F99+6533)*(10^(-4))</f>
        <v>0.63043100000000007</v>
      </c>
      <c r="G100" s="2700">
        <f>(-0.161*(G99^2)-7.509*G99+6533)*(10^(-4))</f>
        <v>0.63043100000000007</v>
      </c>
      <c r="H100" s="2700">
        <f>(-0.161*(H99^2)-7.509*H99+6533)*(10^(-4))</f>
        <v>0.63043100000000007</v>
      </c>
      <c r="I100" s="2700">
        <f>(-0.161*(I99^2)-7.509*I99+6533)*(10^(-4))</f>
        <v>0.63043100000000007</v>
      </c>
      <c r="J100" s="2700">
        <f>(-0.214*(J99^2)-21.991*J99+4665)*(10^(-4))</f>
        <v>0.41088150000000007</v>
      </c>
      <c r="K100" s="2700">
        <f>(-0.214*(K99^2)-21.991*K99+4665)*(10^(-4))</f>
        <v>0.41088150000000007</v>
      </c>
      <c r="L100" s="2700">
        <f>(-0.214*(L99^2)-21.991*L99+4665)*(10^(-4))</f>
        <v>0.41088150000000007</v>
      </c>
      <c r="M100" s="2700">
        <f>(-0.214*(M99^2)-21.991*M99+4665)*(10^(-4))</f>
        <v>0.41088150000000007</v>
      </c>
      <c r="N100" s="2700">
        <f>(-0.214*(N99^2)-21.991*N99+4665)*(10^(-4))</f>
        <v>0.41088150000000007</v>
      </c>
    </row>
    <row r="101" spans="1:14">
      <c r="A101" s="3092" t="s">
        <v>2785</v>
      </c>
      <c r="B101" s="2701" t="s">
        <v>2786</v>
      </c>
      <c r="C101" s="2702">
        <f>$G$3</f>
        <v>3.5</v>
      </c>
      <c r="D101" s="2702">
        <f t="shared" ref="D101:N101" si="31">$G$3</f>
        <v>3.5</v>
      </c>
      <c r="E101" s="2702">
        <f t="shared" si="31"/>
        <v>3.5</v>
      </c>
      <c r="F101" s="2702">
        <f t="shared" si="31"/>
        <v>3.5</v>
      </c>
      <c r="G101" s="2702">
        <f t="shared" si="31"/>
        <v>3.5</v>
      </c>
      <c r="H101" s="2702">
        <f t="shared" si="31"/>
        <v>3.5</v>
      </c>
      <c r="I101" s="2702">
        <f t="shared" si="31"/>
        <v>3.5</v>
      </c>
      <c r="J101" s="2702">
        <f t="shared" si="31"/>
        <v>3.5</v>
      </c>
      <c r="K101" s="2702">
        <f t="shared" si="31"/>
        <v>3.5</v>
      </c>
      <c r="L101" s="2702">
        <f t="shared" si="31"/>
        <v>3.5</v>
      </c>
      <c r="M101" s="2702">
        <f t="shared" si="31"/>
        <v>3.5</v>
      </c>
      <c r="N101" s="2702">
        <f t="shared" si="31"/>
        <v>3.5</v>
      </c>
    </row>
    <row r="102" spans="1:14">
      <c r="A102" s="3093"/>
      <c r="B102" s="2697">
        <v>1</v>
      </c>
      <c r="C102" s="2698">
        <f>1.9362/C101</f>
        <v>0.55320000000000003</v>
      </c>
      <c r="D102" s="2698">
        <f>1.9362/D101</f>
        <v>0.55320000000000003</v>
      </c>
      <c r="E102" s="2698">
        <f>1.8629/E101</f>
        <v>0.53225714285714287</v>
      </c>
      <c r="F102" s="2698">
        <f>1.8629/F101</f>
        <v>0.53225714285714287</v>
      </c>
      <c r="G102" s="2698">
        <f>1.8629/G101</f>
        <v>0.53225714285714287</v>
      </c>
      <c r="H102" s="2698">
        <f>1.8629/H101</f>
        <v>0.53225714285714287</v>
      </c>
      <c r="I102" s="2698">
        <f>1.8629/I101</f>
        <v>0.53225714285714287</v>
      </c>
      <c r="J102" s="2698">
        <f>1.942/J101</f>
        <v>0.55485714285714283</v>
      </c>
      <c r="K102" s="2698">
        <f>1.942/K101</f>
        <v>0.55485714285714283</v>
      </c>
      <c r="L102" s="2698">
        <f>1.942/L101</f>
        <v>0.55485714285714283</v>
      </c>
      <c r="M102" s="2698">
        <f>1.942/M101</f>
        <v>0.55485714285714283</v>
      </c>
      <c r="N102" s="2698">
        <f>1.942/N101</f>
        <v>0.55485714285714283</v>
      </c>
    </row>
    <row r="103" spans="1:14">
      <c r="A103" s="3093"/>
      <c r="B103" s="2697">
        <v>2</v>
      </c>
      <c r="C103" s="2698">
        <f>1.4198/C101</f>
        <v>0.40565714285714283</v>
      </c>
      <c r="D103" s="2698">
        <f>1.4198/D101</f>
        <v>0.40565714285714283</v>
      </c>
      <c r="E103" s="2698">
        <f>1.3372/E101</f>
        <v>0.38205714285714282</v>
      </c>
      <c r="F103" s="2698">
        <f>1.3372/F101</f>
        <v>0.38205714285714282</v>
      </c>
      <c r="G103" s="2698">
        <f>1.3372/G101</f>
        <v>0.38205714285714282</v>
      </c>
      <c r="H103" s="2698">
        <f>1.3372/H101</f>
        <v>0.38205714285714282</v>
      </c>
      <c r="I103" s="2698">
        <f>1.3372/I101</f>
        <v>0.38205714285714282</v>
      </c>
      <c r="J103" s="2698">
        <f>1.2799/J101</f>
        <v>0.36568571428571428</v>
      </c>
      <c r="K103" s="2698">
        <f>1.2799/K101</f>
        <v>0.36568571428571428</v>
      </c>
      <c r="L103" s="2698">
        <f>1.2799/L101</f>
        <v>0.36568571428571428</v>
      </c>
      <c r="M103" s="2698">
        <f>1.2799/M101</f>
        <v>0.36568571428571428</v>
      </c>
      <c r="N103" s="2698">
        <f>1.2799/N101</f>
        <v>0.36568571428571428</v>
      </c>
    </row>
    <row r="104" spans="1:14">
      <c r="A104" s="3093"/>
      <c r="B104" s="2697">
        <v>3</v>
      </c>
      <c r="C104" s="2698">
        <f>1.1594/C101</f>
        <v>0.33125714285714286</v>
      </c>
      <c r="D104" s="2698">
        <f>1.1594/D101</f>
        <v>0.33125714285714286</v>
      </c>
      <c r="E104" s="2698">
        <f>1.0788/E101</f>
        <v>0.30822857142857141</v>
      </c>
      <c r="F104" s="2698">
        <f>1.0788/F101</f>
        <v>0.30822857142857141</v>
      </c>
      <c r="G104" s="2698">
        <f>1.0788/G101</f>
        <v>0.30822857142857141</v>
      </c>
      <c r="H104" s="2698">
        <f>1.0788/H101</f>
        <v>0.30822857142857141</v>
      </c>
      <c r="I104" s="2698">
        <f>1.0788/I101</f>
        <v>0.30822857142857141</v>
      </c>
      <c r="J104" s="2698">
        <f>1.0072/J101</f>
        <v>0.28777142857142862</v>
      </c>
      <c r="K104" s="2698">
        <f>1.0072/K101</f>
        <v>0.28777142857142862</v>
      </c>
      <c r="L104" s="2698">
        <f>1.0072/L101</f>
        <v>0.28777142857142862</v>
      </c>
      <c r="M104" s="2698">
        <f>1.0072/M101</f>
        <v>0.28777142857142862</v>
      </c>
      <c r="N104" s="2698">
        <f>1.0072/N101</f>
        <v>0.28777142857142862</v>
      </c>
    </row>
    <row r="105" spans="1:14">
      <c r="A105" s="3093"/>
      <c r="B105" s="2697">
        <v>4</v>
      </c>
      <c r="C105" s="2698">
        <f>0.9622/C101</f>
        <v>0.27491428571428572</v>
      </c>
      <c r="D105" s="2698">
        <f>0.9622/D101</f>
        <v>0.27491428571428572</v>
      </c>
      <c r="E105" s="2698">
        <f>0.8656/E101</f>
        <v>0.24731428571428574</v>
      </c>
      <c r="F105" s="2698">
        <f>0.8656/F101</f>
        <v>0.24731428571428574</v>
      </c>
      <c r="G105" s="2698">
        <f>0.8656/G101</f>
        <v>0.24731428571428574</v>
      </c>
      <c r="H105" s="2698">
        <f>0.8656/H101</f>
        <v>0.24731428571428574</v>
      </c>
      <c r="I105" s="2698">
        <f>0.8656/I101</f>
        <v>0.24731428571428574</v>
      </c>
      <c r="J105" s="2698">
        <f>0.7525/J101</f>
        <v>0.215</v>
      </c>
      <c r="K105" s="2698">
        <f>0.7525/K101</f>
        <v>0.215</v>
      </c>
      <c r="L105" s="2698">
        <f>0.7525/L101</f>
        <v>0.215</v>
      </c>
      <c r="M105" s="2698">
        <f>0.7525/M101</f>
        <v>0.215</v>
      </c>
      <c r="N105" s="2698">
        <f>0.7525/N101</f>
        <v>0.215</v>
      </c>
    </row>
    <row r="106" spans="1:14">
      <c r="A106" s="3093"/>
      <c r="B106" s="2697">
        <v>5</v>
      </c>
      <c r="C106" s="2698">
        <f>0.8417/C101</f>
        <v>0.24048571428571427</v>
      </c>
      <c r="D106" s="2698">
        <f>0.8417/D101</f>
        <v>0.24048571428571427</v>
      </c>
      <c r="E106" s="2698">
        <f>0.7371/E101</f>
        <v>0.21059999999999998</v>
      </c>
      <c r="F106" s="2698">
        <f>0.7371/F101</f>
        <v>0.21059999999999998</v>
      </c>
      <c r="G106" s="2698">
        <f>0.7371/G101</f>
        <v>0.21059999999999998</v>
      </c>
      <c r="H106" s="2698">
        <f>0.7371/H101</f>
        <v>0.21059999999999998</v>
      </c>
      <c r="I106" s="2698">
        <f>0.7371/I101</f>
        <v>0.21059999999999998</v>
      </c>
      <c r="J106" s="2698">
        <f>0.5659/J101</f>
        <v>0.16168571428571427</v>
      </c>
      <c r="K106" s="2698">
        <f>0.5659/K101</f>
        <v>0.16168571428571427</v>
      </c>
      <c r="L106" s="2698">
        <f>0.5659/L101</f>
        <v>0.16168571428571427</v>
      </c>
      <c r="M106" s="2698">
        <f>0.5659/M101</f>
        <v>0.16168571428571427</v>
      </c>
      <c r="N106" s="2698">
        <f>0.5659/N101</f>
        <v>0.16168571428571427</v>
      </c>
    </row>
    <row r="107" spans="1:14">
      <c r="A107" s="3093"/>
      <c r="B107" s="2697">
        <v>6</v>
      </c>
      <c r="C107" s="2698">
        <f>0.7608/C101</f>
        <v>0.21737142857142858</v>
      </c>
      <c r="D107" s="2698">
        <f>0.7608/D101</f>
        <v>0.21737142857142858</v>
      </c>
      <c r="E107" s="2698">
        <f>0.6482/E101</f>
        <v>0.1852</v>
      </c>
      <c r="F107" s="2698">
        <f>0.6482/F101</f>
        <v>0.1852</v>
      </c>
      <c r="G107" s="2698">
        <f>0.6482/G101</f>
        <v>0.1852</v>
      </c>
      <c r="H107" s="2698">
        <f>0.6482/H101</f>
        <v>0.1852</v>
      </c>
      <c r="I107" s="2698">
        <f>0.6482/I101</f>
        <v>0.1852</v>
      </c>
      <c r="J107" s="2698">
        <f>0.4525/J101</f>
        <v>0.12928571428571428</v>
      </c>
      <c r="K107" s="2698">
        <f>0.4525/K101</f>
        <v>0.12928571428571428</v>
      </c>
      <c r="L107" s="2698">
        <f>0.4525/L101</f>
        <v>0.12928571428571428</v>
      </c>
      <c r="M107" s="2698">
        <f>0.4525/M101</f>
        <v>0.12928571428571428</v>
      </c>
      <c r="N107" s="2698">
        <f>0.4525/N101</f>
        <v>0.12928571428571428</v>
      </c>
    </row>
    <row r="108" spans="1:14">
      <c r="A108" s="3093"/>
      <c r="B108" s="3095" t="s">
        <v>2787</v>
      </c>
      <c r="C108" s="2699">
        <f>C99</f>
        <v>21</v>
      </c>
      <c r="D108" s="2699">
        <f t="shared" ref="D108:N108" si="32">D99</f>
        <v>21</v>
      </c>
      <c r="E108" s="2699">
        <f t="shared" si="32"/>
        <v>21</v>
      </c>
      <c r="F108" s="2699">
        <f t="shared" si="32"/>
        <v>21</v>
      </c>
      <c r="G108" s="2699">
        <f t="shared" si="32"/>
        <v>21</v>
      </c>
      <c r="H108" s="2699">
        <f t="shared" si="32"/>
        <v>21</v>
      </c>
      <c r="I108" s="2699">
        <f t="shared" si="32"/>
        <v>21</v>
      </c>
      <c r="J108" s="2699">
        <f t="shared" si="32"/>
        <v>21</v>
      </c>
      <c r="K108" s="2699">
        <f t="shared" si="32"/>
        <v>21</v>
      </c>
      <c r="L108" s="2699">
        <f t="shared" si="32"/>
        <v>21</v>
      </c>
      <c r="M108" s="2699">
        <f t="shared" si="32"/>
        <v>21</v>
      </c>
      <c r="N108" s="2699">
        <f t="shared" si="32"/>
        <v>21</v>
      </c>
    </row>
    <row r="109" spans="1:14">
      <c r="A109" s="3094"/>
      <c r="B109" s="3096"/>
      <c r="C109" s="2700">
        <f>(-0.163*(C108^2)-0.59*C108+7617)*(10^(-4))/C101</f>
        <v>0.21522077142857143</v>
      </c>
      <c r="D109" s="2700">
        <f>(-0.163*(D108^2)-0.59*D108+7617)*(10^(-4))/D101</f>
        <v>0.21522077142857143</v>
      </c>
      <c r="E109" s="2700">
        <f>(-0.161*(E108^2)-7.509*E108+6533)*(10^(-4))/E101</f>
        <v>0.18012314285714287</v>
      </c>
      <c r="F109" s="2700">
        <f>(-0.161*(F108^2)-7.509*F108+6533)*(10^(-4))/F101</f>
        <v>0.18012314285714287</v>
      </c>
      <c r="G109" s="2700">
        <f>(-0.161*(G108^2)-7.509*G108+6533)*(10^(-4))/G101</f>
        <v>0.18012314285714287</v>
      </c>
      <c r="H109" s="2700">
        <f>(-0.161*(H108^2)-7.509*H108+6533)*(10^(-4))/H101</f>
        <v>0.18012314285714287</v>
      </c>
      <c r="I109" s="2700">
        <f>(-0.161*(I108^2)-7.509*I108+6533)*(10^(-4))/I101</f>
        <v>0.18012314285714287</v>
      </c>
      <c r="J109" s="2700">
        <f>(-0.214*(J108^2)-21.991*J108+4665)*(10^(-4))/J101</f>
        <v>0.11739471428571431</v>
      </c>
      <c r="K109" s="2700">
        <f>(-0.214*(K108^2)-21.991*K108+4665)*(10^(-4))/K101</f>
        <v>0.11739471428571431</v>
      </c>
      <c r="L109" s="2700">
        <f>(-0.214*(L108^2)-21.991*L108+4665)*(10^(-4))/L101</f>
        <v>0.11739471428571431</v>
      </c>
      <c r="M109" s="2700">
        <f>(-0.214*(M108^2)-21.991*M108+4665)*(10^(-4))/M101</f>
        <v>0.11739471428571431</v>
      </c>
      <c r="N109" s="2700">
        <f>(-0.214*(N108^2)-21.991*N108+4665)*(10^(-4))/N101</f>
        <v>0.11739471428571431</v>
      </c>
    </row>
    <row r="110" spans="1:14">
      <c r="A110" s="3090" t="s">
        <v>2788</v>
      </c>
      <c r="B110" s="3090"/>
      <c r="C110" s="3090"/>
      <c r="D110" s="3090"/>
      <c r="E110" s="3090"/>
      <c r="F110" s="3090"/>
      <c r="G110" s="3090"/>
      <c r="H110" s="3090"/>
      <c r="I110" s="3090"/>
      <c r="J110" s="3090"/>
      <c r="K110" s="2703"/>
      <c r="L110" s="2703"/>
      <c r="M110" s="2703"/>
      <c r="N110" s="2703"/>
    </row>
    <row r="112" spans="1:14" ht="13.5" thickBot="1"/>
    <row r="113" spans="1:13" ht="25.5" thickBot="1">
      <c r="A113" s="929" t="s">
        <v>2789</v>
      </c>
      <c r="B113" s="1381">
        <f>G3</f>
        <v>3.5</v>
      </c>
      <c r="C113" s="930" t="s">
        <v>2790</v>
      </c>
      <c r="D113" s="931">
        <f>SUMPRODUCT((A115:A118=F113)*(B114:M114=H113)*B115:M118)</f>
        <v>0.90059999999999996</v>
      </c>
      <c r="E113" s="2705" t="s">
        <v>2676</v>
      </c>
      <c r="F113" s="2706" t="str">
        <f>E2</f>
        <v>商业</v>
      </c>
      <c r="G113" s="2705" t="s">
        <v>2610</v>
      </c>
      <c r="H113" s="2706" t="str">
        <f>G2</f>
        <v>二级</v>
      </c>
      <c r="I113" s="2705"/>
      <c r="J113" s="2707"/>
      <c r="K113" s="2707"/>
      <c r="L113" s="2707"/>
      <c r="M113" s="2707"/>
    </row>
    <row r="114" spans="1:13">
      <c r="A114" s="934"/>
      <c r="B114" s="2708" t="s">
        <v>2791</v>
      </c>
      <c r="C114" s="2708" t="s">
        <v>2792</v>
      </c>
      <c r="D114" s="2708" t="s">
        <v>2793</v>
      </c>
      <c r="E114" s="2709" t="s">
        <v>2794</v>
      </c>
      <c r="F114" s="2709" t="s">
        <v>2795</v>
      </c>
      <c r="G114" s="2709" t="s">
        <v>2796</v>
      </c>
      <c r="H114" s="2710" t="s">
        <v>2797</v>
      </c>
      <c r="I114" s="2710" t="s">
        <v>2798</v>
      </c>
      <c r="J114" s="2711" t="s">
        <v>2799</v>
      </c>
      <c r="K114" s="2711" t="s">
        <v>2800</v>
      </c>
      <c r="L114" s="2711" t="s">
        <v>2801</v>
      </c>
      <c r="M114" s="2712" t="s">
        <v>2802</v>
      </c>
    </row>
    <row r="115" spans="1:13">
      <c r="A115" s="935" t="s">
        <v>2677</v>
      </c>
      <c r="B115" s="936">
        <f>ROUND(0.9335-0.0094*B113,4)</f>
        <v>0.90059999999999996</v>
      </c>
      <c r="C115" s="936">
        <f>B115</f>
        <v>0.90059999999999996</v>
      </c>
      <c r="D115" s="936">
        <f>ROUND(0.8331-0.0109*B113,4)</f>
        <v>0.79500000000000004</v>
      </c>
      <c r="E115" s="936">
        <f>D115</f>
        <v>0.79500000000000004</v>
      </c>
      <c r="F115" s="936">
        <f>E115</f>
        <v>0.79500000000000004</v>
      </c>
      <c r="G115" s="936">
        <f>F115</f>
        <v>0.79500000000000004</v>
      </c>
      <c r="H115" s="936">
        <f>G115</f>
        <v>0.79500000000000004</v>
      </c>
      <c r="I115" s="936">
        <f>ROUND(0.689-0.0155*B113,4)</f>
        <v>0.63480000000000003</v>
      </c>
      <c r="J115" s="936">
        <f t="shared" ref="J115:M118" si="33">I115</f>
        <v>0.63480000000000003</v>
      </c>
      <c r="K115" s="936">
        <f t="shared" si="33"/>
        <v>0.63480000000000003</v>
      </c>
      <c r="L115" s="936">
        <f t="shared" si="33"/>
        <v>0.63480000000000003</v>
      </c>
      <c r="M115" s="937">
        <f t="shared" si="33"/>
        <v>0.63480000000000003</v>
      </c>
    </row>
    <row r="116" spans="1:13">
      <c r="A116" s="935" t="s">
        <v>2678</v>
      </c>
      <c r="B116" s="936">
        <f>ROUND(0.949-0.012*B113,4)</f>
        <v>0.90700000000000003</v>
      </c>
      <c r="C116" s="936">
        <f>B116</f>
        <v>0.90700000000000003</v>
      </c>
      <c r="D116" s="936">
        <f>ROUND(0.8567-0.013*B113,4)</f>
        <v>0.81120000000000003</v>
      </c>
      <c r="E116" s="936">
        <f t="shared" ref="E116:H117" si="34">D116</f>
        <v>0.81120000000000003</v>
      </c>
      <c r="F116" s="936">
        <f t="shared" si="34"/>
        <v>0.81120000000000003</v>
      </c>
      <c r="G116" s="936">
        <f t="shared" si="34"/>
        <v>0.81120000000000003</v>
      </c>
      <c r="H116" s="936">
        <f t="shared" si="34"/>
        <v>0.81120000000000003</v>
      </c>
      <c r="I116" s="936">
        <f>ROUND(0.7694-0.014*B113,4)</f>
        <v>0.72040000000000004</v>
      </c>
      <c r="J116" s="936">
        <f t="shared" si="33"/>
        <v>0.72040000000000004</v>
      </c>
      <c r="K116" s="936">
        <f t="shared" si="33"/>
        <v>0.72040000000000004</v>
      </c>
      <c r="L116" s="936">
        <f t="shared" si="33"/>
        <v>0.72040000000000004</v>
      </c>
      <c r="M116" s="937">
        <f t="shared" si="33"/>
        <v>0.72040000000000004</v>
      </c>
    </row>
    <row r="117" spans="1:13">
      <c r="A117" s="935" t="s">
        <v>2679</v>
      </c>
      <c r="B117" s="936">
        <f>ROUND(0.8808-0.006*B113,4)</f>
        <v>0.85980000000000001</v>
      </c>
      <c r="C117" s="936">
        <f>B117</f>
        <v>0.85980000000000001</v>
      </c>
      <c r="D117" s="936">
        <f>ROUND(0.8748-0.008*B113,4)</f>
        <v>0.8468</v>
      </c>
      <c r="E117" s="936">
        <f t="shared" si="34"/>
        <v>0.8468</v>
      </c>
      <c r="F117" s="936">
        <f t="shared" si="34"/>
        <v>0.8468</v>
      </c>
      <c r="G117" s="936">
        <f t="shared" si="34"/>
        <v>0.8468</v>
      </c>
      <c r="H117" s="936">
        <f t="shared" si="34"/>
        <v>0.8468</v>
      </c>
      <c r="I117" s="936">
        <f>ROUND(0.7412-0.0095*B113,4)</f>
        <v>0.70799999999999996</v>
      </c>
      <c r="J117" s="936">
        <f t="shared" si="33"/>
        <v>0.70799999999999996</v>
      </c>
      <c r="K117" s="936">
        <f t="shared" si="33"/>
        <v>0.70799999999999996</v>
      </c>
      <c r="L117" s="936">
        <f t="shared" si="33"/>
        <v>0.70799999999999996</v>
      </c>
      <c r="M117" s="937">
        <f t="shared" si="33"/>
        <v>0.70799999999999996</v>
      </c>
    </row>
    <row r="118" spans="1:13" ht="13.5" thickBot="1">
      <c r="A118" s="703" t="s">
        <v>2680</v>
      </c>
      <c r="B118" s="938">
        <f>ROUND(0.7275-0.01*B113,4)</f>
        <v>0.6925</v>
      </c>
      <c r="C118" s="938">
        <f>B118</f>
        <v>0.6925</v>
      </c>
      <c r="D118" s="938">
        <f>ROUND(0.7043-0.012*B113,4)</f>
        <v>0.6623</v>
      </c>
      <c r="E118" s="938">
        <f>D118</f>
        <v>0.6623</v>
      </c>
      <c r="F118" s="938">
        <f>E118</f>
        <v>0.6623</v>
      </c>
      <c r="G118" s="938">
        <f>ROUND(0.6299-0.0122*B113,4)</f>
        <v>0.58720000000000006</v>
      </c>
      <c r="H118" s="938">
        <f>G118</f>
        <v>0.58720000000000006</v>
      </c>
      <c r="I118" s="938">
        <f>ROUND(0.5667-0.0136*B113,4)</f>
        <v>0.51910000000000001</v>
      </c>
      <c r="J118" s="938">
        <f t="shared" si="33"/>
        <v>0.51910000000000001</v>
      </c>
      <c r="K118" s="938">
        <f t="shared" si="33"/>
        <v>0.51910000000000001</v>
      </c>
      <c r="L118" s="938">
        <f t="shared" si="33"/>
        <v>0.51910000000000001</v>
      </c>
      <c r="M118" s="939">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G19" sqref="G19"/>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2813</v>
      </c>
      <c r="C1" s="163"/>
      <c r="D1" s="163"/>
      <c r="E1" s="163"/>
      <c r="F1" s="163"/>
      <c r="G1" s="164"/>
    </row>
    <row r="2" spans="1:7" s="165" customFormat="1" ht="18" customHeight="1">
      <c r="A2" s="166" t="s">
        <v>2008</v>
      </c>
      <c r="B2" s="167">
        <f ca="1">IF(D2="——",IF(C2="元",C52,ROUND(C52/10000,0)),IF(C2="元",C52,ROUND(C52/10000,0))-E2)</f>
        <v>2135640</v>
      </c>
      <c r="C2" s="164" t="str">
        <f>'数据-取费表'!B3</f>
        <v>元</v>
      </c>
      <c r="D2" s="2339" t="s">
        <v>1257</v>
      </c>
      <c r="E2" s="1548">
        <f ca="1">SUMIF(INDIRECT("'"&amp;G2&amp;"'"&amp;"!A:A"),"承租人权益价值",INDIRECT("'"&amp;G2&amp;"'"&amp;"!c:c"))</f>
        <v>-1871135</v>
      </c>
      <c r="F2" s="2340" t="str">
        <f>C2</f>
        <v>元</v>
      </c>
      <c r="G2" s="1912" t="s">
        <v>2861</v>
      </c>
    </row>
    <row r="3" spans="1:7" s="165" customFormat="1" ht="18" customHeight="1" thickBot="1">
      <c r="A3" s="168" t="s">
        <v>2009</v>
      </c>
      <c r="B3" s="169">
        <f ca="1">ROUND(C52/IF(B1="仅计算典型户型",'数据-取费表'!E5,'数据-取费表'!B5),0)</f>
        <v>17190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1236565</v>
      </c>
      <c r="D5" s="196" t="s">
        <v>2014</v>
      </c>
      <c r="E5" s="1534" t="s">
        <v>2015</v>
      </c>
      <c r="F5" s="1534" t="s">
        <v>2016</v>
      </c>
      <c r="G5" s="175"/>
    </row>
    <row r="6" spans="1:7" s="176" customFormat="1" ht="13.5" customHeight="1">
      <c r="A6" s="177" t="s">
        <v>2017</v>
      </c>
      <c r="B6" s="178" t="s">
        <v>2018</v>
      </c>
      <c r="C6" s="1533">
        <f ca="1">基准地价修正!B2</f>
        <v>1185498</v>
      </c>
      <c r="D6" s="1535"/>
      <c r="E6" s="1536"/>
      <c r="F6" s="1536"/>
      <c r="G6" s="180"/>
    </row>
    <row r="7" spans="1:7" s="176" customFormat="1" ht="13.5" customHeight="1">
      <c r="A7" s="177" t="s">
        <v>2019</v>
      </c>
      <c r="B7" s="178" t="s">
        <v>2020</v>
      </c>
      <c r="C7" s="200">
        <f ca="1">ROUND(C6*F7,0)</f>
        <v>36158</v>
      </c>
      <c r="D7" s="200"/>
      <c r="E7" s="1536"/>
      <c r="F7" s="1537">
        <f>'数据-取费表'!E36+'数据-取费表'!E37</f>
        <v>3.0499999999999999E-2</v>
      </c>
      <c r="G7" s="180"/>
    </row>
    <row r="8" spans="1:7" s="181" customFormat="1">
      <c r="A8" s="177" t="s">
        <v>2021</v>
      </c>
      <c r="B8" s="178" t="s">
        <v>2022</v>
      </c>
      <c r="C8" s="200">
        <f>IF(G8="已包含在土地购买价格中","0",'数据-取费表'!E13)</f>
        <v>14909</v>
      </c>
      <c r="D8" s="1538"/>
      <c r="E8" s="200"/>
      <c r="F8" s="1537"/>
      <c r="G8" s="2341" t="s">
        <v>2940</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80</v>
      </c>
      <c r="F9" s="1537"/>
      <c r="G9" s="183"/>
    </row>
    <row r="10" spans="1:7" s="176" customFormat="1" ht="13.5" customHeight="1">
      <c r="A10" s="1306" t="s">
        <v>955</v>
      </c>
      <c r="B10" s="182" t="s">
        <v>2024</v>
      </c>
      <c r="C10" s="1539">
        <f>ROUND(D10*E10,0)</f>
        <v>14909</v>
      </c>
      <c r="D10" s="1540">
        <f>IF('数据-取费表'!B10&lt;&gt;"住宅",IF(B1="仅计算典型户型",'数据-取费表'!E5,'数据-取费表'!B5),0)</f>
        <v>124.24</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124.24</v>
      </c>
      <c r="E19" s="196">
        <f>'数据-取费表'!E15</f>
        <v>0</v>
      </c>
      <c r="F19" s="197"/>
      <c r="G19" s="2341" t="s">
        <v>2941</v>
      </c>
    </row>
    <row r="20" spans="1:7" s="176" customFormat="1" ht="13.5" customHeight="1">
      <c r="A20" s="205" t="s">
        <v>2036</v>
      </c>
      <c r="B20" s="174" t="s">
        <v>2037</v>
      </c>
      <c r="C20" s="184">
        <f ca="1">ROUND((C5+C19)*F20,0)</f>
        <v>24731</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90019</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89143</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876</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252259</v>
      </c>
      <c r="D27" s="186">
        <f>C29</f>
        <v>4.0000000000000001E-3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252259</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1739234</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414341</v>
      </c>
      <c r="D33" s="184"/>
      <c r="E33" s="1534"/>
      <c r="F33" s="192"/>
      <c r="G33" s="185"/>
    </row>
    <row r="34" spans="1:7" s="207" customFormat="1" ht="13.5" customHeight="1">
      <c r="A34" s="177" t="s">
        <v>2045</v>
      </c>
      <c r="B34" s="178" t="s">
        <v>2067</v>
      </c>
      <c r="C34" s="200">
        <f>IF(B1="仅计算典型户型",'数据-取费表'!F18,'数据-取费表'!E18)</f>
        <v>372720</v>
      </c>
      <c r="D34" s="1535"/>
      <c r="E34" s="200"/>
      <c r="F34" s="1546" t="str">
        <f>IF('数据-取费表'!B25=0,"",'数据-取费表'!E20)</f>
        <v/>
      </c>
      <c r="G34" s="180"/>
    </row>
    <row r="35" spans="1:7" ht="13.5" customHeight="1">
      <c r="A35" s="177" t="s">
        <v>2019</v>
      </c>
      <c r="B35" s="178" t="s">
        <v>2068</v>
      </c>
      <c r="C35" s="200">
        <f>ROUND(C34*F35,0)</f>
        <v>11182</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24848</v>
      </c>
      <c r="D37" s="1535">
        <f>IF(B1="仅计算典型户型",'数据-取费表'!E5,'数据-取费表'!B5)</f>
        <v>124.24</v>
      </c>
      <c r="E37" s="200">
        <f>'数据-取费表'!E23</f>
        <v>200</v>
      </c>
      <c r="F37" s="1547"/>
      <c r="G37" s="209" t="s">
        <v>2073</v>
      </c>
    </row>
    <row r="38" spans="1:7" ht="13.5" customHeight="1">
      <c r="A38" s="177" t="s">
        <v>2074</v>
      </c>
      <c r="B38" s="178" t="s">
        <v>2075</v>
      </c>
      <c r="C38" s="200">
        <f>ROUND(C34*F38,0)</f>
        <v>5591</v>
      </c>
      <c r="D38" s="200"/>
      <c r="E38" s="200"/>
      <c r="F38" s="1547">
        <f>'数据-取费表'!E24</f>
        <v>1.4999999999999999E-2</v>
      </c>
      <c r="G38" s="180" t="s">
        <v>2069</v>
      </c>
    </row>
    <row r="39" spans="1:7" s="176" customFormat="1" ht="13.5" customHeight="1">
      <c r="A39" s="205" t="s">
        <v>2034</v>
      </c>
      <c r="B39" s="174" t="s">
        <v>2037</v>
      </c>
      <c r="C39" s="184">
        <f>ROUND(C33*F20,0)</f>
        <v>8287</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14969</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14675</v>
      </c>
      <c r="D42" s="189"/>
      <c r="E42" s="189"/>
      <c r="F42" s="190"/>
      <c r="G42" s="2992" t="s">
        <v>2079</v>
      </c>
    </row>
    <row r="43" spans="1:7" ht="13.5" customHeight="1">
      <c r="A43" s="177" t="s">
        <v>2019</v>
      </c>
      <c r="B43" s="178" t="s">
        <v>2048</v>
      </c>
      <c r="C43" s="189">
        <f ca="1">ROUND(IF('数据-取费表'!B23&lt;=1,C39*F22*'数据-取费表'!B22/2,C39*(POWER((1+F22),'数据-取费表'!B22/2)-1)),0)</f>
        <v>294</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84526</v>
      </c>
      <c r="D45" s="186">
        <f>C47</f>
        <v>4.0000000000000001E-3</v>
      </c>
      <c r="E45" s="187" t="s">
        <v>2077</v>
      </c>
      <c r="F45" s="197"/>
      <c r="G45" s="198" t="s">
        <v>2080</v>
      </c>
    </row>
    <row r="46" spans="1:7" s="176" customFormat="1" ht="13.5" customHeight="1">
      <c r="A46" s="177" t="s">
        <v>2045</v>
      </c>
      <c r="B46" s="199" t="s">
        <v>2081</v>
      </c>
      <c r="C46" s="200">
        <f>ROUND((C33+C39)*F27,0)</f>
        <v>84526</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566294</v>
      </c>
      <c r="D49" s="184"/>
      <c r="E49" s="184"/>
      <c r="F49" s="211"/>
      <c r="G49" s="185" t="s">
        <v>2087</v>
      </c>
    </row>
    <row r="50" spans="1:7" s="207" customFormat="1" ht="24">
      <c r="A50" s="1307" t="s">
        <v>2088</v>
      </c>
      <c r="B50" s="174" t="s">
        <v>2089</v>
      </c>
      <c r="C50" s="184"/>
      <c r="D50" s="184"/>
      <c r="E50" s="184"/>
      <c r="F50" s="211">
        <f>IF('数据-取费表'!B25=0,'数据-取费表'!E20,1)</f>
        <v>0.7</v>
      </c>
      <c r="G50" s="198" t="s">
        <v>2090</v>
      </c>
    </row>
    <row r="51" spans="1:7" ht="16.5" customHeight="1">
      <c r="A51" s="1307" t="s">
        <v>2091</v>
      </c>
      <c r="B51" s="174" t="s">
        <v>2092</v>
      </c>
      <c r="C51" s="184">
        <f ca="1">ROUND(C49*F50,0)</f>
        <v>396406</v>
      </c>
      <c r="D51" s="184"/>
      <c r="E51" s="184"/>
      <c r="F51" s="211"/>
      <c r="G51" s="185" t="s">
        <v>2093</v>
      </c>
    </row>
    <row r="52" spans="1:7" s="173" customFormat="1" ht="16.5" thickBot="1">
      <c r="A52" s="212" t="s">
        <v>2094</v>
      </c>
      <c r="B52" s="213"/>
      <c r="C52" s="214">
        <f ca="1">C31+C51</f>
        <v>2135640</v>
      </c>
      <c r="D52" s="213"/>
      <c r="E52" s="213"/>
      <c r="F52" s="213"/>
      <c r="G52" s="215"/>
    </row>
    <row r="55" spans="1:7" ht="15">
      <c r="B55" s="217" t="s">
        <v>2095</v>
      </c>
      <c r="C55" s="218"/>
    </row>
    <row r="56" spans="1:7">
      <c r="B56" s="220" t="s">
        <v>2096</v>
      </c>
      <c r="C56" s="221">
        <f ca="1">ROUND(C51/C52,3)</f>
        <v>0.186</v>
      </c>
    </row>
    <row r="57" spans="1:7">
      <c r="B57" s="220" t="s">
        <v>2097</v>
      </c>
      <c r="C57" s="222">
        <f ca="1">1-C56</f>
        <v>0.81400000000000006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14778</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0.30000000000000004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-14909</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-14909</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-298</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-3041</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-3041</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14778</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2813</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1754769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14124</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132826</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132642</v>
      </c>
      <c r="D6" s="81" t="s">
        <v>2804</v>
      </c>
      <c r="E6" s="320" t="s">
        <v>2110</v>
      </c>
      <c r="F6" s="321">
        <f>'数据-取费表'!B29</f>
        <v>3.25</v>
      </c>
      <c r="G6" s="1240"/>
      <c r="H6" s="1386" t="s">
        <v>2108</v>
      </c>
      <c r="I6" s="2031" t="s">
        <v>2109</v>
      </c>
      <c r="J6" s="319">
        <f>ROUND(M6*M8*M7*(1-M9),0)</f>
        <v>0</v>
      </c>
      <c r="K6" s="81" t="s">
        <v>2804</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124.24</v>
      </c>
      <c r="G7" s="1240"/>
      <c r="H7" s="322"/>
      <c r="I7" s="323"/>
      <c r="J7" s="324"/>
      <c r="K7" s="325"/>
      <c r="L7" s="320" t="s">
        <v>2111</v>
      </c>
      <c r="M7" s="321">
        <f>IF('数据-取费表'!B41="",IF(D1="仅计算典型户型",'数据-取费表'!E5,'数据-取费表'!B5),'数据-取费表'!B41)</f>
        <v>124.24</v>
      </c>
    </row>
    <row r="8" spans="1:37" ht="18" customHeight="1">
      <c r="A8" s="1449"/>
      <c r="B8" s="323"/>
      <c r="C8" s="324"/>
      <c r="D8" s="325"/>
      <c r="E8" s="320" t="s">
        <v>2112</v>
      </c>
      <c r="F8" s="321">
        <f>'数据-取费表'!B42</f>
        <v>365</v>
      </c>
      <c r="G8" s="1240"/>
      <c r="H8" s="322"/>
      <c r="I8" s="323"/>
      <c r="J8" s="324"/>
      <c r="K8" s="325"/>
      <c r="L8" s="320" t="s">
        <v>2113</v>
      </c>
      <c r="M8" s="321">
        <f>'数据-取费表'!B42</f>
        <v>365</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184</v>
      </c>
      <c r="D10" s="2345" t="s">
        <v>2805</v>
      </c>
      <c r="E10" s="331" t="s">
        <v>2117</v>
      </c>
      <c r="F10" s="2346" t="s">
        <v>2118</v>
      </c>
      <c r="G10" s="1240"/>
      <c r="H10" s="1386" t="s">
        <v>2115</v>
      </c>
      <c r="I10" s="2344" t="s">
        <v>2116</v>
      </c>
      <c r="J10" s="1387">
        <f ca="1">ROUND(IF(M10="押一",M6*M8*M7/12*M11,IF(M10="押二",M6*M8*M7/12*2*M11,IF(M10="押三",M6*M8*M7/12*3*M11,J11*M11))),0)</f>
        <v>0</v>
      </c>
      <c r="K10" s="81" t="s">
        <v>2806</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396406</v>
      </c>
      <c r="D13" s="1424" t="s">
        <v>2125</v>
      </c>
      <c r="E13" s="1424" t="s">
        <v>2126</v>
      </c>
      <c r="F13" s="1425">
        <f>'数据-取费表'!E20</f>
        <v>0.7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372720</v>
      </c>
      <c r="D14" s="1894" t="s">
        <v>2129</v>
      </c>
      <c r="E14" s="1895"/>
      <c r="F14" s="980"/>
      <c r="G14" s="1241"/>
      <c r="H14" s="338" t="s">
        <v>2108</v>
      </c>
      <c r="I14" s="320" t="s">
        <v>2130</v>
      </c>
      <c r="J14" s="14">
        <f ca="1">C29</f>
        <v>566294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11182</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0</v>
      </c>
      <c r="D16" s="320" t="s">
        <v>2133</v>
      </c>
      <c r="E16" s="320" t="s">
        <v>2134</v>
      </c>
      <c r="F16" s="343">
        <f>IF('数据-取费表'!B10="住宅",'数据-取费表'!E22,0)</f>
        <v>0</v>
      </c>
      <c r="G16" s="1241"/>
      <c r="H16" s="1422" t="s">
        <v>14</v>
      </c>
      <c r="I16" s="1423" t="s">
        <v>2139</v>
      </c>
      <c r="J16" s="328">
        <f ca="1">ROUND(J17+J22+J23+J24,0)</f>
        <v>8494</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24848</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5591</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414341</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8287</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8494</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14969</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-8494</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84526</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566294</v>
      </c>
      <c r="D29" s="1435"/>
      <c r="E29" s="1433"/>
      <c r="F29" s="1436"/>
      <c r="G29" s="792"/>
      <c r="H29" s="357" t="s">
        <v>24</v>
      </c>
      <c r="I29" s="358" t="s">
        <v>2204</v>
      </c>
      <c r="J29" s="359">
        <f ca="1">ROUND(J26/(1+F40)^F41,0)</f>
        <v>0</v>
      </c>
      <c r="K29" s="360" t="s">
        <v>2205</v>
      </c>
      <c r="L29" s="361"/>
      <c r="M29" s="362">
        <f>IF(D1="仅计算典型户型",'数据-取费表'!E5,'数据-取费表'!B5)</f>
        <v>124.24</v>
      </c>
    </row>
    <row r="30" spans="1:37" ht="18" customHeight="1" thickTop="1">
      <c r="A30" s="1422" t="s">
        <v>14</v>
      </c>
      <c r="B30" s="1423" t="s">
        <v>2206</v>
      </c>
      <c r="C30" s="328">
        <f ca="1">ROUND(C31+C36+C37+C38,0)</f>
        <v>21044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9297.7999999999993</v>
      </c>
      <c r="D31" s="1894" t="s">
        <v>2208</v>
      </c>
      <c r="E31" s="1899" t="s">
        <v>2209</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31712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8494</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595</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2657</v>
      </c>
      <c r="D38" s="1435" t="s">
        <v>2181</v>
      </c>
      <c r="E38" s="1433" t="s">
        <v>2177</v>
      </c>
      <c r="F38" s="1428">
        <f>'数据-取费表'!B46</f>
        <v>0.02</v>
      </c>
      <c r="G38" s="792"/>
      <c r="H38" s="1232"/>
      <c r="I38" s="366" t="s">
        <v>2219</v>
      </c>
      <c r="J38" s="221">
        <f ca="1">ROUND(J34/C39,3)</f>
        <v>0.28399999999999997</v>
      </c>
      <c r="K38" s="1237"/>
      <c r="L38" s="1232"/>
      <c r="M38" s="1232"/>
    </row>
    <row r="39" spans="1:18" ht="18" customHeight="1" thickTop="1">
      <c r="A39" s="1422" t="s">
        <v>22</v>
      </c>
      <c r="B39" s="1437" t="s">
        <v>2220</v>
      </c>
      <c r="C39" s="328">
        <f ca="1">C5-C30</f>
        <v>111782</v>
      </c>
      <c r="D39" s="1438" t="s">
        <v>2221</v>
      </c>
      <c r="E39" s="1439"/>
      <c r="F39" s="1440"/>
      <c r="G39" s="792"/>
      <c r="H39" s="1232"/>
      <c r="I39" s="366" t="s">
        <v>2222</v>
      </c>
      <c r="J39" s="221">
        <f ca="1">1-J38</f>
        <v>0.71599999999999997</v>
      </c>
      <c r="K39" s="1237"/>
      <c r="L39" s="1232"/>
      <c r="M39" s="1232"/>
    </row>
    <row r="40" spans="1:18" s="792" customFormat="1" ht="18" customHeight="1">
      <c r="A40" s="317" t="s">
        <v>23</v>
      </c>
      <c r="B40" s="318" t="s">
        <v>2223</v>
      </c>
      <c r="C40" s="319">
        <f ca="1">ROUND(C39*(1-((1+F42)/(1+F40))^F41)/(F40-F42),0)</f>
        <v>1754769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2819</v>
      </c>
      <c r="F41" s="356">
        <f>IF('数据-取费表'!B28="租赁期内按合同租金",'数据-取费表'!B34,IF(E41="收益年期(n)",'数据-取费表'!B33,'数据-取费表'!B13))</f>
        <v>19.5</v>
      </c>
      <c r="H41" s="1239"/>
      <c r="I41" s="220" t="s">
        <v>2096</v>
      </c>
      <c r="J41" s="221">
        <f ca="1">ROUND(C13/C40,3)</f>
        <v>0.22600000000000001</v>
      </c>
      <c r="K41" s="1236"/>
      <c r="L41" s="1239"/>
      <c r="M41" s="1239"/>
      <c r="Q41" s="796"/>
    </row>
    <row r="42" spans="1:18" s="792" customFormat="1" ht="18" customHeight="1">
      <c r="A42" s="326"/>
      <c r="B42" s="327"/>
      <c r="C42" s="328"/>
      <c r="D42" s="350"/>
      <c r="E42" s="320" t="s">
        <v>2201</v>
      </c>
      <c r="F42" s="330">
        <f>'数据-取费表'!B31</f>
        <v>2.5000000000000001E-2</v>
      </c>
      <c r="H42" s="1239"/>
      <c r="I42" s="220" t="s">
        <v>2097</v>
      </c>
      <c r="J42" s="222">
        <f ca="1">1-J41</f>
        <v>0.77400000000000002</v>
      </c>
      <c r="K42" s="1236"/>
      <c r="L42" s="1239"/>
      <c r="M42" s="1239"/>
      <c r="Q42" s="796"/>
    </row>
    <row r="43" spans="1:18" s="792" customFormat="1" ht="18" customHeight="1" thickBot="1">
      <c r="A43" s="357" t="s">
        <v>24</v>
      </c>
      <c r="B43" s="358" t="s">
        <v>2226</v>
      </c>
      <c r="C43" s="359">
        <f ca="1">ROUND(C40/F43,0)</f>
        <v>14124</v>
      </c>
      <c r="D43" s="360" t="s">
        <v>2227</v>
      </c>
      <c r="E43" s="361" t="s">
        <v>2228</v>
      </c>
      <c r="F43" s="362">
        <f>IF(D1="仅计算典型户型",'数据-取费表'!E5,'数据-取费表'!B5)</f>
        <v>124.24</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1754769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-1871135</v>
      </c>
      <c r="D47" s="2351" t="str">
        <f>C2</f>
        <v>元</v>
      </c>
      <c r="E47" s="777"/>
      <c r="F47" s="777"/>
      <c r="I47" s="2352" t="s">
        <v>2239</v>
      </c>
      <c r="J47" s="1345"/>
      <c r="K47" s="1346"/>
      <c r="L47" s="1359" t="str">
        <f>IF(M48="住宅",0,IF(L49&gt;J52,L61,J61))</f>
        <v>0</v>
      </c>
      <c r="O47" s="1373" t="s">
        <v>960</v>
      </c>
      <c r="P47" s="1370" t="s">
        <v>2240</v>
      </c>
      <c r="Q47" s="1371">
        <f ca="1">C29</f>
        <v>566294</v>
      </c>
      <c r="R47" s="1372" t="s">
        <v>2235</v>
      </c>
    </row>
    <row r="48" spans="1:18" s="792" customFormat="1" ht="15.75" thickBot="1">
      <c r="A48" s="313" t="s">
        <v>2241</v>
      </c>
      <c r="B48" s="314" t="s">
        <v>2242</v>
      </c>
      <c r="C48" s="314" t="s">
        <v>2243</v>
      </c>
      <c r="D48" s="314" t="s">
        <v>2244</v>
      </c>
      <c r="E48" s="1299" t="s">
        <v>2245</v>
      </c>
      <c r="F48" s="1300"/>
      <c r="I48" s="2353" t="s">
        <v>2246</v>
      </c>
      <c r="J48" s="2354" t="s">
        <v>2900</v>
      </c>
      <c r="K48" s="2355" t="s">
        <v>2247</v>
      </c>
      <c r="L48" s="1347">
        <f>'数据-取费表'!B11</f>
        <v>40</v>
      </c>
      <c r="M48" s="1360" t="str">
        <f>IF('数据-取费表'!B10="住宅","住宅","非住宅")</f>
        <v>非住宅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t="s">
        <v>2942</v>
      </c>
      <c r="K49" s="2358" t="s">
        <v>2251</v>
      </c>
      <c r="L49" s="1129">
        <f>'数据-取费表'!B13</f>
        <v>19.5</v>
      </c>
      <c r="O49" s="1373" t="s">
        <v>962</v>
      </c>
      <c r="P49" s="1370" t="s">
        <v>2252</v>
      </c>
      <c r="Q49" s="1374">
        <f>J53</f>
        <v>0</v>
      </c>
      <c r="R49" s="1372"/>
    </row>
    <row r="50" spans="1:18" s="792" customFormat="1" ht="15.75" thickBot="1">
      <c r="A50" s="346" t="s">
        <v>2108</v>
      </c>
      <c r="B50" s="2031" t="s">
        <v>2253</v>
      </c>
      <c r="C50" s="319">
        <f>ROUND(F50*F52*F51*(1-F53),0)</f>
        <v>0</v>
      </c>
      <c r="D50" s="94" t="s">
        <v>2807</v>
      </c>
      <c r="E50" s="2359" t="s">
        <v>2254</v>
      </c>
      <c r="F50" s="1301"/>
      <c r="I50" s="2356" t="s">
        <v>2255</v>
      </c>
      <c r="J50" s="1129">
        <f>'数据-取费表'!B26</f>
        <v>1999</v>
      </c>
      <c r="K50" s="2360" t="s">
        <v>2256</v>
      </c>
      <c r="L50" s="1348"/>
      <c r="O50" s="1373" t="s">
        <v>963</v>
      </c>
      <c r="P50" s="1370" t="s">
        <v>2257</v>
      </c>
      <c r="Q50" s="1371">
        <f>J54</f>
        <v>19.5</v>
      </c>
      <c r="R50" s="1372" t="s">
        <v>2258</v>
      </c>
    </row>
    <row r="51" spans="1:18" s="792" customFormat="1" ht="15.75" thickBot="1">
      <c r="A51" s="322"/>
      <c r="B51" s="323"/>
      <c r="C51" s="324"/>
      <c r="D51" s="325"/>
      <c r="E51" s="340" t="s">
        <v>2111</v>
      </c>
      <c r="F51" s="1298">
        <f>F7</f>
        <v>124.24</v>
      </c>
      <c r="I51" s="2356" t="s">
        <v>2259</v>
      </c>
      <c r="J51" s="1349">
        <f>SUMPRODUCT((I64:I66=J48)*(J63:L63=J49)*(J64:L66))</f>
        <v>60</v>
      </c>
      <c r="K51" s="2360" t="s">
        <v>2260</v>
      </c>
      <c r="L51" s="1348"/>
      <c r="O51" s="1369" t="s">
        <v>964</v>
      </c>
      <c r="P51" s="1370" t="str">
        <f>IF(C2="元","收益价值(元)","收益价值(万元)")</f>
        <v>收益价值(元)</v>
      </c>
      <c r="Q51" s="1371">
        <f ca="1">ROUND(IF(C2="元",Q45+Q46,(Q45+Q46)/10000),0)</f>
        <v>1754769</v>
      </c>
      <c r="R51" s="1372" t="s">
        <v>965</v>
      </c>
    </row>
    <row r="52" spans="1:18" s="792" customFormat="1" ht="16.5" thickBot="1">
      <c r="A52" s="322"/>
      <c r="B52" s="323"/>
      <c r="C52" s="324"/>
      <c r="D52" s="325"/>
      <c r="E52" s="320" t="s">
        <v>2113</v>
      </c>
      <c r="F52" s="321">
        <f>F8</f>
        <v>365</v>
      </c>
      <c r="I52" s="2361" t="s">
        <v>2261</v>
      </c>
      <c r="J52" s="1350">
        <f>IF(J50="",J51,J50+J51-YEAR('数据-取费表'!B2))</f>
        <v>41</v>
      </c>
      <c r="K52" s="2362" t="s">
        <v>2262</v>
      </c>
      <c r="L52" s="1351">
        <f ca="1">ROUND(-PV('数据-取费表'!B15,L49,(C40-C13*J35)),0)</f>
        <v>23027565</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2805</v>
      </c>
      <c r="E54" s="331" t="s">
        <v>2117</v>
      </c>
      <c r="F54" s="2346"/>
      <c r="I54" s="2364" t="s">
        <v>2266</v>
      </c>
      <c r="J54" s="1353">
        <f>IF(M48="住宅",J52,IF(E1="——",MIN(J52,L49),IF(E1="在建（套用方法）",MIN(J52,L49-'数据-取费表'!B25),IF(E1="土地（套用方法）",MIN(J52,L49-'数据-取费表'!B21)))))</f>
        <v>19.5</v>
      </c>
      <c r="K54" s="2995" t="s">
        <v>2803</v>
      </c>
      <c r="L54" s="2996"/>
      <c r="O54" s="1369" t="s">
        <v>958</v>
      </c>
      <c r="P54" s="1370" t="s">
        <v>2234</v>
      </c>
      <c r="Q54" s="1371">
        <f ca="1">C40+J29</f>
        <v>1754769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396406</v>
      </c>
      <c r="D57" s="1296"/>
      <c r="E57" s="1297"/>
      <c r="F57" s="1304"/>
      <c r="I57" s="2371" t="s">
        <v>2272</v>
      </c>
      <c r="J57" s="1357" t="s">
        <v>2864</v>
      </c>
      <c r="K57" s="2356" t="s">
        <v>2273</v>
      </c>
      <c r="L57" s="1129" t="str">
        <f>IF(L49&lt;J52,"——",L49-J52)</f>
        <v>——</v>
      </c>
      <c r="O57" s="1373" t="s">
        <v>961</v>
      </c>
      <c r="P57" s="1370" t="s">
        <v>2274</v>
      </c>
      <c r="Q57" s="1374">
        <f>L53</f>
        <v>0</v>
      </c>
      <c r="R57" s="1372"/>
    </row>
    <row r="58" spans="1:18" s="792" customFormat="1" ht="29.25" thickBot="1">
      <c r="A58" s="1303"/>
      <c r="B58" s="320" t="s">
        <v>2203</v>
      </c>
      <c r="C58" s="189">
        <f ca="1">C29</f>
        <v>566294</v>
      </c>
      <c r="D58" s="1296"/>
      <c r="E58" s="1297"/>
      <c r="F58" s="1304"/>
      <c r="I58" s="2372" t="s">
        <v>2275</v>
      </c>
      <c r="J58" s="1356" t="str">
        <f>IF(OR(M48="住宅",J52&lt;L49,J57="是"),"——",J52-L49)</f>
        <v>——</v>
      </c>
      <c r="K58" s="2356" t="s">
        <v>2276</v>
      </c>
      <c r="L58" s="1129" t="str">
        <f>IF(L49&lt;J52,"——",IF(L56="比较法",L50,IF(L56="基准地价",L51,L52)))</f>
        <v>——</v>
      </c>
      <c r="O58" s="1373" t="s">
        <v>962</v>
      </c>
      <c r="P58" s="1370" t="s">
        <v>2277</v>
      </c>
      <c r="Q58" s="1371" t="e">
        <f>L59</f>
        <v>#DIV/0!</v>
      </c>
      <c r="R58" s="1372" t="s">
        <v>2278</v>
      </c>
    </row>
    <row r="59" spans="1:18" s="792" customFormat="1" ht="29.25" thickBot="1">
      <c r="A59" s="333" t="s">
        <v>14</v>
      </c>
      <c r="B59" s="334" t="s">
        <v>2206</v>
      </c>
      <c r="C59" s="335">
        <f ca="1">ROUND(C60+C65+C66+C67,0)</f>
        <v>9089</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7.0000000000000007E-2</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1754769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1754769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8494</v>
      </c>
      <c r="D65" s="1899" t="s">
        <v>2216</v>
      </c>
      <c r="E65" s="320" t="s">
        <v>2160</v>
      </c>
      <c r="F65" s="351">
        <f t="shared" si="0"/>
        <v>1.4999999999999999E-2</v>
      </c>
      <c r="I65" s="2375" t="s">
        <v>2297</v>
      </c>
      <c r="J65" s="1880">
        <v>50</v>
      </c>
      <c r="K65" s="1880">
        <v>35</v>
      </c>
      <c r="L65" s="1880">
        <v>60</v>
      </c>
      <c r="M65" s="1879">
        <v>0</v>
      </c>
      <c r="O65" s="1373" t="s">
        <v>960</v>
      </c>
      <c r="P65" s="1370" t="s">
        <v>2271</v>
      </c>
      <c r="Q65" s="1375">
        <f ca="1">L52</f>
        <v>23027565</v>
      </c>
      <c r="R65" s="1376" t="s">
        <v>2298</v>
      </c>
    </row>
    <row r="66" spans="1:18" s="792" customFormat="1" ht="20.25" thickBot="1">
      <c r="A66" s="338" t="s">
        <v>20</v>
      </c>
      <c r="B66" s="320" t="s">
        <v>2175</v>
      </c>
      <c r="C66" s="14">
        <f ca="1">ROUND(C57*F66,0)</f>
        <v>595</v>
      </c>
      <c r="D66" s="1899" t="s">
        <v>2176</v>
      </c>
      <c r="E66" s="320" t="s">
        <v>2177</v>
      </c>
      <c r="F66" s="352">
        <f t="shared" si="0"/>
        <v>1.5E-3</v>
      </c>
      <c r="I66" s="2375" t="s">
        <v>2299</v>
      </c>
      <c r="J66" s="1880">
        <v>40</v>
      </c>
      <c r="K66" s="1880">
        <v>30</v>
      </c>
      <c r="L66" s="1880">
        <v>50</v>
      </c>
      <c r="M66" s="1878">
        <v>0.02</v>
      </c>
      <c r="O66" s="1373" t="s">
        <v>961</v>
      </c>
      <c r="P66" s="1377" t="s">
        <v>2300</v>
      </c>
      <c r="Q66" s="1371">
        <f ca="1">ROUND(Q67-Q68*Q69,0)</f>
        <v>80070</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111782</v>
      </c>
      <c r="R67" s="1372" t="s">
        <v>2235</v>
      </c>
    </row>
    <row r="68" spans="1:18" ht="15.75" thickBot="1">
      <c r="A68" s="333" t="s">
        <v>22</v>
      </c>
      <c r="B68" s="90" t="s">
        <v>2185</v>
      </c>
      <c r="C68" s="335">
        <f ca="1">C49-C59</f>
        <v>-9089</v>
      </c>
      <c r="D68" s="1894" t="s">
        <v>2186</v>
      </c>
      <c r="E68" s="1898"/>
      <c r="F68" s="354"/>
      <c r="H68" s="792"/>
      <c r="I68" s="792"/>
      <c r="J68" s="792"/>
      <c r="K68" s="792"/>
      <c r="L68" s="792"/>
      <c r="M68" s="792"/>
      <c r="O68" s="1373" t="s">
        <v>967</v>
      </c>
      <c r="P68" s="1377" t="s">
        <v>2302</v>
      </c>
      <c r="Q68" s="1371">
        <f ca="1">C13</f>
        <v>396406</v>
      </c>
      <c r="R68" s="1372" t="s">
        <v>2235</v>
      </c>
    </row>
    <row r="69" spans="1:18" ht="15.75" thickBot="1">
      <c r="A69" s="317" t="s">
        <v>23</v>
      </c>
      <c r="B69" s="318" t="s">
        <v>2223</v>
      </c>
      <c r="C69" s="319">
        <f ca="1">ROUND(C68*(1-((1+F71)/(1+F69))^F70)/(F69-F71),0)</f>
        <v>-116366</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19.5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-937</v>
      </c>
      <c r="D72" s="360" t="s">
        <v>2227</v>
      </c>
      <c r="E72" s="361" t="s">
        <v>2228</v>
      </c>
      <c r="F72" s="362">
        <f>F43</f>
        <v>124.24</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1754769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91" t="s">
        <v>976</v>
      </c>
      <c r="E2" s="1391" t="s">
        <v>977</v>
      </c>
      <c r="F2" s="1391" t="s">
        <v>978</v>
      </c>
      <c r="G2" s="1391" t="s">
        <v>979</v>
      </c>
      <c r="H2" s="1391" t="s">
        <v>980</v>
      </c>
      <c r="I2" s="1392" t="s">
        <v>981</v>
      </c>
    </row>
    <row r="3" spans="1:9">
      <c r="A3" s="3002"/>
      <c r="B3" s="3003" t="s">
        <v>982</v>
      </c>
      <c r="C3" s="3003"/>
      <c r="D3" s="1393"/>
      <c r="E3" s="1391"/>
      <c r="F3" s="1394"/>
      <c r="G3" s="1394"/>
      <c r="H3" s="1395"/>
      <c r="I3" s="1396">
        <f>ROUND(D3*E3*F3*G3*H3/10000,0)</f>
        <v>0</v>
      </c>
    </row>
    <row r="4" spans="1:9">
      <c r="A4" s="3002"/>
      <c r="B4" s="3003" t="s">
        <v>983</v>
      </c>
      <c r="C4" s="3003"/>
      <c r="D4" s="1393"/>
      <c r="E4" s="1391"/>
      <c r="F4" s="1394"/>
      <c r="G4" s="1394"/>
      <c r="H4" s="1395"/>
      <c r="I4" s="1396">
        <f t="shared" ref="I4:I9" si="0">ROUND(D4*E4*F4*G4*H4/10000,0)</f>
        <v>0</v>
      </c>
    </row>
    <row r="5" spans="1:9">
      <c r="A5" s="3002"/>
      <c r="B5" s="3003" t="s">
        <v>984</v>
      </c>
      <c r="C5" s="3003"/>
      <c r="D5" s="1393"/>
      <c r="E5" s="1391"/>
      <c r="F5" s="1394"/>
      <c r="G5" s="1394"/>
      <c r="H5" s="1395"/>
      <c r="I5" s="1396">
        <f t="shared" si="0"/>
        <v>0</v>
      </c>
    </row>
    <row r="6" spans="1:9">
      <c r="A6" s="3002"/>
      <c r="B6" s="3003" t="s">
        <v>985</v>
      </c>
      <c r="C6" s="3003"/>
      <c r="D6" s="1393"/>
      <c r="E6" s="1391"/>
      <c r="F6" s="1394"/>
      <c r="G6" s="1394"/>
      <c r="H6" s="1395"/>
      <c r="I6" s="1396">
        <f t="shared" si="0"/>
        <v>0</v>
      </c>
    </row>
    <row r="7" spans="1:9">
      <c r="A7" s="3002"/>
      <c r="B7" s="3003" t="s">
        <v>986</v>
      </c>
      <c r="C7" s="3003"/>
      <c r="D7" s="1393"/>
      <c r="E7" s="1391"/>
      <c r="F7" s="1394"/>
      <c r="G7" s="1394"/>
      <c r="H7" s="1395"/>
      <c r="I7" s="1396">
        <f t="shared" si="0"/>
        <v>0</v>
      </c>
    </row>
    <row r="8" spans="1:9">
      <c r="A8" s="3002"/>
      <c r="B8" s="3003" t="s">
        <v>987</v>
      </c>
      <c r="C8" s="3003"/>
      <c r="D8" s="1393"/>
      <c r="E8" s="1391"/>
      <c r="F8" s="1394"/>
      <c r="G8" s="1394"/>
      <c r="H8" s="1395"/>
      <c r="I8" s="1396">
        <f t="shared" si="0"/>
        <v>0</v>
      </c>
    </row>
    <row r="9" spans="1:9">
      <c r="A9" s="3002"/>
      <c r="B9" s="3003" t="s">
        <v>988</v>
      </c>
      <c r="C9" s="3003"/>
      <c r="D9" s="1393"/>
      <c r="E9" s="1391"/>
      <c r="F9" s="1394"/>
      <c r="G9" s="1394"/>
      <c r="H9" s="1395"/>
      <c r="I9" s="1396">
        <f t="shared" si="0"/>
        <v>0</v>
      </c>
    </row>
    <row r="10" spans="1:9">
      <c r="A10" s="3002"/>
      <c r="B10" s="3004" t="s">
        <v>989</v>
      </c>
      <c r="C10" s="3004"/>
      <c r="D10" s="1397">
        <v>527</v>
      </c>
      <c r="E10" s="1397" t="e">
        <f>ROUND(D1*10000/D10/H9,0)</f>
        <v>#DIV/0!</v>
      </c>
      <c r="F10" s="1398"/>
      <c r="G10" s="1398"/>
      <c r="H10" s="1399"/>
      <c r="I10" s="1400">
        <f>SUM(I3:I9)</f>
        <v>0</v>
      </c>
    </row>
    <row r="11" spans="1:9" ht="14.25">
      <c r="A11" s="3002" t="s">
        <v>1027</v>
      </c>
      <c r="B11" s="3003" t="s">
        <v>990</v>
      </c>
      <c r="C11" s="3003"/>
      <c r="D11" s="1393" t="s">
        <v>991</v>
      </c>
      <c r="E11" s="1393" t="s">
        <v>992</v>
      </c>
      <c r="F11" s="1394" t="s">
        <v>993</v>
      </c>
      <c r="G11" s="1394" t="s">
        <v>980</v>
      </c>
      <c r="H11" s="1401" t="s">
        <v>994</v>
      </c>
      <c r="I11" s="1392" t="s">
        <v>981</v>
      </c>
    </row>
    <row r="12" spans="1:9">
      <c r="A12" s="3002"/>
      <c r="B12" s="3003" t="s">
        <v>995</v>
      </c>
      <c r="C12" s="3003"/>
      <c r="D12" s="1393"/>
      <c r="E12" s="1393"/>
      <c r="F12" s="1394"/>
      <c r="G12" s="1395"/>
      <c r="H12" s="1402"/>
      <c r="I12" s="1392">
        <f>ROUND(D12*E12*F12*G12/10000,0)</f>
        <v>0</v>
      </c>
    </row>
    <row r="13" spans="1:9">
      <c r="A13" s="3002"/>
      <c r="B13" s="3003" t="s">
        <v>996</v>
      </c>
      <c r="C13" s="3003"/>
      <c r="D13" s="1393"/>
      <c r="E13" s="1393"/>
      <c r="F13" s="1394"/>
      <c r="G13" s="1395"/>
      <c r="H13" s="1402"/>
      <c r="I13" s="1392">
        <f>ROUND(D13*E13*F13*G13/10000,0)</f>
        <v>0</v>
      </c>
    </row>
    <row r="14" spans="1:9">
      <c r="A14" s="3002"/>
      <c r="B14" s="3003" t="s">
        <v>997</v>
      </c>
      <c r="C14" s="3003"/>
      <c r="D14" s="1393"/>
      <c r="E14" s="1393"/>
      <c r="F14" s="1394"/>
      <c r="G14" s="1395"/>
      <c r="H14" s="1402"/>
      <c r="I14" s="1392">
        <f>ROUND(D14*E14*F14*G14/10000,0)</f>
        <v>0</v>
      </c>
    </row>
    <row r="15" spans="1:9">
      <c r="A15" s="3002"/>
      <c r="B15" s="3004" t="s">
        <v>989</v>
      </c>
      <c r="C15" s="3004"/>
      <c r="D15" s="1397"/>
      <c r="E15" s="1397">
        <f>SUM(E12:E14)</f>
        <v>0</v>
      </c>
      <c r="F15" s="1398"/>
      <c r="G15" s="1395"/>
      <c r="H15" s="1402"/>
      <c r="I15" s="1403">
        <f>SUM(I12:I14)</f>
        <v>0</v>
      </c>
    </row>
    <row r="16" spans="1:9" ht="24">
      <c r="A16" s="3002" t="s">
        <v>1028</v>
      </c>
      <c r="B16" s="3003" t="s">
        <v>998</v>
      </c>
      <c r="C16" s="3003"/>
      <c r="D16" s="1393" t="s">
        <v>976</v>
      </c>
      <c r="E16" s="1404" t="s">
        <v>999</v>
      </c>
      <c r="F16" s="1394" t="s">
        <v>1000</v>
      </c>
      <c r="G16" s="1395" t="s">
        <v>980</v>
      </c>
      <c r="H16" s="1401" t="s">
        <v>994</v>
      </c>
      <c r="I16" s="1392" t="s">
        <v>981</v>
      </c>
    </row>
    <row r="17" spans="1:9" ht="14.25">
      <c r="A17" s="3002"/>
      <c r="B17" s="3003" t="s">
        <v>1001</v>
      </c>
      <c r="C17" s="3003"/>
      <c r="D17" s="1393"/>
      <c r="E17" s="1393"/>
      <c r="F17" s="1394"/>
      <c r="G17" s="1395"/>
      <c r="H17" s="1405"/>
      <c r="I17" s="1406">
        <f>ROUND(D17*E17*F17*G17/10000,0)</f>
        <v>0</v>
      </c>
    </row>
    <row r="18" spans="1:9" ht="14.25">
      <c r="A18" s="3002"/>
      <c r="B18" s="3003" t="s">
        <v>1002</v>
      </c>
      <c r="C18" s="3003"/>
      <c r="D18" s="1393"/>
      <c r="E18" s="1393"/>
      <c r="F18" s="1394"/>
      <c r="G18" s="1395"/>
      <c r="H18" s="1405"/>
      <c r="I18" s="1406">
        <f>ROUND(D18*E18*F18*G18/10000,0)</f>
        <v>0</v>
      </c>
    </row>
    <row r="19" spans="1:9" ht="14.25">
      <c r="A19" s="3002"/>
      <c r="B19" s="3003" t="s">
        <v>1003</v>
      </c>
      <c r="C19" s="3003"/>
      <c r="D19" s="1393"/>
      <c r="E19" s="1393"/>
      <c r="F19" s="1394"/>
      <c r="G19" s="1395"/>
      <c r="H19" s="1405"/>
      <c r="I19" s="1406">
        <f>ROUND(D19*E19*F19*G19/10000,0)</f>
        <v>0</v>
      </c>
    </row>
    <row r="20" spans="1:9">
      <c r="A20" s="3002"/>
      <c r="B20" s="3004" t="s">
        <v>989</v>
      </c>
      <c r="C20" s="3004"/>
      <c r="D20" s="1397">
        <f>SUM(D17:D19)</f>
        <v>0</v>
      </c>
      <c r="E20" s="1397"/>
      <c r="F20" s="1398"/>
      <c r="G20" s="1395"/>
      <c r="H20" s="1402"/>
      <c r="I20" s="1403">
        <f>SUM(I17:I19)</f>
        <v>0</v>
      </c>
    </row>
    <row r="21" spans="1:9">
      <c r="A21" s="3002"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13">
        <f>C27-C30-C31-C32</f>
        <v>0</v>
      </c>
      <c r="F26" s="3013"/>
      <c r="G26" s="3013"/>
      <c r="H26" s="1835" t="s">
        <v>1223</v>
      </c>
    </row>
    <row r="27" spans="1:9">
      <c r="A27" s="1415">
        <v>1</v>
      </c>
      <c r="B27" s="1416" t="s">
        <v>1008</v>
      </c>
      <c r="C27" s="1416">
        <f>C28+C29</f>
        <v>0</v>
      </c>
      <c r="D27" s="1416"/>
      <c r="E27" s="3014"/>
      <c r="F27" s="3014"/>
      <c r="G27" s="3014"/>
    </row>
    <row r="28" spans="1:9">
      <c r="A28" s="1417" t="s">
        <v>1009</v>
      </c>
      <c r="B28" s="1416" t="s">
        <v>1010</v>
      </c>
      <c r="C28" s="1416"/>
      <c r="D28" s="1416"/>
      <c r="E28" s="3014"/>
      <c r="F28" s="3014"/>
      <c r="G28" s="301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15" t="s">
        <v>1019</v>
      </c>
      <c r="B33" s="3016"/>
      <c r="C33" s="3016"/>
      <c r="D33" s="3017"/>
      <c r="E33" s="3013"/>
      <c r="F33" s="3013"/>
      <c r="G33" s="3013"/>
    </row>
    <row r="34" spans="1:7" hidden="1">
      <c r="A34" s="1419">
        <v>1</v>
      </c>
      <c r="B34" s="1416" t="s">
        <v>1020</v>
      </c>
      <c r="C34" s="1416"/>
      <c r="D34" s="1416"/>
      <c r="E34" s="3014"/>
      <c r="F34" s="3014"/>
      <c r="G34" s="3014"/>
    </row>
    <row r="35" spans="1:7" hidden="1">
      <c r="A35" s="1419">
        <v>2</v>
      </c>
      <c r="B35" s="1416" t="s">
        <v>1021</v>
      </c>
      <c r="C35" s="1416"/>
      <c r="D35" s="1416"/>
      <c r="E35" s="3014"/>
      <c r="F35" s="3014"/>
      <c r="G35" s="3014"/>
    </row>
    <row r="36" spans="1:7" hidden="1">
      <c r="A36" s="1419">
        <v>3</v>
      </c>
      <c r="B36" s="1416" t="s">
        <v>1022</v>
      </c>
      <c r="C36" s="1416"/>
      <c r="D36" s="1416"/>
      <c r="E36" s="3014"/>
      <c r="F36" s="3014"/>
      <c r="G36" s="3014"/>
    </row>
    <row r="37" spans="1:7" hidden="1">
      <c r="A37" s="1419">
        <v>4</v>
      </c>
      <c r="B37" s="1416" t="s">
        <v>1023</v>
      </c>
      <c r="C37" s="1416"/>
      <c r="D37" s="1416"/>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6" zoomScale="90" zoomScaleNormal="90" workbookViewId="0">
      <selection activeCell="L15" sqref="L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2813</v>
      </c>
      <c r="D1" s="2388"/>
      <c r="E1" s="2389" t="s">
        <v>2862</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6436005</v>
      </c>
      <c r="C2" s="164" t="str">
        <f>'数据-取费表'!B3</f>
        <v>元</v>
      </c>
      <c r="D2" s="2391" t="s">
        <v>1257</v>
      </c>
      <c r="E2" s="1849">
        <f ca="1">SUMIF(INDIRECT("'"&amp;G2&amp;"'"&amp;"!A:A"),"承租人权益价值",INDIRECT("'"&amp;G2&amp;"'"&amp;"!c:c"))</f>
        <v>-1871135</v>
      </c>
      <c r="F2" s="2392" t="str">
        <f>C2</f>
        <v>元</v>
      </c>
      <c r="G2" s="2718" t="s">
        <v>2820</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51803</v>
      </c>
      <c r="C3" s="380" t="s">
        <v>2341</v>
      </c>
      <c r="D3" s="379">
        <f>IF(C1="仅计算典型户型",'数据-取费表'!E5,'数据-取费表'!B5)</f>
        <v>124.24</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2922</v>
      </c>
      <c r="D5" s="3047"/>
      <c r="E5" s="3044" t="s">
        <v>2923</v>
      </c>
      <c r="F5" s="3045"/>
      <c r="G5" s="3046" t="s">
        <v>2902</v>
      </c>
      <c r="H5" s="3047"/>
      <c r="I5" s="3046" t="s">
        <v>2902</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43158</v>
      </c>
      <c r="D7" s="391">
        <v>100</v>
      </c>
      <c r="E7" s="392">
        <v>43080</v>
      </c>
      <c r="F7" s="393">
        <f>SUMIF(58:58,YEAR(E7)&amp;"-"&amp;MONTH(E7),59:59)</f>
        <v>100</v>
      </c>
      <c r="G7" s="392">
        <v>43041</v>
      </c>
      <c r="H7" s="391">
        <f>SUMIF(58:58,YEAR(G7)&amp;"-"&amp;MONTH(G7),59:59)</f>
        <v>101</v>
      </c>
      <c r="I7" s="392">
        <v>42946</v>
      </c>
      <c r="J7" s="391">
        <f>SUMIF(58:58,YEAR(I7)&amp;"-"&amp;MONTH(I7),59:59)</f>
        <v>102</v>
      </c>
      <c r="K7" s="2404"/>
      <c r="L7" s="1247"/>
      <c r="M7" s="1248"/>
      <c r="N7" s="1248"/>
      <c r="O7" s="1248"/>
      <c r="P7" s="3060" t="s">
        <v>2356</v>
      </c>
      <c r="Q7" s="3062"/>
      <c r="R7" s="750" t="s">
        <v>34</v>
      </c>
      <c r="S7" s="751">
        <f t="shared" ref="S7:S15" si="0">F7</f>
        <v>100</v>
      </c>
      <c r="T7" s="750" t="s">
        <v>34</v>
      </c>
      <c r="U7" s="751">
        <f t="shared" ref="U7:U15" si="1">H7</f>
        <v>101</v>
      </c>
      <c r="V7" s="750" t="s">
        <v>34</v>
      </c>
      <c r="W7" s="751">
        <f t="shared" ref="W7:W15" si="2">J7</f>
        <v>102</v>
      </c>
      <c r="X7" s="752"/>
      <c r="Y7" s="3060" t="s">
        <v>2356</v>
      </c>
      <c r="Z7" s="3061"/>
      <c r="AA7" s="753">
        <f>D7/F7</f>
        <v>1</v>
      </c>
      <c r="AB7" s="753">
        <f>D7/H7</f>
        <v>0.99009900990099009</v>
      </c>
      <c r="AC7" s="753">
        <f>D7/J7</f>
        <v>0.98039215686274506</v>
      </c>
    </row>
    <row r="8" spans="1:29" s="35" customFormat="1" ht="15.75" thickBot="1">
      <c r="A8" s="388" t="s">
        <v>2357</v>
      </c>
      <c r="B8" s="389"/>
      <c r="C8" s="395" t="s">
        <v>2358</v>
      </c>
      <c r="D8" s="391">
        <v>100</v>
      </c>
      <c r="E8" s="2405" t="s">
        <v>2821</v>
      </c>
      <c r="F8" s="393">
        <f>SUMIF(61:61,E8,62:62)-SUMIF(61:61,C8,62:62)+100</f>
        <v>100</v>
      </c>
      <c r="G8" s="395" t="s">
        <v>2821</v>
      </c>
      <c r="H8" s="391">
        <f>SUMIF(61:61,G8,62:62)-SUMIF(61:61,C8,62:62)+100</f>
        <v>100</v>
      </c>
      <c r="I8" s="2405" t="s">
        <v>2821</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2822</v>
      </c>
      <c r="D9" s="51">
        <v>100</v>
      </c>
      <c r="E9" s="398" t="s">
        <v>2811</v>
      </c>
      <c r="F9" s="399">
        <f>SUMIF(63:63,E9,64:64)-SUMIF(63:63,C9,64:64)+100</f>
        <v>100</v>
      </c>
      <c r="G9" s="400" t="s">
        <v>2811</v>
      </c>
      <c r="H9" s="51">
        <f>SUMIF(63:63,G9,64:64)-SUMIF(63:63,C9,64:64)+100</f>
        <v>100</v>
      </c>
      <c r="I9" s="400" t="s">
        <v>2811</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2903</v>
      </c>
      <c r="D10" s="52">
        <v>100</v>
      </c>
      <c r="E10" s="405" t="s">
        <v>2903</v>
      </c>
      <c r="F10" s="406">
        <f>SUMIF(65:65,E10,66:66)-SUMIF(65:65,C10,66:66)+100</f>
        <v>100</v>
      </c>
      <c r="G10" s="404" t="s">
        <v>2903</v>
      </c>
      <c r="H10" s="52">
        <f>SUMIF(65:65,G10,66:66)-SUMIF(65:65,C10,66:66)+100</f>
        <v>100</v>
      </c>
      <c r="I10" s="404" t="s">
        <v>2903</v>
      </c>
      <c r="J10" s="52">
        <f>SUMIF(65:65,I10,66:66)-SUMIF(65:65,C10,66:66)+100</f>
        <v>100</v>
      </c>
      <c r="K10" s="407">
        <v>0.5</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估价对象周边有世纪东方嘉园、官悦欣园、官悦新城、金源公寓等居住小区，小区规模和社区发展完善程度较好，综合评价居住社区成熟度较好</v>
      </c>
      <c r="D15" s="421">
        <v>100</v>
      </c>
      <c r="E15" s="2735" t="s">
        <v>2906</v>
      </c>
      <c r="F15" s="423">
        <f>SUMIF(76:76,E16,77:77)-SUMIF(76:76,C16,77:77)+100</f>
        <v>100</v>
      </c>
      <c r="G15" s="2735" t="s">
        <v>2906</v>
      </c>
      <c r="H15" s="421">
        <f>SUMIF(76:76,G16,77:77)-SUMIF(76:76,C16,77:77)+100</f>
        <v>100</v>
      </c>
      <c r="I15" s="2735" t="s">
        <v>2906</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74" customHeight="1">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2723" t="s">
        <v>2908</v>
      </c>
      <c r="F17" s="434">
        <f>SUMIF(78:78,E18,79:79)-SUMIF(78:78,C18,79:79)+100</f>
        <v>100</v>
      </c>
      <c r="G17" s="2724" t="s">
        <v>2908</v>
      </c>
      <c r="H17" s="436">
        <f>SUMIF(78:78,G18,79:79)-SUMIF(78:78,C18,79:79)+100</f>
        <v>100</v>
      </c>
      <c r="I17" s="2723" t="s">
        <v>2908</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2889</v>
      </c>
      <c r="F19" s="440">
        <f>SUMIF(80:80,E20,81:81)-SUMIF(80:80,C20,81:81)+100</f>
        <v>100</v>
      </c>
      <c r="G19" s="2726" t="s">
        <v>2889</v>
      </c>
      <c r="H19" s="431">
        <f>SUMIF(80:80,G20,81:81)-SUMIF(80:80,C20,81:81)+100</f>
        <v>100</v>
      </c>
      <c r="I19" s="2725" t="s">
        <v>2889</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2909</v>
      </c>
      <c r="F21" s="440">
        <f>SUMIF(82:82,E22,83:83)-SUMIF(82:82,C22,83:83)+100</f>
        <v>100</v>
      </c>
      <c r="G21" s="2726" t="s">
        <v>2909</v>
      </c>
      <c r="H21" s="431">
        <f>SUMIF(82:82,G22,83:83)-SUMIF(82:82,C22,83:83)+100</f>
        <v>100</v>
      </c>
      <c r="I21" s="2725" t="s">
        <v>2909</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2913</v>
      </c>
      <c r="D22" s="428"/>
      <c r="E22" s="427" t="s">
        <v>2913</v>
      </c>
      <c r="F22" s="430"/>
      <c r="G22" s="427" t="s">
        <v>2913</v>
      </c>
      <c r="H22" s="428"/>
      <c r="I22" s="427" t="s">
        <v>2913</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124.5" customHeight="1">
      <c r="A23" s="409"/>
      <c r="B23" s="432" t="s">
        <v>1756</v>
      </c>
      <c r="C23" s="2413" t="str">
        <f>估价对象房地状况!C9</f>
        <v>自然环境：翠城公园、窑洼湖公园等；人文环境：北京CBD国际高尔夫球会、北京欢乐谷、北京工业大学、北京联合大学等，综合评价环境状况好</v>
      </c>
      <c r="D23" s="431">
        <v>100</v>
      </c>
      <c r="E23" s="2723" t="s">
        <v>2911</v>
      </c>
      <c r="F23" s="434">
        <f>SUMIF(84:84,E24,85:85)-SUMIF(84:84,C24,85:85)+100</f>
        <v>100</v>
      </c>
      <c r="G23" s="2724" t="s">
        <v>2911</v>
      </c>
      <c r="H23" s="431">
        <f>SUMIF(84:84,G24,85:85)-SUMIF(84:84,C24,85:85)+100</f>
        <v>100</v>
      </c>
      <c r="I23" s="2723" t="s">
        <v>2911</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29</v>
      </c>
      <c r="D24" s="428"/>
      <c r="E24" s="429" t="s">
        <v>29</v>
      </c>
      <c r="F24" s="430"/>
      <c r="G24" s="2411" t="s">
        <v>29</v>
      </c>
      <c r="H24" s="428"/>
      <c r="I24" s="429" t="s">
        <v>29</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2914</v>
      </c>
      <c r="D26" s="416">
        <v>100</v>
      </c>
      <c r="E26" s="2417" t="s">
        <v>2914</v>
      </c>
      <c r="F26" s="443">
        <f>SUMIF(88:88,E26,89:89)-SUMIF(88:88,C26,89:89)+100</f>
        <v>100</v>
      </c>
      <c r="G26" s="2418" t="s">
        <v>2914</v>
      </c>
      <c r="H26" s="416">
        <f>SUMIF(88:88,G26,89:89)-SUMIF(88:88,C26,89:89)+100</f>
        <v>100</v>
      </c>
      <c r="I26" s="2417" t="s">
        <v>2898</v>
      </c>
      <c r="J26" s="416">
        <f>SUMIF(88:88,I26,89:89)-SUMIF(88:88,C26,89:89)+100</f>
        <v>97</v>
      </c>
      <c r="K26" s="407">
        <v>1</v>
      </c>
      <c r="L26" s="1255"/>
      <c r="M26" s="1246"/>
      <c r="N26" s="1246"/>
      <c r="O26" s="1246"/>
      <c r="P26" s="3067"/>
      <c r="Q26" s="1905" t="str">
        <f t="shared" si="11"/>
        <v>朝向</v>
      </c>
      <c r="R26" s="754" t="s">
        <v>28</v>
      </c>
      <c r="S26" s="755">
        <f>F26</f>
        <v>100</v>
      </c>
      <c r="T26" s="754" t="s">
        <v>28</v>
      </c>
      <c r="U26" s="755">
        <f>H26</f>
        <v>100</v>
      </c>
      <c r="V26" s="754" t="s">
        <v>28</v>
      </c>
      <c r="W26" s="755">
        <f>J26</f>
        <v>97</v>
      </c>
      <c r="X26" s="1906"/>
      <c r="Y26" s="3053"/>
      <c r="Z26" s="1908" t="str">
        <f>Q26</f>
        <v>朝向</v>
      </c>
      <c r="AA26" s="1909">
        <f t="shared" si="3"/>
        <v>1</v>
      </c>
      <c r="AB26" s="1909">
        <f t="shared" si="4"/>
        <v>1</v>
      </c>
      <c r="AC26" s="1909">
        <f t="shared" si="5"/>
        <v>1.0309278350515463</v>
      </c>
    </row>
    <row r="27" spans="1:29" s="35" customFormat="1" ht="15">
      <c r="A27" s="412"/>
      <c r="B27" s="2406" t="s">
        <v>2370</v>
      </c>
      <c r="C27" s="2730" t="s">
        <v>2917</v>
      </c>
      <c r="D27" s="444">
        <v>100</v>
      </c>
      <c r="E27" s="2730" t="s">
        <v>2918</v>
      </c>
      <c r="F27" s="446">
        <f>SUMIF(90:90,E27,91:91)-SUMIF(90:90,C27,91:91)+100</f>
        <v>100</v>
      </c>
      <c r="G27" s="2730" t="s">
        <v>2916</v>
      </c>
      <c r="H27" s="444">
        <f>SUMIF(90:90,G27,91:91)-SUMIF(90:90,C27,91:91)+100</f>
        <v>100</v>
      </c>
      <c r="I27" s="2730" t="s">
        <v>2916</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2824</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2896</v>
      </c>
      <c r="C29" s="415" t="s">
        <v>2915</v>
      </c>
      <c r="D29" s="416">
        <v>100</v>
      </c>
      <c r="E29" s="2731" t="s">
        <v>2925</v>
      </c>
      <c r="F29" s="443">
        <f>SUMIF(94:94,E29,95:95)-SUMIF(94:94,C29,95:95)+100</f>
        <v>98</v>
      </c>
      <c r="G29" s="2731" t="s">
        <v>2926</v>
      </c>
      <c r="H29" s="416">
        <f>SUMIF(94:94,G29,95:95)-SUMIF(94:94,C29,95:95)+100</f>
        <v>102</v>
      </c>
      <c r="I29" s="2731" t="s">
        <v>2927</v>
      </c>
      <c r="J29" s="416">
        <f>SUMIF(94:94,I29,95:95)-SUMIF(94:94,C29,95:95)+100</f>
        <v>102</v>
      </c>
      <c r="K29" s="2407"/>
      <c r="L29" s="1255"/>
      <c r="M29" s="1246"/>
      <c r="N29" s="1246"/>
      <c r="O29" s="1246"/>
      <c r="P29" s="3067"/>
      <c r="Q29" s="1905" t="str">
        <f t="shared" si="11"/>
        <v>楼层</v>
      </c>
      <c r="R29" s="754" t="s">
        <v>28</v>
      </c>
      <c r="S29" s="755">
        <f t="shared" si="12"/>
        <v>98</v>
      </c>
      <c r="T29" s="754" t="s">
        <v>28</v>
      </c>
      <c r="U29" s="755">
        <f t="shared" si="13"/>
        <v>102</v>
      </c>
      <c r="V29" s="754" t="s">
        <v>28</v>
      </c>
      <c r="W29" s="755">
        <f t="shared" si="14"/>
        <v>102</v>
      </c>
      <c r="X29" s="1906"/>
      <c r="Y29" s="3053"/>
      <c r="Z29" s="1908" t="str">
        <f t="shared" si="15"/>
        <v>楼层</v>
      </c>
      <c r="AA29" s="1909">
        <f t="shared" si="3"/>
        <v>1.0204081632653061</v>
      </c>
      <c r="AB29" s="1909">
        <f t="shared" si="4"/>
        <v>0.98039215686274506</v>
      </c>
      <c r="AC29" s="1909">
        <f t="shared" si="5"/>
        <v>0.98039215686274506</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2899</v>
      </c>
      <c r="D32" s="449">
        <v>100</v>
      </c>
      <c r="E32" s="2421" t="s">
        <v>2899</v>
      </c>
      <c r="F32" s="443">
        <f>SUMIF(100:100,E32,101:101)-SUMIF(100:100,C32,101:101)+100</f>
        <v>100</v>
      </c>
      <c r="G32" s="2420" t="s">
        <v>2899</v>
      </c>
      <c r="H32" s="449">
        <f>SUMIF(100:100,G32,101:101)-SUMIF(100:100,C32,101:101)+100</f>
        <v>100</v>
      </c>
      <c r="I32" s="2421" t="s">
        <v>2899</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124.24</v>
      </c>
      <c r="D33" s="52">
        <v>100</v>
      </c>
      <c r="E33" s="411">
        <v>66.599999999999994</v>
      </c>
      <c r="F33" s="406">
        <f>LOOKUP(E33,103:103,104:104)-LOOKUP(C33,103:103,104:104)+100</f>
        <v>102</v>
      </c>
      <c r="G33" s="411">
        <v>99.59</v>
      </c>
      <c r="H33" s="52">
        <f>LOOKUP(G33,103:103,104:104)-LOOKUP(C33,103:103,104:104)+100</f>
        <v>102</v>
      </c>
      <c r="I33" s="411">
        <v>95.24</v>
      </c>
      <c r="J33" s="52">
        <f>LOOKUP(I33,103:103,104:104)-LOOKUP(C33,103:103,104:104)+100</f>
        <v>102</v>
      </c>
      <c r="K33" s="2407"/>
      <c r="L33" s="1253"/>
      <c r="M33" s="1256"/>
      <c r="N33" s="1256"/>
      <c r="O33" s="1256"/>
      <c r="P33" s="3055"/>
      <c r="Q33" s="756" t="str">
        <f t="shared" si="11"/>
        <v>项目建筑规模</v>
      </c>
      <c r="R33" s="757" t="s">
        <v>28</v>
      </c>
      <c r="S33" s="758">
        <f t="shared" si="12"/>
        <v>102</v>
      </c>
      <c r="T33" s="757" t="s">
        <v>28</v>
      </c>
      <c r="U33" s="758">
        <f t="shared" si="13"/>
        <v>102</v>
      </c>
      <c r="V33" s="757" t="s">
        <v>28</v>
      </c>
      <c r="W33" s="758">
        <f t="shared" si="14"/>
        <v>102</v>
      </c>
      <c r="X33" s="759"/>
      <c r="Y33" s="3057"/>
      <c r="Z33" s="760" t="str">
        <f t="shared" si="15"/>
        <v>项目建筑规模</v>
      </c>
      <c r="AA33" s="1909">
        <f t="shared" si="3"/>
        <v>0.98039215686274506</v>
      </c>
      <c r="AB33" s="1909">
        <f t="shared" si="4"/>
        <v>0.98039215686274506</v>
      </c>
      <c r="AC33" s="1909">
        <f t="shared" si="5"/>
        <v>0.98039215686274506</v>
      </c>
    </row>
    <row r="34" spans="1:29" ht="15">
      <c r="A34" s="454"/>
      <c r="B34" s="403" t="s">
        <v>2375</v>
      </c>
      <c r="C34" s="2422" t="s">
        <v>2900</v>
      </c>
      <c r="D34" s="416">
        <v>100</v>
      </c>
      <c r="E34" s="2423" t="s">
        <v>2900</v>
      </c>
      <c r="F34" s="443">
        <f>SUMIF(105:105,E34,106:106)-SUMIF(105:105,C34,106:106)+100</f>
        <v>100</v>
      </c>
      <c r="G34" s="2422" t="s">
        <v>2900</v>
      </c>
      <c r="H34" s="416">
        <f>SUMIF(105:105,G34,106:106)-SUMIF(105:105,C34,106:106)+100</f>
        <v>100</v>
      </c>
      <c r="I34" s="2423" t="s">
        <v>2900</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2867</v>
      </c>
      <c r="D36" s="416">
        <v>100</v>
      </c>
      <c r="E36" s="2417" t="s">
        <v>2867</v>
      </c>
      <c r="F36" s="443">
        <f>SUMIF(109:109,E36,110:110)-SUMIF(109:109,C36,110:110)+100</f>
        <v>100</v>
      </c>
      <c r="G36" s="2418" t="s">
        <v>2867</v>
      </c>
      <c r="H36" s="416">
        <f>SUMIF(109:109,G36,110:110)-SUMIF(109:109,C36,110:110)+100</f>
        <v>100</v>
      </c>
      <c r="I36" s="2417" t="s">
        <v>2867</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2853</v>
      </c>
      <c r="D38" s="416">
        <v>100</v>
      </c>
      <c r="E38" s="2417" t="s">
        <v>2853</v>
      </c>
      <c r="F38" s="443">
        <f>SUMIF(114:114,E38,115:115)-SUMIF(114:114,C38,115:115)+100</f>
        <v>100</v>
      </c>
      <c r="G38" s="2418" t="s">
        <v>2853</v>
      </c>
      <c r="H38" s="416">
        <f>SUMIF(114:114,G38,115:115)-SUMIF(114:114,C38,115:115)+100</f>
        <v>100</v>
      </c>
      <c r="I38" s="2417" t="s">
        <v>2853</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2913</v>
      </c>
      <c r="D39" s="416">
        <v>100</v>
      </c>
      <c r="E39" s="2417" t="s">
        <v>2913</v>
      </c>
      <c r="F39" s="443">
        <f>SUMIF(116:116,E39,117:117)-SUMIF(116:116,C39,117:117)+100</f>
        <v>100</v>
      </c>
      <c r="G39" s="2418" t="s">
        <v>2913</v>
      </c>
      <c r="H39" s="416">
        <f>SUMIF(116:116,G39,117:117)-SUMIF(116:116,C39,117:117)+100</f>
        <v>100</v>
      </c>
      <c r="I39" s="2417" t="s">
        <v>2913</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2866</v>
      </c>
      <c r="D40" s="416">
        <v>100</v>
      </c>
      <c r="E40" s="2417" t="s">
        <v>2866</v>
      </c>
      <c r="F40" s="443">
        <f>SUMIF(118:118,E40,119:119)-SUMIF(118:118,C40,119:119)+100</f>
        <v>100</v>
      </c>
      <c r="G40" s="2418" t="s">
        <v>2866</v>
      </c>
      <c r="H40" s="416">
        <f>SUMIF(118:118,G40,119:119)-SUMIF(118:118,C40,119:119)+100</f>
        <v>100</v>
      </c>
      <c r="I40" s="2417" t="s">
        <v>2866</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2924</v>
      </c>
      <c r="D42" s="416">
        <v>100</v>
      </c>
      <c r="E42" s="2417" t="s">
        <v>2924</v>
      </c>
      <c r="F42" s="443">
        <f>SUMIF(122:122,E42,123:123)-SUMIF(122:122,C42,123:123)+100</f>
        <v>100</v>
      </c>
      <c r="G42" s="2418" t="s">
        <v>2924</v>
      </c>
      <c r="H42" s="416">
        <f>SUMIF(122:122,G42,123:123)-SUMIF(122:122,C42,123:123)+100</f>
        <v>100</v>
      </c>
      <c r="I42" s="2417" t="s">
        <v>2924</v>
      </c>
      <c r="J42" s="416">
        <f>SUMIF(122:122,I42,123:123)-SUMIF(122:122,C42,123:123)+100</f>
        <v>100</v>
      </c>
      <c r="K42" s="407">
        <v>1</v>
      </c>
      <c r="L42" s="1255"/>
      <c r="M42" s="1246"/>
      <c r="N42" s="1246"/>
      <c r="O42" s="1246"/>
      <c r="P42" s="3055"/>
      <c r="Q42" s="1905" t="str">
        <f t="shared" si="11"/>
        <v>内部装修</v>
      </c>
      <c r="R42" s="754" t="s">
        <v>28</v>
      </c>
      <c r="S42" s="755">
        <f t="shared" si="12"/>
        <v>100</v>
      </c>
      <c r="T42" s="754" t="s">
        <v>28</v>
      </c>
      <c r="U42" s="755">
        <f t="shared" si="13"/>
        <v>100</v>
      </c>
      <c r="V42" s="754" t="s">
        <v>28</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2823</v>
      </c>
      <c r="C44" s="451">
        <v>2002</v>
      </c>
      <c r="D44" s="52">
        <v>100</v>
      </c>
      <c r="E44" s="451">
        <v>2002</v>
      </c>
      <c r="F44" s="406">
        <f>SUMIF(126:126,E44,127:127)-SUMIF(126:126,C44,127:127)+100</f>
        <v>100</v>
      </c>
      <c r="G44" s="451">
        <v>2001</v>
      </c>
      <c r="H44" s="52">
        <f>SUMIF(126:126,G44,127:127)-SUMIF(126:126,C44,127:127)+100</f>
        <v>99.5</v>
      </c>
      <c r="I44" s="451">
        <v>2001</v>
      </c>
      <c r="J44" s="52">
        <f>SUMIF(126:126,I44,127:127)-SUMIF(126:126,C44,127:127)+100</f>
        <v>99.5</v>
      </c>
      <c r="K44" s="2407"/>
      <c r="L44" s="1247"/>
      <c r="M44" s="1248"/>
      <c r="N44" s="1248"/>
      <c r="O44" s="1248"/>
      <c r="P44" s="3055"/>
      <c r="Q44" s="1893" t="str">
        <f t="shared" si="11"/>
        <v>建成年代</v>
      </c>
      <c r="R44" s="750" t="s">
        <v>28</v>
      </c>
      <c r="S44" s="751">
        <f t="shared" si="12"/>
        <v>100</v>
      </c>
      <c r="T44" s="750" t="s">
        <v>28</v>
      </c>
      <c r="U44" s="751">
        <f t="shared" si="13"/>
        <v>99.5</v>
      </c>
      <c r="V44" s="750" t="s">
        <v>28</v>
      </c>
      <c r="W44" s="751">
        <f t="shared" si="14"/>
        <v>99.5</v>
      </c>
      <c r="X44" s="752"/>
      <c r="Y44" s="3057"/>
      <c r="Z44" s="23" t="str">
        <f t="shared" si="15"/>
        <v>建成年代</v>
      </c>
      <c r="AA44" s="753">
        <f t="shared" si="3"/>
        <v>1</v>
      </c>
      <c r="AB44" s="753">
        <f t="shared" si="4"/>
        <v>1.0050251256281406</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51000</v>
      </c>
      <c r="F47" s="1507"/>
      <c r="G47" s="1508">
        <v>53000</v>
      </c>
      <c r="H47" s="1509"/>
      <c r="I47" s="1506">
        <v>55000</v>
      </c>
      <c r="J47" s="1509"/>
      <c r="K47" s="2424"/>
      <c r="L47" s="1258"/>
      <c r="M47" s="1259"/>
      <c r="N47" s="1246"/>
      <c r="O47" s="1259"/>
      <c r="P47" s="3064" t="str">
        <f>A47</f>
        <v>成交单价（元/平方米）</v>
      </c>
      <c r="Q47" s="3064"/>
      <c r="R47" s="3065">
        <f>E47</f>
        <v>51000</v>
      </c>
      <c r="S47" s="3065"/>
      <c r="T47" s="3065">
        <f>G47</f>
        <v>53000</v>
      </c>
      <c r="U47" s="3065"/>
      <c r="V47" s="3065">
        <f>I47</f>
        <v>55000</v>
      </c>
      <c r="W47" s="3065"/>
      <c r="X47" s="739"/>
      <c r="Y47" s="761"/>
      <c r="Z47" s="739"/>
      <c r="AA47" s="739"/>
      <c r="AB47" s="739"/>
      <c r="AC47" s="739"/>
    </row>
    <row r="48" spans="1:29" ht="15.75" thickBot="1">
      <c r="A48" s="468" t="s">
        <v>2386</v>
      </c>
      <c r="B48" s="469"/>
      <c r="C48" s="1510">
        <f>R49</f>
        <v>51803</v>
      </c>
      <c r="D48" s="1511"/>
      <c r="E48" s="1512">
        <f>R48</f>
        <v>51020</v>
      </c>
      <c r="F48" s="1512"/>
      <c r="G48" s="1510">
        <f>T48</f>
        <v>50691</v>
      </c>
      <c r="H48" s="1511"/>
      <c r="I48" s="1512">
        <f>V48</f>
        <v>53699</v>
      </c>
      <c r="J48" s="1511"/>
      <c r="K48" s="2425"/>
      <c r="L48" s="1258"/>
      <c r="M48" s="1259"/>
      <c r="N48" s="1259"/>
      <c r="O48" s="1259"/>
      <c r="P48" s="3064" t="str">
        <f>A48</f>
        <v>比较价值（元/平方米）</v>
      </c>
      <c r="Q48" s="3064"/>
      <c r="R48" s="3065">
        <f>IF(E1="售价",ROUND(PRODUCT(R47,AA7:AA46),0),ROUND(PRODUCT(R47,AA7:AA46),1))</f>
        <v>51020</v>
      </c>
      <c r="S48" s="3065"/>
      <c r="T48" s="3068">
        <f>IF(E1="售价",ROUND(PRODUCT(T47,AB7:AB46),0),ROUND(PRODUCT(T47,AB7:AB46),1))</f>
        <v>50691</v>
      </c>
      <c r="U48" s="3069"/>
      <c r="V48" s="3065">
        <f>IF(E1="售价",ROUND(PRODUCT(V47,AC7:AC46),0),ROUND(PRODUCT(V47,AC7:AC46),1))</f>
        <v>53699</v>
      </c>
      <c r="W48" s="3065"/>
      <c r="X48" s="739"/>
      <c r="Y48" s="739"/>
      <c r="Z48" s="739"/>
      <c r="AA48" s="739"/>
      <c r="AB48" s="739"/>
      <c r="AC48" s="739"/>
    </row>
    <row r="49" spans="1:29" ht="15.75" thickBot="1">
      <c r="A49" s="474" t="s">
        <v>2387</v>
      </c>
      <c r="B49" s="475"/>
      <c r="C49" s="1513">
        <f>R49</f>
        <v>51803</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51803</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3.9215686274518546E-4</v>
      </c>
      <c r="F52" s="482" t="str">
        <f>IF(OR(E52&gt;=0.3,E52&lt;=-0.3),"超过30%","")</f>
        <v/>
      </c>
      <c r="G52" s="481">
        <f>IF(G47&lt;G48,G48/G47-1,G47/G48-1)</f>
        <v>4.5550492197826031E-2</v>
      </c>
      <c r="H52" s="482" t="str">
        <f>IF(OR(G52&gt;=0.3,G52&lt;=-0.3),"超过30%","")</f>
        <v/>
      </c>
      <c r="I52" s="481">
        <f>IF(I47&lt;I48,I48/I47-1,I47/I48-1)</f>
        <v>2.4227639248403099E-2</v>
      </c>
      <c r="J52" s="482" t="str">
        <f>IF(OR(I52&gt;=0.3,I52&lt;=-0.3),"超过30%","")</f>
        <v/>
      </c>
      <c r="K52" s="1264"/>
      <c r="L52" s="1260"/>
      <c r="M52" s="1259"/>
      <c r="N52" s="1259"/>
      <c r="O52" s="1259"/>
    </row>
    <row r="53" spans="1:29" ht="13.5" customHeight="1">
      <c r="A53" s="1259"/>
      <c r="B53" s="1259"/>
      <c r="C53" s="479" t="s">
        <v>2389</v>
      </c>
      <c r="D53" s="483"/>
      <c r="E53" s="481">
        <f>IF(E48&lt;G48,G48/E48-1,E48/G48-1)</f>
        <v>6.4903039987374012E-3</v>
      </c>
      <c r="F53" s="482" t="str">
        <f>IF(OR(E53&gt;=0.2,E53&lt;=-0.2),"超过20%","")</f>
        <v/>
      </c>
      <c r="G53" s="481">
        <f>IF(G48&lt;I48,I48/G48-1,G48/I48-1)</f>
        <v>5.9339922274171064E-2</v>
      </c>
      <c r="H53" s="482" t="str">
        <f>IF(OR(G53&gt;=0.2,G53&lt;=-0.2),"超过20%","")</f>
        <v/>
      </c>
      <c r="I53" s="481">
        <f>IF(I48&lt;E48,E48/I48-1,I48/E48-1)</f>
        <v>5.2508820070560569E-2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3.9215686274509887E-2</v>
      </c>
      <c r="F54" s="482" t="str">
        <f>IF(OR(E54&gt;=0.3,E54&lt;=-0.3),"超过30%","")</f>
        <v/>
      </c>
      <c r="G54" s="481">
        <f>IF(G47&lt;I47,I47/G47-1,G47/I47-1)</f>
        <v>3.7735849056603765E-2</v>
      </c>
      <c r="H54" s="482" t="str">
        <f>IF(OR(G54&gt;=0.3,G54&lt;=-0.3),"超过30%","")</f>
        <v/>
      </c>
      <c r="I54" s="481">
        <f>IF(I47&lt;E47,E47/I47-1,I47/E47-1)</f>
        <v>7.8431372549019551E-2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2825</v>
      </c>
      <c r="D88" s="2728" t="s">
        <v>2826</v>
      </c>
      <c r="E88" s="2728" t="s">
        <v>2827</v>
      </c>
      <c r="F88" s="2728" t="s">
        <v>2828</v>
      </c>
      <c r="G88" s="2728" t="s">
        <v>2829</v>
      </c>
      <c r="H88" s="2728" t="s">
        <v>2830</v>
      </c>
      <c r="I88" s="2728" t="s">
        <v>2831</v>
      </c>
      <c r="J88" s="2728" t="s">
        <v>2832</v>
      </c>
      <c r="K88" s="2729" t="s">
        <v>2891</v>
      </c>
      <c r="L88" s="2729" t="s">
        <v>2901</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2833</v>
      </c>
      <c r="D90" s="2728" t="s">
        <v>2834</v>
      </c>
      <c r="E90" s="2728" t="s">
        <v>2835</v>
      </c>
      <c r="F90" s="2728" t="s">
        <v>2836</v>
      </c>
      <c r="G90" s="2728" t="s">
        <v>2837</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2892</v>
      </c>
      <c r="D92" s="2731" t="s">
        <v>2893</v>
      </c>
      <c r="E92" s="2731" t="s">
        <v>2895</v>
      </c>
      <c r="F92" s="2731" t="s">
        <v>2894</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2919</v>
      </c>
      <c r="D94" s="2761" t="s">
        <v>2928</v>
      </c>
      <c r="E94" s="2761" t="s">
        <v>2925</v>
      </c>
      <c r="F94" s="2761" t="s">
        <v>2929</v>
      </c>
      <c r="G94" s="568"/>
      <c r="H94" s="568"/>
      <c r="I94" s="568"/>
      <c r="J94" s="568"/>
      <c r="K94" s="569"/>
      <c r="L94" s="570"/>
      <c r="M94" s="571"/>
      <c r="N94" s="1269"/>
      <c r="O94" s="1269"/>
      <c r="P94" s="2433"/>
      <c r="Q94" s="486"/>
    </row>
    <row r="95" spans="1:17" ht="15.75" thickBot="1">
      <c r="A95" s="517"/>
      <c r="B95" s="527"/>
      <c r="C95" s="545">
        <v>100</v>
      </c>
      <c r="D95" s="545">
        <v>102</v>
      </c>
      <c r="E95" s="545">
        <v>98</v>
      </c>
      <c r="F95" s="545">
        <v>102</v>
      </c>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2838</v>
      </c>
      <c r="D100" s="2732" t="s">
        <v>2839</v>
      </c>
      <c r="E100" s="2733" t="s">
        <v>2842</v>
      </c>
      <c r="F100" s="2732" t="s">
        <v>2840</v>
      </c>
      <c r="G100" s="2732" t="s">
        <v>2841</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0(含)-50</v>
      </c>
      <c r="D102" s="563" t="str">
        <f t="shared" ref="D102:L102" si="23">D103&amp;"(含)"&amp;"-"&amp;E103</f>
        <v>50(含)-100</v>
      </c>
      <c r="E102" s="563" t="str">
        <f t="shared" si="23"/>
        <v>100(含)-150</v>
      </c>
      <c r="F102" s="563" t="str">
        <f t="shared" si="23"/>
        <v>150(含)-200</v>
      </c>
      <c r="G102" s="563" t="str">
        <f t="shared" si="23"/>
        <v>200(含)-250</v>
      </c>
      <c r="H102" s="563" t="str">
        <f t="shared" si="23"/>
        <v>250(含)-300</v>
      </c>
      <c r="I102" s="563" t="str">
        <f t="shared" si="23"/>
        <v>300(含)-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50</v>
      </c>
      <c r="E103" s="580">
        <v>100</v>
      </c>
      <c r="F103" s="580">
        <v>150</v>
      </c>
      <c r="G103" s="580">
        <v>200</v>
      </c>
      <c r="H103" s="580">
        <v>250</v>
      </c>
      <c r="I103" s="580">
        <v>300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2843</v>
      </c>
      <c r="D105" s="2728" t="s">
        <v>2844</v>
      </c>
      <c r="E105" s="2734" t="s">
        <v>2845</v>
      </c>
      <c r="F105" s="2734" t="s">
        <v>2846</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2847</v>
      </c>
      <c r="D107" s="2728" t="s">
        <v>2848</v>
      </c>
      <c r="E107" s="2728" t="s">
        <v>2849</v>
      </c>
      <c r="F107" s="2734" t="s">
        <v>2850</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2847</v>
      </c>
      <c r="D109" s="2728" t="s">
        <v>2848</v>
      </c>
      <c r="E109" s="2728" t="s">
        <v>2849</v>
      </c>
      <c r="F109" s="2734" t="s">
        <v>2850</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2851</v>
      </c>
      <c r="D114" s="2728" t="s">
        <v>2852</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2854</v>
      </c>
      <c r="D116" s="2728" t="s">
        <v>2855</v>
      </c>
      <c r="E116" s="2728" t="s">
        <v>2856</v>
      </c>
      <c r="F116" s="2728" t="s">
        <v>2857</v>
      </c>
      <c r="G116" s="2728" t="s">
        <v>2858</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2859</v>
      </c>
      <c r="D118" s="2734" t="s">
        <v>2860</v>
      </c>
      <c r="E118" s="2736" t="s">
        <v>2865</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2847</v>
      </c>
      <c r="D122" s="2728" t="s">
        <v>2848</v>
      </c>
      <c r="E122" s="2728" t="s">
        <v>2849</v>
      </c>
      <c r="F122" s="2734" t="s">
        <v>2850</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85" zoomScale="106" zoomScaleNormal="106" workbookViewId="0">
      <selection activeCell="A200" sqref="A200"/>
    </sheetView>
  </sheetViews>
  <sheetFormatPr defaultRowHeight="13.5"/>
  <sheetData>
    <row r="74" spans="1:1">
      <c r="A74" s="1915" t="s">
        <v>2905</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6" t="s">
        <v>1229</v>
      </c>
      <c r="B1" s="1836">
        <f>SUM(B14:B23)</f>
        <v>124.24</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43158</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190.70840000000001</v>
      </c>
      <c r="C5" s="1836">
        <f ca="1">ROUND(B5*10000/$B$1,0)</f>
        <v>15350</v>
      </c>
      <c r="D5" s="1836" t="e">
        <f ca="1">ROUND(B5*10000/$B$2,0)</f>
        <v>#DIV/0!</v>
      </c>
      <c r="E5" s="1837"/>
      <c r="F5" s="1841"/>
      <c r="G5" s="1841"/>
    </row>
    <row r="6" spans="1:9" ht="16.5">
      <c r="A6" s="1836" t="s">
        <v>1237</v>
      </c>
      <c r="B6" s="1836">
        <f ca="1">SUM(G14:G23)</f>
        <v>190.70840000000001</v>
      </c>
      <c r="C6" s="1836">
        <f t="shared" ref="C6:C8" ca="1" si="0">ROUND(B6*10000/$B$1,0)</f>
        <v>15350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2863</v>
      </c>
      <c r="B14" s="1840">
        <f>项目基本情况!C12</f>
        <v>124.24</v>
      </c>
      <c r="C14" s="1840">
        <f>项目基本情况!C13</f>
        <v>0</v>
      </c>
      <c r="D14" s="1840">
        <f ca="1">IF('数据-取费表'!B3="万元",IF(A14="估价对象1（结果表）",结果表!H121,'结果表 (1修多)'!H124),IF(A14="估价对象1（结果表）",结果表!H121,'结果表 (1修多)'!H124)/10000)</f>
        <v>190.70840000000001</v>
      </c>
      <c r="E14" s="1840">
        <f ca="1">ROUND(D14*10000/B14,0)</f>
        <v>15350</v>
      </c>
      <c r="F14" s="1840" t="e">
        <f ca="1">ROUND(D14*10000/C14,0)</f>
        <v>#DIV/0!</v>
      </c>
      <c r="G14" s="1840">
        <f ca="1">IF('数据-取费表'!B3="万元",IF(A14="估价对象1（结果表）",结果表!D125,'结果表 (1修多)'!D128),IF(A14="估价对象1（结果表）",结果表!D125,'结果表 (1修多)'!D128)/10000)</f>
        <v>190.70840000000001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124.24</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43158</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85.25">
      <c r="A17" s="409"/>
      <c r="B17" s="432" t="s">
        <v>1751</v>
      </c>
      <c r="C17" s="2413"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142.5">
      <c r="A23" s="409"/>
      <c r="B23" s="432" t="s">
        <v>1756</v>
      </c>
      <c r="C23" s="2464" t="str">
        <f>估价对象房地状况!C9</f>
        <v>自然环境：翠城公园、窑洼湖公园等；人文环境：北京CBD国际高尔夫球会、北京欢乐谷、北京工业大学、北京联合大学等，综合评价环境状况好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124.24</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43158</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85.25">
      <c r="A17" s="409"/>
      <c r="B17" s="616" t="s">
        <v>1751</v>
      </c>
      <c r="C17" s="2475" t="str">
        <f>估价对象房地状况!C6</f>
        <v>估价对象紧邻城市次干道——大柳树路，临近地铁7号线（南楼梓庄站）；以估价对象为中心半径2公里范围内有30路、31路、34路、41路、561路、657路等多条公交线路，综合评价交通便捷度较好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142.5">
      <c r="A23" s="409"/>
      <c r="B23" s="616" t="s">
        <v>2484</v>
      </c>
      <c r="C23" s="2475" t="str">
        <f>估价对象房地状况!C9</f>
        <v>自然环境：翠城公园、窑洼湖公园等；人文环境：北京CBD国际高尔夫球会、北京欢乐谷、北京工业大学、北京联合大学等，综合评价环境状况好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124.24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43158</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估价对象为房地产，为所有。根据《不动产权证书》[]，估价对象建筑面积为124.24平方米，（分摊）出让国有建设用地使用权面积为平方米。估价对象用途为。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2018年2月27日（评估专业人员实地查勘之日）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本次估价的“房地产价值”是指在正常市场情况下，在价值时点2018年2月27日，估价对象规划用途为，假定未设立法定优先受偿款下的房地产市场价值。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124.24</v>
      </c>
      <c r="E3" s="1093" t="s">
        <v>2509</v>
      </c>
      <c r="F3" s="380">
        <f>'数据-取费表'!B41</f>
        <v>124.24</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43158</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381" t="s">
        <v>2366</v>
      </c>
      <c r="B14" s="614" t="s">
        <v>2510</v>
      </c>
      <c r="C14" s="1482"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142.5">
      <c r="A20" s="384"/>
      <c r="B20" s="616" t="s">
        <v>2511</v>
      </c>
      <c r="C20" s="1484" t="str">
        <f>IF(B1="工业",估价对象房地状况!G7,估价对象房地状况!C9)</f>
        <v>自然环境：翠城公园、窑洼湖公园等；人文环境：北京CBD国际高尔夫球会、北京欢乐谷、北京工业大学、北京联合大学等，综合评价环境状况好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124.24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43158</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85.25">
      <c r="A14" s="420" t="s">
        <v>2366</v>
      </c>
      <c r="B14" s="26" t="s">
        <v>2510</v>
      </c>
      <c r="C14" s="2486" t="str">
        <f>IF(B1="工业",估价对象房地状况!G4,估价对象房地状况!C6)</f>
        <v>估价对象紧邻城市次干道——大柳树路，临近地铁7号线（南楼梓庄站）；以估价对象为中心半径2公里范围内有30路、31路、34路、41路、561路、657路等多条公交线路，综合评价交通便捷度较好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142.5">
      <c r="A20" s="409"/>
      <c r="B20" s="432" t="s">
        <v>2511</v>
      </c>
      <c r="C20" s="2413" t="str">
        <f>IF(B1="工业",估价对象房地状况!G7,估价对象房地状况!C9)</f>
        <v>自然环境：翠城公园、窑洼湖公园等；人文环境：北京CBD国际高尔夫球会、北京欢乐谷、北京工业大学、北京联合大学等，综合评价环境状况好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43158</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148</v>
      </c>
      <c r="G10" s="445"/>
      <c r="H10" s="52">
        <f>ROUND(100/'数据-取费表'!B14,0)</f>
        <v>148</v>
      </c>
      <c r="I10" s="445"/>
      <c r="J10" s="52">
        <f>ROUND(100/'数据-取费表'!B14,0)</f>
        <v>148</v>
      </c>
      <c r="K10" s="656"/>
      <c r="L10" s="1250"/>
      <c r="M10" s="1251"/>
      <c r="N10" s="1251"/>
      <c r="O10" s="1252"/>
      <c r="P10" s="3064"/>
      <c r="Q10" s="1893" t="str">
        <f t="shared" si="6"/>
        <v>土地使用年限（年）</v>
      </c>
      <c r="R10" s="750" t="s">
        <v>25</v>
      </c>
      <c r="S10" s="751">
        <f t="shared" si="0"/>
        <v>148</v>
      </c>
      <c r="T10" s="750" t="s">
        <v>25</v>
      </c>
      <c r="U10" s="751">
        <f t="shared" si="1"/>
        <v>148</v>
      </c>
      <c r="V10" s="750" t="s">
        <v>25</v>
      </c>
      <c r="W10" s="751">
        <f t="shared" si="2"/>
        <v>148</v>
      </c>
      <c r="X10" s="752"/>
      <c r="Y10" s="2875"/>
      <c r="Z10" s="23" t="str">
        <f t="shared" si="7"/>
        <v>土地使用年限（年）</v>
      </c>
      <c r="AA10" s="753">
        <f t="shared" si="3"/>
        <v>0.67567567567567566</v>
      </c>
      <c r="AB10" s="753">
        <f t="shared" si="4"/>
        <v>0.67567567567567566</v>
      </c>
      <c r="AC10" s="753">
        <f t="shared" si="5"/>
        <v>0.67567567567567566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42.5">
      <c r="A15" s="381" t="s">
        <v>2366</v>
      </c>
      <c r="B15" s="1489" t="s">
        <v>1742</v>
      </c>
      <c r="C15" s="2474" t="str">
        <f>估价对象房地状况!C15</f>
        <v>估价对象周边有世纪东方嘉园、官悦欣园、官悦新城、金源公寓等居住小区，小区规模和社区发展完善程度较好，综合评价居住社区成熟度较好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85.25">
      <c r="A21" s="384"/>
      <c r="B21" s="1491" t="s">
        <v>2510</v>
      </c>
      <c r="C21" s="2475" t="str">
        <f>估价对象房地状况!C18</f>
        <v>估价对象紧邻城市次干道——大柳树路，临近地铁7号线（南楼梓庄站）；以估价对象为中心半径2公里范围内有30路、31路、34路、41路、561路、657路等多条公交线路，综合评价交通便捷度较好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142.5">
      <c r="A25" s="384"/>
      <c r="B25" s="1493" t="s">
        <v>2551</v>
      </c>
      <c r="C25" s="2492" t="str">
        <f>估价对象房地状况!C20</f>
        <v>自然环境：翠城公园、窑洼湖公园等；人文环境：北京CBD国际高尔夫球会、北京欢乐谷、北京工业大学、北京联合大学等，综合评价环境状况好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2570</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2571</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2572</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2573</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2574</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2575</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2576</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43158</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148</v>
      </c>
      <c r="G10" s="413"/>
      <c r="H10" s="52">
        <f>ROUND(100/'数据-取费表'!B14,0)</f>
        <v>148</v>
      </c>
      <c r="I10" s="413"/>
      <c r="J10" s="52">
        <f>ROUND(100/'数据-取费表'!B14,0)</f>
        <v>148</v>
      </c>
      <c r="K10" s="656"/>
      <c r="L10" s="1250"/>
      <c r="M10" s="1251"/>
      <c r="N10" s="1251"/>
      <c r="O10" s="1252"/>
      <c r="P10" s="3064"/>
      <c r="Q10" s="1893" t="str">
        <f t="shared" si="6"/>
        <v>土地使用年限（年）</v>
      </c>
      <c r="R10" s="750" t="s">
        <v>25</v>
      </c>
      <c r="S10" s="751">
        <f t="shared" si="0"/>
        <v>148</v>
      </c>
      <c r="T10" s="750" t="s">
        <v>25</v>
      </c>
      <c r="U10" s="751">
        <f t="shared" si="1"/>
        <v>148</v>
      </c>
      <c r="V10" s="750" t="s">
        <v>25</v>
      </c>
      <c r="W10" s="751">
        <f t="shared" si="2"/>
        <v>148</v>
      </c>
      <c r="X10" s="752"/>
      <c r="Y10" s="2875"/>
      <c r="Z10" s="23" t="str">
        <f t="shared" si="7"/>
        <v>土地使用年限（年）</v>
      </c>
      <c r="AA10" s="753">
        <f t="shared" si="3"/>
        <v>0.67567567567567566</v>
      </c>
      <c r="AB10" s="753">
        <f t="shared" si="4"/>
        <v>0.67567567567567566</v>
      </c>
      <c r="AC10" s="753">
        <f t="shared" si="5"/>
        <v>0.67567567567567566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2570</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2571</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2572</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2573</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2574</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2575</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2576</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f>IF(基准地价修正!E2="商业",SUMIF(基准地价修正!L1:L12,基准地价修正!G2,基准地价修正!N1:N12),"——")</f>
        <v>9.5000000000000001E-2</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估价对象紧邻城市次干道——大柳树路，临近地铁7号线（南楼梓庄站）；以估价对象为中心半径2公里范围内有30路、31路、34路、41路、561路、657路等多条公交线路，综合评价交通便捷度较好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城市次干道——大柳树路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自然环境：翠城公园、窑洼湖公园等；人文环境：北京CBD国际高尔夫球会、北京欢乐谷、北京工业大学、北京联合大学等，综合评价环境状况好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估价对象紧邻城市次干道——大柳树路，临近地铁7号线（南楼梓庄站）；以估价对象为中心半径2公里范围内有30路、31路、34路、41路、561路、657路等多条公交线路，综合评价交通便捷度较好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城市次干道——大柳树路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自然环境：翠城公园、窑洼湖公园等；人文环境：北京CBD国际高尔夫球会、北京欢乐谷、北京工业大学、北京联合大学等，综合评价环境状况好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估价对象周边有世纪东方嘉园、官悦欣园、官悦新城、金源公寓等居住小区，小区规模和社区发展完善程度较好，综合评价居住社区成熟度较好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估价对象紧邻城市次干道——大柳树路，临近地铁7号线（南楼梓庄站）；以估价对象为中心半径2公里范围内有30路、31路、34路、41路、561路、657路等多条公交线路，综合评价交通便捷度较好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城市次干道——大柳树路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自然环境：翠城公园、窑洼湖公园等；人文环境：北京CBD国际高尔夫球会、北京欢乐谷、北京工业大学、北京联合大学等，综合评价环境状况好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24700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124.24</v>
      </c>
      <c r="D6" s="2769"/>
      <c r="E6" s="1933"/>
    </row>
    <row r="7" spans="1:5" ht="14.25">
      <c r="A7" s="1933"/>
      <c r="B7" s="2763" t="s">
        <v>785</v>
      </c>
      <c r="C7" s="1939" t="str">
        <f>IF('数据-取费表'!B3="万元","总价（万元）","总价（元）")</f>
        <v>总价（元）</v>
      </c>
      <c r="D7" s="1940">
        <f ca="1">IF('数据-取费表'!E3="否",结果表!I102,'结果表 (1修多)'!I103)</f>
        <v>1907084</v>
      </c>
      <c r="E7" s="1933"/>
    </row>
    <row r="8" spans="1:5" ht="28.5">
      <c r="A8" s="1933"/>
      <c r="B8" s="2763"/>
      <c r="C8" s="1941" t="s">
        <v>1179</v>
      </c>
      <c r="D8" s="1942" t="str">
        <f ca="1">IF('数据-取费表'!B3="万元",NUMBERSTRING(INT(D7*10000),2)&amp;"元整",NUMBERSTRING(INT(D7),2)&amp;"元整")</f>
        <v>壹佰玖拾万柒仟零捌拾肆元整</v>
      </c>
      <c r="E8" s="1933"/>
    </row>
    <row r="9" spans="1:5" ht="14.25">
      <c r="A9" s="1933"/>
      <c r="B9" s="2763"/>
      <c r="C9" s="1943" t="s">
        <v>1277</v>
      </c>
      <c r="D9" s="1940">
        <f ca="1">IF('数据-取费表'!E3="否",结果表!I103,'结果表 (1修多)'!I104)</f>
        <v>15350</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1907084</v>
      </c>
      <c r="E15" s="1933"/>
    </row>
    <row r="16" spans="1:5" ht="28.5">
      <c r="A16" s="1933"/>
      <c r="B16" s="2770"/>
      <c r="C16" s="1941" t="s">
        <v>1179</v>
      </c>
      <c r="D16" s="1940" t="str">
        <f ca="1">IF('数据-取费表'!B3="万元",NUMBERSTRING(INT(D15*10000),2)&amp;"元整",NUMBERSTRING(INT(D15),2)&amp;"元整")</f>
        <v>壹佰玖拾万柒仟零捌拾肆元整</v>
      </c>
      <c r="E16" s="1933"/>
    </row>
    <row r="17" spans="1:5" ht="14.25">
      <c r="A17" s="1933"/>
      <c r="B17" s="2770"/>
      <c r="C17" s="1943" t="s">
        <v>1277</v>
      </c>
      <c r="D17" s="1940">
        <f ca="1">IF('数据-取费表'!E3="否",结果表!I111,'结果表 (1修多)'!I112)</f>
        <v>15350</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1907084</v>
      </c>
      <c r="E28" s="1933"/>
    </row>
    <row r="29" spans="1:5" ht="28.5">
      <c r="A29" s="1933"/>
      <c r="B29" s="2772"/>
      <c r="C29" s="1952" t="s">
        <v>1179</v>
      </c>
      <c r="D29" s="1953" t="str">
        <f ca="1">IF('数据-取费表'!B3="万元",NUMBERSTRING(INT(D28*10000),2)&amp;"元整",NUMBERSTRING(INT(D28),2)&amp;"元整")</f>
        <v>壹佰玖拾万柒仟零捌拾肆元整</v>
      </c>
      <c r="E29" s="1933"/>
    </row>
    <row r="30" spans="1:5" ht="14.25">
      <c r="A30" s="1933"/>
      <c r="B30" s="2773"/>
      <c r="C30" s="1943" t="s">
        <v>1182</v>
      </c>
      <c r="D30" s="1954">
        <f ca="1">IF('数据-取费表'!E3="否",结果表!I103,'结果表 (1修多)'!I104)</f>
        <v>15350</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1907084</v>
      </c>
      <c r="E36" s="1933"/>
    </row>
    <row r="37" spans="1:5" ht="28.5">
      <c r="A37" s="1933"/>
      <c r="B37" s="2774"/>
      <c r="C37" s="1952" t="s">
        <v>1179</v>
      </c>
      <c r="D37" s="1957" t="str">
        <f ca="1">IF('数据-取费表'!B3="万元",NUMBERSTRING(INT(D36*10000),2)&amp;"元整",NUMBERSTRING(INT(D36),2)&amp;"元整")</f>
        <v>壹佰玖拾万柒仟零捌拾肆元整</v>
      </c>
      <c r="E37" s="1933"/>
    </row>
    <row r="38" spans="1:5" ht="14.25">
      <c r="A38" s="1933"/>
      <c r="B38" s="2774"/>
      <c r="C38" s="1943" t="s">
        <v>1183</v>
      </c>
      <c r="D38" s="1954">
        <f ca="1">IF('数据-取费表'!E3="否",结果表!D113,'结果表 (1修多)'!D116)</f>
        <v>15350</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43158</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124.24</v>
      </c>
      <c r="C4" s="1050">
        <f>结果表!C121</f>
        <v>0</v>
      </c>
      <c r="D4" s="1050">
        <f ca="1">IF('数据-取费表'!E3="否",结果表!D121,'结果表 (1修多)'!D124)</f>
        <v>1476095</v>
      </c>
      <c r="E4" s="1050">
        <f ca="1">IF('数据-取费表'!E3="否",结果表!E121,'结果表 (1修多)'!E124)</f>
        <v>11881</v>
      </c>
      <c r="F4" s="1050">
        <f ca="1">IF('数据-取费表'!E3="否",结果表!F121,'结果表 (1修多)'!F124)</f>
        <v>430989</v>
      </c>
      <c r="G4" s="1050">
        <f ca="1">IF('数据-取费表'!E3="否",结果表!G121,'结果表 (1修多)'!G124)</f>
        <v>3469</v>
      </c>
      <c r="H4" s="1050">
        <f ca="1">IF('数据-取费表'!E3="否",结果表!H121,'结果表 (1修多)'!H124)</f>
        <v>1907084</v>
      </c>
      <c r="I4" s="1050">
        <f ca="1">IF('数据-取费表'!E3="否",结果表!I121,'结果表 (1修多)'!I124)</f>
        <v>15350</v>
      </c>
    </row>
    <row r="5" spans="1:9" ht="15">
      <c r="A5" s="2788" t="s">
        <v>1287</v>
      </c>
      <c r="B5" s="2788"/>
      <c r="C5" s="2788"/>
      <c r="D5" s="2786" t="str">
        <f ca="1">IF('数据-取费表'!E3="否",结果表!D122,'结果表 (1修多)'!D125)</f>
        <v>壹佰肆拾柒万陆仟零玖拾伍元整</v>
      </c>
      <c r="E5" s="2786"/>
      <c r="F5" s="2786" t="str">
        <f ca="1">IF('数据-取费表'!E3="否",结果表!F122,'结果表 (1修多)'!F125)</f>
        <v>肆拾叁万零玖佰捌拾玖元整</v>
      </c>
      <c r="G5" s="2786"/>
      <c r="H5" s="2786" t="str">
        <f ca="1">IF('数据-取费表'!E3="否",结果表!H122,'结果表 (1修多)'!H125)</f>
        <v>壹佰玖拾万柒仟零捌拾肆元整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1907084</v>
      </c>
      <c r="E8" s="2787"/>
      <c r="F8" s="2787"/>
      <c r="G8" s="2787"/>
      <c r="H8" s="2787"/>
      <c r="I8" s="2787"/>
    </row>
    <row r="9" spans="1:9" ht="15">
      <c r="A9" s="2788" t="s">
        <v>1287</v>
      </c>
      <c r="B9" s="2788"/>
      <c r="C9" s="2788"/>
      <c r="D9" s="2786">
        <f ca="1">IF('数据-取费表'!E3="否",结果表!D126,'结果表 (1修多)'!D129)</f>
        <v>15350</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43158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本次估价的“房地产价值”是指在正常市场情况下，在价值时点2018年2月27日，估价对象规划用途为，假定未设立法定优先受偿款下的房地产市场价值。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基准地价修正</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2018-02-27T02:07:34Z</dcterms:modified>
</cp:coreProperties>
</file>