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54" i="1" l="1"/>
  <c r="Y6" i="1"/>
  <c r="C19" i="6"/>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AC14" i="3"/>
  <c r="G14" i="3"/>
  <c r="E15" i="74" s="1"/>
  <c r="H15" i="3"/>
  <c r="AC15" i="3"/>
  <c r="H16" i="3"/>
  <c r="E17" i="74"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E16" i="74" s="1"/>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8" i="15"/>
  <c r="M29" i="67"/>
  <c r="M8" i="15"/>
  <c r="F42" i="67"/>
  <c r="M23" i="15"/>
  <c r="B7" i="76"/>
  <c r="C19" i="9"/>
  <c r="M28" i="67"/>
  <c r="E7" i="76"/>
  <c r="B9" i="76"/>
  <c r="E11" i="76"/>
  <c r="B13" i="76"/>
  <c r="F6" i="73"/>
  <c r="M29" i="15"/>
  <c r="D20" i="9"/>
  <c r="F7" i="67"/>
  <c r="E9" i="76"/>
  <c r="M22" i="15"/>
  <c r="M24" i="67"/>
  <c r="C20" i="9"/>
  <c r="L47" i="15"/>
  <c r="C76" i="67"/>
  <c r="M9" i="67"/>
  <c r="D6" i="73"/>
  <c r="F9" i="67"/>
  <c r="M26" i="67"/>
  <c r="M6" i="15"/>
  <c r="E2" i="69"/>
  <c r="F7" i="73"/>
  <c r="E8" i="76"/>
  <c r="E10" i="76"/>
  <c r="F37" i="67"/>
  <c r="F36" i="15"/>
  <c r="F5" i="73"/>
  <c r="B12" i="76"/>
  <c r="F37" i="15"/>
  <c r="M26" i="15"/>
  <c r="F7" i="15"/>
  <c r="F4" i="73"/>
  <c r="F16" i="67"/>
  <c r="M6" i="67"/>
  <c r="F26" i="15"/>
  <c r="B10" i="76"/>
  <c r="F16" i="15"/>
  <c r="E2" i="68"/>
  <c r="L48" i="15"/>
  <c r="B11" i="76"/>
  <c r="F40" i="15"/>
  <c r="J15" i="15"/>
  <c r="F26" i="67"/>
  <c r="F13" i="67"/>
  <c r="F43" i="67"/>
  <c r="M24" i="15"/>
  <c r="F38" i="15"/>
  <c r="M8" i="67"/>
  <c r="F40" i="67"/>
  <c r="F38" i="67"/>
  <c r="E12" i="76"/>
  <c r="F8" i="15"/>
  <c r="M22" i="67"/>
  <c r="D19" i="9"/>
  <c r="F6" i="67"/>
  <c r="C76" i="15"/>
  <c r="L47" i="67"/>
  <c r="J15" i="67"/>
  <c r="F36" i="67"/>
  <c r="F6" i="15"/>
  <c r="L48" i="67"/>
  <c r="F20" i="31"/>
  <c r="B8" i="76"/>
  <c r="F43" i="15"/>
  <c r="F13" i="15"/>
  <c r="F42" i="15"/>
  <c r="F9" i="15"/>
  <c r="E13" i="76"/>
  <c r="F3" i="73"/>
  <c r="F8" i="67"/>
  <c r="M9" i="15"/>
  <c r="AO13" i="1"/>
  <c r="M23" i="67"/>
  <c r="BA17" i="3" l="1"/>
  <c r="AZ17" i="3" s="1"/>
  <c r="C21" i="68"/>
  <c r="C40"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C16" i="67"/>
  <c r="D7" i="73"/>
  <c r="D5" i="73"/>
  <c r="D3" i="73"/>
  <c r="D4" i="73"/>
  <c r="C16" i="15"/>
  <c r="P6" i="1" l="1"/>
  <c r="C13" i="12" s="1"/>
  <c r="K16" i="1"/>
  <c r="N370" i="46"/>
  <c r="G26" i="43"/>
  <c r="J26" i="43"/>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D26" i="43" l="1"/>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D35" i="9"/>
  <c r="F41" i="15"/>
  <c r="M27" i="67"/>
  <c r="M27" i="15"/>
  <c r="F24" i="15" l="1"/>
  <c r="C24" i="15" s="1"/>
  <c r="F22" i="69"/>
  <c r="F41" i="69" s="1"/>
  <c r="F22" i="68"/>
  <c r="C44" i="68" s="1"/>
  <c r="D41" i="68" s="1"/>
  <c r="F25" i="12"/>
  <c r="C26" i="12" s="1"/>
  <c r="D25" i="12" s="1"/>
  <c r="F22" i="11"/>
  <c r="C44" i="11" s="1"/>
  <c r="D41"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26" i="68"/>
  <c r="D22" i="68" s="1"/>
  <c r="C25" i="11"/>
  <c r="C34" i="9"/>
  <c r="C66" i="67"/>
  <c r="C60" i="67"/>
  <c r="D10" i="69"/>
  <c r="C34" i="69"/>
  <c r="D10" i="68"/>
  <c r="D34" i="9"/>
  <c r="C14" i="67"/>
  <c r="C17" i="15"/>
  <c r="C17" i="67"/>
  <c r="C23" i="68" l="1"/>
  <c r="F41" i="68"/>
  <c r="C44" i="69"/>
  <c r="D41" i="69" s="1"/>
  <c r="C24" i="11"/>
  <c r="C22" i="11" s="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11" i="1"/>
  <c r="AO10" i="1"/>
  <c r="AO8" i="1"/>
  <c r="AO12"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H4" i="52" s="1"/>
  <c r="D7" i="53"/>
  <c r="B21" i="72" s="1"/>
  <c r="C5" i="74"/>
  <c r="E118" i="9"/>
  <c r="C105" i="9"/>
  <c r="I4" i="52"/>
  <c r="F118" i="9"/>
  <c r="H119" i="9" l="1"/>
  <c r="H5" i="52" s="1"/>
  <c r="H101" i="9"/>
  <c r="C104" i="9"/>
  <c r="F119" i="9"/>
  <c r="F5" i="52" s="1"/>
  <c r="B53" i="72" s="1"/>
  <c r="F4" i="52"/>
  <c r="B51" i="72" s="1"/>
  <c r="E4" i="52"/>
  <c r="B48" i="72" s="1"/>
  <c r="D118" i="9"/>
  <c r="D45" i="9" l="1"/>
  <c r="H107" i="9"/>
  <c r="M48" i="9"/>
  <c r="D5" i="53"/>
  <c r="D119" i="9"/>
  <c r="D5" i="52" s="1"/>
  <c r="B49" i="72" s="1"/>
  <c r="D4" i="52"/>
  <c r="B47" i="72" s="1"/>
  <c r="M49" i="9" l="1"/>
  <c r="D122" i="9"/>
  <c r="D13" i="53"/>
  <c r="H108" i="9"/>
  <c r="D6" i="53"/>
  <c r="B22" i="72" s="1"/>
  <c r="B20" i="72"/>
  <c r="C85" i="9"/>
  <c r="D53" i="9"/>
  <c r="C93" i="9"/>
  <c r="C86" i="9" s="1"/>
  <c r="C78" i="9"/>
  <c r="C73" i="9" s="1"/>
  <c r="D55" i="9"/>
  <c r="M53" i="9" s="1"/>
  <c r="C72" i="9"/>
  <c r="C79" i="9" s="1"/>
  <c r="D52" i="9"/>
  <c r="C64" i="9"/>
  <c r="C63" i="9" s="1"/>
  <c r="C67" i="9" s="1"/>
  <c r="C95" i="9" l="1"/>
  <c r="C6" i="74"/>
  <c r="D15" i="53"/>
  <c r="B31" i="72" s="1"/>
  <c r="C96" i="9"/>
  <c r="E96" i="9" s="1"/>
  <c r="E97" i="9" s="1"/>
  <c r="C97" i="9"/>
  <c r="D58" i="9" s="1"/>
  <c r="D56" i="9" s="1"/>
  <c r="M54" i="9" s="1"/>
  <c r="B30" i="72"/>
  <c r="D14" i="53"/>
  <c r="B32" i="72" s="1"/>
  <c r="C80" i="9"/>
  <c r="E80" i="9" s="1"/>
  <c r="E81" i="9" s="1"/>
  <c r="C81" i="9"/>
  <c r="C68" i="9"/>
  <c r="D54" i="9" s="1"/>
  <c r="D59" i="9"/>
  <c r="M55" i="9" s="1"/>
  <c r="D123" i="9"/>
  <c r="D9" i="52" s="1"/>
  <c r="D8" i="52"/>
  <c r="L63" i="9"/>
  <c r="M63" i="9" s="1"/>
  <c r="M69" i="9" s="1"/>
  <c r="N69" i="9" s="1"/>
  <c r="L66" i="9"/>
  <c r="M66" i="9" s="1"/>
  <c r="L65" i="9"/>
  <c r="M65" i="9" s="1"/>
  <c r="L67" i="9"/>
  <c r="M67" i="9" s="1"/>
  <c r="L68" i="9"/>
  <c r="M68" i="9" s="1"/>
  <c r="L64" i="9"/>
  <c r="M64" i="9" s="1"/>
  <c r="N57" i="9" l="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<sst xmlns="http://schemas.openxmlformats.org/spreadsheetml/2006/main" count="7788" uniqueCount="3399">
  <si>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</si>
  <si>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</si>
  <si>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</si>
  <si>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</si>
  <si>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</si>
  <si>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</si>
  <si>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</si>
  <si>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</si>
  <si>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</si>
  <si>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</si>
  <si>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</si>
  <si>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</si>
  <si>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</si>
  <si>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</si>
  <si>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</si>
  <si>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</si>
  <si>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</si>
  <si>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</si>
  <si>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</si>
  <si>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</si>
  <si>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</si>
  <si>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</si>
  <si>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</si>
  <si>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</si>
  <si>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</si>
  <si>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</si>
  <si>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</si>
  <si>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</si>
  <si>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</si>
  <si>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</si>
  <si>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</si>
  <si>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</si>
  <si>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</si>
  <si>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</si>
  <si>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</si>
  <si>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</si>
  <si>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</si>
  <si>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</si>
  <si>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</si>
  <si>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</si>
  <si>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</si>
  <si>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</si>
  <si>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</si>
  <si>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</si>
  <si>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</si>
  <si>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</si>
  <si>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</si>
  <si>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</si>
  <si>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</si>
  <si>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</si>
  <si>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</si>
  <si>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</si>
  <si>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</si>
  <si>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</si>
  <si>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</si>
  <si>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</si>
  <si>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</si>
  <si>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</si>
  <si>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</si>
  <si>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</si>
  <si>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</si>
  <si>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</si>
  <si>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</si>
  <si>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</si>
  <si>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</si>
  <si>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</si>
  <si>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</si>
  <si>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</si>
  <si>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</si>
  <si>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</si>
  <si>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</si>
  <si>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</si>
  <si>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</si>
  <si>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</si>
  <si>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</si>
  <si>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</si>
  <si>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</si>
  <si>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</si>
  <si>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</si>
  <si>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</si>
  <si>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</si>
  <si>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</si>
  <si>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</si>
  <si>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</si>
  <si>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</si>
  <si>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</si>
  <si>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</si>
  <si>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</si>
  <si>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</si>
  <si>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</si>
  <si>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</si>
  <si>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</si>
  <si>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</si>
  <si>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</si>
  <si>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</si>
  <si>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</si>
  <si>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</si>
  <si>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</si>
  <si>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</si>
  <si>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</si>
  <si>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</si>
  <si>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</si>
  <si>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</si>
  <si>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</si>
  <si>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</si>
  <si>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</si>
  <si>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</si>
  <si>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</si>
  <si>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</si>
  <si>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</si>
  <si>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</si>
  <si>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</si>
  <si>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</si>
  <si>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</si>
  <si>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</si>
  <si>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</si>
  <si>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</si>
  <si>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</si>
  <si>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</si>
  <si>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</si>
  <si>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</si>
  <si>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</si>
  <si>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</si>
  <si>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</si>
  <si>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</si>
  <si>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</si>
  <si>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</si>
  <si>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</si>
  <si>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</si>
  <si>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</si>
  <si>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</si>
  <si>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</si>
  <si>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</si>
  <si>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</si>
  <si>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</si>
  <si>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</si>
  <si>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</si>
  <si>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</si>
  <si>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</si>
  <si>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</si>
  <si>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</si>
  <si>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</si>
  <si>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</si>
  <si>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</si>
  <si>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</si>
  <si>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</si>
  <si>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</si>
  <si>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</si>
  <si>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</si>
  <si>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</si>
  <si>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</si>
  <si>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</si>
  <si>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</si>
  <si>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</si>
  <si>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</si>
  <si>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</si>
  <si>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</si>
  <si>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</si>
  <si>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</si>
  <si>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</si>
  <si>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</si>
  <si>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</si>
  <si>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</si>
  <si>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</si>
  <si>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</si>
  <si>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</si>
  <si>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</si>
  <si>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</si>
  <si>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</si>
  <si>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</si>
  <si>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</si>
  <si>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</si>
  <si>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</si>
  <si>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</si>
  <si>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</si>
  <si>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</si>
  <si>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</si>
  <si>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</si>
  <si>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</si>
  <si>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</si>
  <si>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</si>
  <si>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</si>
  <si>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</si>
  <si>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</si>
  <si>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</si>
  <si>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</si>
  <si>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</si>
  <si>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</si>
  <si>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</si>
  <si>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</si>
  <si>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</si>
  <si>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</si>
  <si>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</si>
  <si>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</si>
  <si>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</si>
  <si>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</si>
  <si>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</si>
  <si>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</si>
  <si>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</si>
  <si>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</si>
  <si>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</si>
  <si>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</si>
  <si>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</si>
  <si>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</si>
  <si>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</si>
  <si>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</si>
  <si>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</si>
  <si>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</si>
  <si>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</si>
  <si>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</si>
  <si>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</si>
  <si>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</si>
  <si>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</si>
  <si>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</si>
  <si>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</si>
  <si>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</si>
  <si>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</si>
  <si>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</si>
  <si>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</si>
  <si>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</si>
  <si>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</si>
  <si>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</si>
  <si>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</si>
  <si>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</si>
  <si>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</si>
  <si>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</si>
  <si>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</si>
  <si>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</si>
  <si>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</si>
  <si>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</si>
  <si>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</si>
  <si>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</si>
  <si>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</si>
  <si>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</si>
  <si>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</si>
  <si>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</si>
  <si>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</si>
  <si>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</si>
  <si>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</si>
  <si>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</si>
  <si>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</si>
  <si>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</si>
  <si>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</si>
  <si>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</si>
  <si>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</si>
  <si>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</si>
  <si>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</si>
  <si>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</si>
  <si>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</si>
  <si>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</si>
  <si>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</si>
  <si>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</si>
  <si>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</si>
  <si>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</si>
  <si>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</si>
  <si>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</si>
  <si>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</si>
  <si>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</si>
  <si>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</si>
  <si>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</si>
  <si>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</si>
  <si>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</si>
  <si>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</si>
  <si>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</si>
  <si>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</si>
  <si>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</si>
  <si>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</si>
  <si>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</si>
  <si>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</si>
  <si>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</si>
  <si>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</si>
  <si>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</si>
  <si>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</si>
  <si>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</si>
  <si>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</si>
  <si>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</si>
  <si>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</si>
  <si>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</si>
  <si>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</si>
  <si>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</si>
  <si>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</si>
  <si>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</si>
  <si>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</si>
  <si>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</si>
  <si>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</si>
  <si>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</si>
  <si>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</si>
  <si>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</si>
  <si>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</si>
  <si>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</si>
  <si>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</si>
  <si>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</si>
  <si>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</si>
  <si>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</si>
  <si>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</si>
  <si>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</si>
  <si>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</si>
  <si>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</si>
  <si>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</si>
  <si>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</si>
  <si>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</si>
  <si>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</si>
  <si>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</si>
  <si>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</si>
  <si>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</si>
  <si>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</si>
  <si>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</si>
  <si>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</si>
  <si>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</si>
  <si>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</si>
  <si>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</si>
  <si>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</si>
  <si>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</si>
  <si>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</si>
  <si>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</si>
  <si>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</si>
  <si>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</si>
  <si>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</si>
  <si>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</si>
  <si>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</si>
  <si>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</si>
  <si>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</si>
  <si>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</si>
  <si>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</si>
  <si>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</si>
  <si>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</si>
  <si>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</si>
  <si>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</si>
  <si>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</si>
  <si>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</si>
  <si>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</si>
  <si>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</si>
  <si>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</si>
  <si>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</si>
  <si>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</si>
  <si>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</si>
  <si>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</si>
  <si>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</si>
  <si>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</si>
  <si>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</si>
  <si>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</si>
  <si>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</si>
  <si>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</si>
  <si>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</si>
  <si>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</si>
  <si>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</si>
  <si>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</si>
  <si>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</si>
  <si>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</si>
  <si>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</si>
  <si>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</si>
  <si>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</si>
  <si>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</si>
  <si>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</si>
  <si>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</si>
  <si>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</si>
  <si>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</si>
  <si>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</si>
  <si>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</si>
  <si>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</si>
  <si>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</si>
  <si>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</si>
  <si>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</si>
  <si>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</si>
  <si>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</si>
  <si>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</si>
  <si>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</si>
  <si>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</si>
  <si>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</si>
  <si>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</si>
  <si>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</si>
  <si>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</si>
  <si>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</si>
  <si>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</si>
  <si>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</si>
  <si>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</si>
  <si>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</si>
  <si>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</si>
  <si>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</si>
  <si>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</si>
  <si>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</si>
  <si>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</si>
  <si>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</si>
  <si>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</si>
  <si>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</si>
  <si>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</si>
  <si>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</si>
  <si>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</si>
  <si>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</si>
  <si>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</si>
  <si>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</si>
  <si>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</si>
  <si>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</si>
  <si>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</si>
  <si>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</si>
  <si>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</si>
  <si>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</si>
  <si>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</si>
  <si>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</si>
  <si>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</si>
  <si>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</si>
  <si>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</si>
  <si>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</si>
  <si>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</si>
  <si>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</si>
  <si>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</si>
  <si>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</si>
  <si>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</si>
  <si>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</si>
  <si>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</si>
  <si>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</si>
  <si>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</si>
  <si>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</si>
  <si>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</si>
  <si>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</si>
  <si>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</si>
  <si>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</si>
  <si>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</si>
  <si>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</si>
  <si>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</si>
  <si>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</si>
  <si>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</si>
  <si>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</si>
  <si>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</si>
  <si>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</si>
  <si>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</si>
  <si>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</si>
  <si>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</si>
  <si>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</si>
  <si>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</si>
  <si>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</si>
  <si>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</si>
  <si>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</si>
  <si>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</si>
  <si>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</si>
  <si>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</si>
  <si>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</si>
  <si>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</si>
  <si>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</si>
  <si>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</si>
  <si>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</si>
  <si>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</si>
  <si>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</si>
  <si>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</si>
  <si>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</si>
  <si>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</si>
  <si>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</si>
  <si>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</si>
  <si>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</si>
  <si>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</si>
  <si>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</si>
  <si>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</si>
  <si>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</si>
  <si>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</si>
  <si>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</si>
  <si>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</si>
  <si>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</si>
  <si>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</si>
  <si>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</si>
  <si>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</si>
  <si>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</si>
  <si>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</si>
  <si>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</si>
  <si>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</si>
  <si>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</si>
  <si>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</si>
  <si>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</si>
  <si>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</si>
  <si>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</si>
  <si>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</si>
  <si>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</si>
  <si>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</si>
  <si>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</si>
  <si>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</si>
  <si>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</si>
  <si>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</si>
  <si>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</si>
  <si>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</si>
  <si>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</si>
  <si>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</si>
  <si>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</si>
  <si>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</si>
  <si>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</si>
  <si>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</si>
  <si>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</si>
  <si>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</si>
  <si>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</si>
  <si>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</si>
  <si>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</si>
  <si>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</si>
  <si>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</si>
  <si>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</si>
  <si>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</si>
  <si>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</si>
  <si>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</si>
  <si>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</si>
  <si>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</si>
  <si>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</si>
  <si>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</si>
  <si>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</si>
  <si>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</si>
  <si>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</si>
  <si>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</si>
  <si>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</si>
  <si>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</si>
  <si>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</si>
  <si>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</si>
  <si>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</si>
  <si>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</si>
  <si>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</si>
  <si>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</si>
  <si>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</si>
  <si>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</si>
  <si>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</si>
  <si>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</si>
  <si>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</si>
  <si>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</si>
  <si>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</si>
  <si>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</si>
  <si>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</si>
  <si>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</si>
  <si>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</si>
  <si>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</si>
  <si>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</si>
  <si>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</si>
  <si>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</si>
  <si>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</si>
  <si>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</si>
  <si>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</si>
  <si>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</si>
  <si>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</si>
  <si>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</si>
  <si>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</si>
  <si>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</si>
  <si>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</si>
  <si>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</si>
  <si>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</si>
  <si>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</si>
  <si>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</si>
  <si>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</si>
  <si>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</si>
  <si>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</si>
  <si>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</si>
  <si>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</si>
  <si>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</si>
  <si>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</si>
  <si>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</si>
  <si>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</si>
  <si>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</si>
  <si>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</si>
  <si>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</si>
  <si>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</si>
  <si>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</si>
  <si>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</si>
  <si>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</si>
  <si>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</si>
  <si>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</si>
  <si>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</si>
  <si>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</si>
  <si>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</si>
  <si>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</si>
  <si>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</si>
  <si>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</si>
  <si>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</si>
  <si>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</si>
  <si>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</si>
  <si>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</si>
  <si>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</si>
  <si>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</si>
  <si>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</si>
  <si>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</si>
  <si>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</si>
  <si>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</si>
  <si>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</si>
  <si>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</si>
  <si>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</si>
  <si>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</si>
  <si>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</si>
  <si>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</si>
  <si>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</si>
  <si>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</si>
  <si>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</si>
  <si>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</si>
  <si>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</si>
  <si>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</si>
  <si>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</si>
  <si>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</si>
  <si>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</si>
  <si>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</si>
  <si>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</si>
  <si>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</si>
  <si>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</si>
  <si>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</si>
  <si>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</si>
  <si>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</si>
  <si>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</si>
  <si>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</si>
  <si>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</si>
  <si>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</si>
  <si>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</si>
  <si>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</si>
  <si>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</si>
  <si>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</si>
  <si>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</si>
  <si>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</si>
  <si>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</si>
  <si>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</si>
  <si>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</si>
  <si>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</si>
  <si>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</si>
  <si>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</si>
  <si>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</si>
  <si>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</si>
  <si>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</si>
  <si>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</si>
  <si>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</si>
  <si>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</si>
  <si>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</si>
  <si>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</si>
  <si>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</si>
  <si>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</si>
  <si>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</si>
  <si>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</si>
  <si>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</si>
  <si>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</si>
  <si>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</si>
  <si>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</si>
  <si>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</si>
  <si>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</si>
  <si>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</si>
  <si>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</si>
  <si>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</si>
  <si>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</si>
  <si>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</si>
  <si>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</si>
  <si>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</si>
  <si>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</si>
  <si>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</si>
  <si>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</si>
  <si>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</si>
  <si>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</si>
  <si>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</si>
  <si>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</si>
  <si>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</si>
  <si>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</si>
  <si>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</si>
  <si>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</si>
  <si>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</si>
  <si>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</si>
  <si>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</si>
  <si>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</si>
  <si>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</si>
  <si>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</si>
  <si>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</si>
  <si>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</si>
  <si>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</si>
  <si>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</si>
  <si>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</si>
  <si>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</si>
  <si>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</si>
  <si>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</si>
  <si>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</si>
  <si>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</si>
  <si>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</si>
  <si>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</si>
  <si>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</si>
  <si>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</si>
  <si>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</si>
  <si>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</si>
  <si>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</si>
  <si>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</si>
  <si>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</si>
  <si>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</si>
  <si>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</si>
  <si>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</si>
  <si>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</si>
  <si>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</si>
  <si>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</si>
  <si>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</si>
  <si>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</si>
  <si>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</si>
  <si>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</si>
  <si>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</si>
  <si>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</si>
  <si>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</si>
  <si>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</si>
  <si>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</si>
  <si>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</si>
  <si>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</si>
  <si>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</si>
  <si>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</si>
  <si>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</si>
  <si>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</si>
  <si>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</si>
  <si>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</si>
  <si>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</si>
  <si>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</si>
  <si>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</si>
  <si>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</si>
  <si>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</si>
  <si>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</si>
  <si>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</si>
  <si>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</si>
  <si>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</si>
  <si>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</si>
  <si>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</si>
  <si>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</si>
  <si>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</si>
  <si>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</si>
  <si>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</si>
  <si>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</si>
  <si>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</si>
  <si>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</si>
  <si>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</si>
  <si>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</si>
  <si>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</si>
  <si>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</si>
  <si>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</si>
  <si>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</si>
  <si>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</si>
  <si>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</si>
  <si>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</si>
  <si>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</si>
  <si>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</si>
  <si>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</si>
  <si>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</si>
  <si>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</si>
  <si>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</si>
  <si>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</si>
  <si>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</si>
  <si>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</si>
  <si>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</si>
  <si>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</si>
  <si>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</si>
  <si>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</si>
  <si>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</si>
  <si>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</si>
  <si>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</si>
  <si>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</si>
  <si>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</si>
  <si>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</si>
  <si>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</si>
  <si>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</si>
  <si>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</si>
  <si>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</si>
  <si>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</si>
  <si>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</si>
  <si>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</si>
  <si>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</si>
  <si>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</si>
  <si>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</si>
  <si>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</si>
  <si>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</si>
  <si>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</si>
  <si>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</si>
  <si>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</si>
  <si>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</si>
  <si>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</si>
  <si>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</si>
  <si>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</si>
  <si>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</si>
  <si>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</si>
  <si>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</si>
  <si>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</si>
  <si>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</si>
  <si>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</si>
  <si>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</si>
  <si>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</si>
  <si>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</si>
  <si>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</si>
  <si>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</si>
  <si>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</si>
  <si>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</si>
  <si>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</si>
  <si>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</si>
  <si>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</si>
  <si>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</si>
  <si>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</si>
  <si>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</si>
  <si>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</si>
  <si>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</si>
  <si>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</si>
  <si>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</si>
  <si>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</si>
  <si>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</si>
  <si>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</si>
  <si>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</si>
  <si>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</si>
  <si>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</si>
  <si>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</si>
  <si>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</si>
  <si>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</si>
  <si>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</si>
  <si>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</si>
  <si>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</si>
  <si>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</si>
  <si>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</si>
  <si>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</si>
  <si>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</si>
  <si>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</si>
  <si>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</si>
  <si>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</si>
  <si>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</si>
  <si>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</si>
  <si>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</si>
  <si>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</si>
  <si>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</si>
  <si>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</si>
  <si>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</si>
  <si>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</si>
  <si>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</si>
  <si>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</si>
  <si>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</si>
  <si>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</si>
  <si>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</si>
  <si>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</si>
  <si>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</si>
  <si>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</si>
  <si>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</si>
  <si>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</si>
  <si>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</si>
  <si>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</si>
  <si>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</si>
  <si>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</si>
  <si>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</si>
  <si>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</si>
  <si>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</si>
  <si>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</si>
  <si>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</si>
  <si>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</si>
  <si>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</si>
  <si>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</si>
  <si>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</si>
  <si>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</si>
  <si>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</si>
  <si>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</si>
  <si>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</si>
  <si>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</si>
  <si>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</si>
  <si>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</si>
  <si>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</si>
  <si>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</si>
  <si>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</si>
  <si>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</si>
  <si>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</si>
  <si>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</si>
  <si>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</si>
  <si>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</si>
  <si>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</si>
  <si>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</si>
  <si>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</si>
  <si>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</si>
  <si>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</si>
  <si>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</si>
  <si>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</si>
  <si>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</si>
  <si>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</si>
  <si>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</si>
  <si>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</si>
  <si>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</si>
  <si>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</si>
  <si>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</si>
  <si>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</si>
  <si>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</si>
  <si>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</si>
  <si>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</si>
  <si>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</si>
  <si>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</si>
  <si>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</si>
  <si>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</si>
  <si>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</si>
  <si>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</si>
  <si>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</si>
  <si>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</si>
  <si>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</si>
  <si>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</si>
  <si>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</si>
  <si>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</si>
  <si>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</si>
  <si>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</si>
  <si>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</si>
  <si>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</si>
  <si>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</si>
  <si>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</si>
  <si>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</si>
  <si>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</si>
  <si>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</si>
  <si>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</si>
  <si>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</si>
  <si>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</si>
  <si>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</si>
  <si>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</si>
  <si>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</si>
  <si>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</si>
  <si>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</si>
  <si>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</si>
  <si>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</si>
  <si>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</si>
  <si>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</si>
  <si>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</si>
  <si>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</si>
  <si>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</si>
  <si>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</si>
  <si>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</si>
  <si>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</si>
  <si>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</si>
  <si>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</si>
  <si>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</si>
  <si>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</si>
  <si>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</si>
  <si>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</si>
  <si>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</si>
  <si>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</si>
  <si>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</si>
  <si>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</si>
  <si>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</si>
  <si>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</si>
  <si>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</si>
  <si>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</si>
  <si>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</si>
  <si>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</si>
  <si>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</si>
  <si>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</si>
  <si>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</si>
  <si>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</si>
  <si>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</si>
  <si>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</si>
  <si>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</si>
  <si>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</si>
  <si>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</si>
  <si>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</si>
  <si>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</si>
  <si>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</si>
  <si>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</si>
  <si>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</si>
  <si>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</si>
  <si>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</si>
  <si>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</si>
  <si>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</si>
  <si>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</si>
  <si>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</si>
  <si>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</si>
  <si>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</si>
  <si>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</si>
  <si>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</si>
  <si>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</si>
  <si>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</si>
  <si>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</si>
  <si>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</si>
  <si>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</si>
  <si>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</si>
  <si>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</si>
  <si>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</si>
  <si>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</si>
  <si>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</si>
  <si>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</si>
  <si>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</si>
  <si>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</si>
  <si>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</si>
  <si>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</si>
  <si>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</si>
  <si>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</si>
  <si>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</si>
  <si>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</si>
  <si>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</si>
  <si>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</si>
  <si>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</si>
  <si>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</si>
  <si>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</si>
  <si>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</si>
  <si>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</si>
  <si>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</si>
  <si>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</si>
  <si>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</si>
  <si>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</si>
  <si>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</si>
  <si>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</si>
  <si>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</si>
  <si>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</si>
  <si>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</si>
  <si>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</si>
  <si>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</si>
  <si>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</si>
  <si>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</si>
  <si>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</si>
  <si>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</si>
  <si>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</si>
  <si>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</si>
  <si>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</si>
  <si>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</si>
  <si>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</si>
  <si>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</si>
  <si>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</si>
  <si>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</si>
  <si>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</si>
  <si>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</si>
  <si>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</si>
  <si>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</si>
  <si>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</si>
  <si>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</si>
  <si>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</si>
  <si>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</si>
  <si>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</si>
  <si>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</si>
  <si>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</si>
  <si>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</si>
  <si>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</si>
  <si>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</si>
  <si>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</si>
  <si>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</si>
  <si>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</si>
  <si>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</si>
  <si>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</si>
  <si>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</si>
  <si>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</si>
  <si>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</si>
  <si>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</si>
  <si>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</si>
  <si>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</si>
  <si>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</si>
  <si>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</si>
  <si>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</si>
  <si>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</si>
  <si>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</si>
  <si>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</si>
  <si>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</si>
  <si>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</si>
  <si>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</si>
  <si>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</si>
  <si>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</si>
  <si>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</si>
  <si>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</si>
  <si>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</si>
  <si>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</si>
  <si>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</si>
  <si>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</si>
  <si>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</si>
  <si>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</si>
  <si>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</si>
  <si>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</si>
  <si>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</si>
  <si>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</si>
  <si>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</si>
  <si>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</si>
  <si>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</si>
  <si>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</si>
  <si>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</si>
  <si>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</si>
  <si>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</si>
  <si>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</si>
  <si>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</si>
  <si>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</si>
  <si>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</si>
  <si>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</si>
  <si>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</si>
  <si>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</si>
  <si>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</si>
  <si>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</si>
  <si>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</si>
  <si>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</si>
  <si>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</si>
  <si>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</si>
  <si>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</si>
  <si>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</si>
  <si>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</si>
  <si>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</si>
  <si>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</si>
  <si>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</si>
  <si>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</si>
  <si>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</si>
  <si>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</si>
  <si>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</si>
  <si>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</si>
  <si>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</si>
  <si>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</si>
  <si>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</si>
  <si>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</si>
  <si>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</si>
  <si>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</si>
  <si>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</si>
  <si>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</si>
  <si>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</si>
  <si>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</si>
  <si>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</si>
  <si>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</si>
  <si>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</si>
  <si>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</si>
  <si>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</si>
  <si>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</si>
  <si>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</si>
  <si>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</si>
  <si>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</si>
  <si>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</si>
  <si>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</si>
  <si>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</si>
  <si>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</si>
  <si>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</si>
  <si>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</si>
  <si>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</si>
  <si>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</si>
  <si>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</si>
  <si>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</si>
  <si>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</si>
  <si>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</si>
  <si>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</si>
  <si>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</si>
  <si>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</si>
  <si>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</si>
  <si>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</si>
  <si>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</si>
  <si>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</si>
  <si>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</si>
  <si>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</si>
  <si>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</si>
  <si>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</si>
  <si>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</si>
  <si>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</si>
  <si>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</si>
  <si>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</si>
  <si>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</si>
  <si>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</si>
  <si>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</si>
  <si>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</si>
  <si>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</si>
  <si>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</si>
  <si>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</si>
  <si>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</si>
  <si>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</si>
  <si>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</si>
  <si>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</si>
  <si>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</si>
  <si>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</si>
  <si>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</si>
  <si>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</si>
  <si>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</si>
  <si>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</si>
  <si>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</si>
  <si>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</si>
  <si>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</si>
  <si>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</si>
  <si>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</si>
  <si>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</si>
  <si>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</si>
  <si>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</si>
  <si>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</si>
  <si>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</si>
  <si>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</si>
  <si>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</si>
  <si>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</si>
  <si>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</si>
  <si>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</si>
  <si>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</si>
  <si>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</si>
  <si>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</si>
  <si>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</si>
  <si>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</si>
  <si>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</si>
  <si>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</si>
  <si>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</si>
  <si>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</si>
  <si>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</si>
  <si>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</si>
  <si>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</si>
  <si>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</si>
  <si>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</si>
  <si>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</si>
  <si>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</si>
  <si>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</si>
  <si>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</si>
  <si>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</si>
  <si>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</si>
  <si>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</si>
  <si>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</si>
  <si>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</si>
  <si>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</si>
  <si>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</si>
  <si>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</si>
  <si>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</si>
  <si>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</si>
  <si>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</si>
  <si>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</si>
  <si>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</si>
  <si>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</si>
  <si>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</si>
  <si>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</si>
  <si>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</si>
  <si>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</si>
  <si>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</si>
  <si>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</si>
  <si>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</si>
  <si>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</si>
  <si>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</si>
  <si>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</si>
  <si>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</si>
  <si>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</si>
  <si>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</si>
  <si>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</si>
  <si>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</si>
  <si>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</si>
  <si>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</si>
  <si>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</si>
  <si>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</si>
  <si>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</si>
  <si>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</si>
  <si>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</si>
  <si>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</si>
  <si>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</si>
  <si>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</si>
  <si>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</si>
  <si>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</si>
  <si>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</si>
  <si>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</si>
  <si>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</si>
  <si>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</si>
  <si>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</si>
  <si>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</si>
  <si>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</si>
  <si>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</si>
  <si>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</si>
  <si>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</si>
  <si>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</si>
  <si>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</si>
  <si>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</si>
  <si>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</si>
  <si>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</si>
  <si>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</si>
  <si>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</si>
  <si>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</si>
  <si>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</si>
  <si>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</si>
  <si>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</si>
  <si>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</si>
  <si>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</si>
  <si>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</si>
  <si>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</si>
  <si>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</si>
  <si>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</si>
  <si>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</si>
  <si>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</si>
  <si>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</si>
  <si>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</si>
  <si>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</si>
  <si>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</si>
  <si>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</si>
  <si>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</si>
  <si>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</si>
  <si>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</si>
  <si>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</si>
  <si>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</si>
  <si>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</si>
  <si>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</si>
  <si>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</si>
  <si>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</si>
  <si>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</si>
  <si>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</si>
  <si>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</si>
  <si>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</si>
  <si>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</si>
  <si>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</si>
  <si>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</si>
  <si>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</si>
  <si>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</si>
  <si>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</si>
  <si>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</si>
  <si>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</si>
  <si>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</si>
  <si>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</si>
  <si>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</si>
  <si>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</si>
  <si>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</si>
  <si>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</si>
  <si>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</si>
  <si>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</si>
  <si>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</si>
  <si>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</si>
  <si>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</si>
  <si>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</si>
  <si>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</si>
  <si>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</si>
  <si>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</si>
  <si>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</si>
  <si>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</si>
  <si>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</si>
  <si>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</si>
  <si>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</si>
  <si>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</si>
  <si>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</si>
  <si>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</si>
  <si>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</si>
  <si>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</si>
  <si>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</si>
  <si>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</si>
  <si>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</si>
  <si>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</si>
  <si>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</si>
  <si>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</si>
  <si>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</si>
  <si>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</si>
  <si>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</si>
  <si>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</si>
  <si>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</si>
  <si>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</si>
  <si>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</si>
  <si>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</si>
  <si>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</si>
  <si>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</si>
  <si>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</si>
  <si>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</si>
  <si>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</si>
  <si>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</si>
  <si>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</si>
  <si>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</si>
  <si>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</si>
  <si>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</si>
  <si>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</si>
  <si>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</si>
  <si>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</si>
  <si>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</si>
  <si>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</si>
  <si>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</si>
  <si>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</si>
  <si>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</si>
  <si>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</si>
  <si>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</si>
  <si>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</si>
  <si>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</si>
  <si>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</si>
  <si>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</si>
  <si>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</si>
  <si>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</si>
  <si>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</si>
  <si>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</si>
  <si>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</si>
  <si>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</si>
  <si>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</si>
  <si>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</si>
  <si>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</si>
  <si>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</si>
  <si>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</si>
  <si>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</si>
  <si>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</si>
  <si>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</si>
  <si>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</si>
  <si>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</si>
  <si>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</si>
  <si>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</si>
  <si>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</si>
  <si>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</si>
  <si>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</si>
  <si>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</si>
  <si>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</si>
  <si>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</si>
  <si>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</si>
  <si>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</si>
  <si>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</si>
  <si>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</si>
  <si>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</si>
  <si>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</si>
  <si>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</si>
  <si>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</si>
  <si>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</si>
  <si>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</si>
  <si>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</si>
  <si>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</si>
  <si>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</si>
  <si>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</si>
  <si>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</si>
  <si>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</si>
  <si>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</si>
  <si>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</si>
  <si>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</si>
  <si>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</si>
  <si>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</si>
  <si>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</si>
  <si>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</si>
  <si>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</si>
  <si>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</si>
  <si>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</si>
  <si>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</si>
  <si>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</si>
  <si>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</si>
  <si>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</si>
  <si>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</si>
  <si>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</si>
  <si>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</si>
  <si>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</si>
  <si>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</si>
  <si>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</si>
  <si>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</si>
  <si>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</si>
  <si>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</si>
  <si>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</si>
  <si>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</si>
  <si>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</si>
  <si>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</si>
  <si>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</si>
  <si>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</si>
  <si>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</si>
  <si>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</si>
  <si>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</si>
  <si>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</si>
  <si>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</si>
  <si>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</si>
  <si>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</si>
  <si>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</si>
  <si>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</si>
  <si>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</si>
  <si>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</si>
  <si>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</si>
  <si>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</si>
  <si>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</si>
  <si>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</si>
  <si>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</si>
  <si>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</si>
  <si>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</si>
  <si>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</si>
  <si>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</si>
  <si>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</si>
  <si>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</si>
  <si>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</si>
  <si>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</si>
  <si>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</si>
  <si>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</si>
  <si>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</si>
  <si>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</si>
  <si>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</si>
  <si>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</si>
  <si>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</si>
  <si>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</si>
  <si>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</si>
  <si>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</si>
  <si>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</si>
  <si>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</si>
  <si>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</si>
  <si>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</si>
  <si>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</si>
  <si>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</si>
  <si>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</si>
  <si>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</si>
  <si>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</si>
  <si>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</si>
  <si>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</si>
  <si>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</si>
  <si>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</si>
  <si>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</si>
  <si>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</si>
  <si>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</si>
  <si>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</si>
  <si>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</si>
  <si>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</si>
  <si>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</si>
  <si>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</si>
  <si>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</si>
  <si>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</si>
  <si>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</si>
  <si>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</si>
  <si>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</si>
  <si>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</si>
  <si>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</si>
  <si>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</si>
  <si>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</si>
  <si>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</si>
  <si>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</si>
  <si>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</si>
  <si>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</si>
  <si>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</si>
  <si>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</si>
  <si>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</si>
  <si>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</si>
  <si>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</si>
  <si>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</si>
  <si>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</si>
  <si>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</si>
  <si>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</si>
  <si>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</si>
  <si>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</si>
  <si>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</si>
  <si>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</si>
  <si>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</si>
  <si>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</si>
  <si>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</si>
  <si>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</si>
  <si>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</si>
  <si>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</si>
  <si>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</si>
  <si>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</si>
  <si>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</si>
  <si>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</si>
  <si>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</si>
  <si>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</si>
  <si>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</si>
  <si>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</si>
  <si>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</si>
  <si>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</si>
  <si>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</si>
  <si>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</si>
  <si>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</si>
  <si>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</si>
  <si>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</si>
  <si>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</si>
  <si>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</si>
  <si>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</si>
  <si>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</si>
  <si>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</si>
  <si>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</si>
  <si>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</si>
  <si>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</si>
  <si>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</si>
  <si>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</si>
  <si>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</si>
  <si>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</si>
  <si>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</si>
  <si>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</si>
  <si>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</si>
  <si>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</si>
  <si>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</si>
  <si>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</si>
  <si>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</si>
  <si>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</si>
  <si>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</si>
  <si>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</si>
  <si>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</si>
  <si>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</si>
  <si>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</si>
  <si>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</si>
  <si>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</si>
  <si>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</si>
  <si>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</si>
  <si>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</si>
  <si>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</si>
  <si>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</si>
  <si>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</si>
  <si>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</si>
  <si>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</si>
  <si>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</si>
  <si>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</si>
  <si>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</si>
  <si>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</si>
  <si>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</si>
  <si>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</si>
  <si>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</si>
  <si>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</si>
  <si>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</si>
  <si>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</si>
  <si>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</si>
  <si>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</si>
  <si>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</si>
  <si>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</si>
  <si>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</si>
  <si>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</si>
  <si>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</si>
  <si>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</si>
  <si>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</si>
  <si>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</si>
  <si>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</si>
  <si>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</si>
  <si>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</si>
  <si>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</si>
  <si>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</si>
  <si>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</si>
  <si>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</si>
  <si>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</si>
  <si>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</si>
  <si>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</si>
  <si>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</si>
  <si>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</si>
  <si>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</si>
  <si>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</si>
  <si>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</si>
  <si>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</si>
  <si>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</si>
  <si>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</si>
  <si>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</si>
  <si>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</si>
  <si>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</si>
  <si>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</si>
  <si>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</si>
  <si>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</si>
  <si>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</si>
  <si>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</si>
  <si>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</si>
  <si>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</si>
  <si>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</si>
  <si>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</si>
  <si>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</si>
  <si>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</si>
  <si>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</si>
  <si>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</si>
  <si>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</si>
  <si>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</si>
  <si>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</si>
  <si>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</si>
  <si>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</si>
  <si>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</si>
  <si>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</si>
  <si>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</si>
  <si>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</si>
  <si>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</si>
  <si>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</si>
  <si>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</si>
  <si>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</si>
  <si>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</si>
  <si>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</si>
  <si>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</si>
  <si>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</si>
  <si>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</si>
  <si>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</si>
  <si>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</si>
  <si>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</si>
  <si>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</si>
  <si>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</si>
  <si>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</si>
  <si>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</si>
  <si>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</si>
  <si>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</si>
  <si>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</si>
  <si>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</si>
  <si>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</si>
  <si>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</si>
  <si>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</si>
  <si>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</si>
  <si>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</si>
  <si>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</si>
  <si>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</si>
  <si>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</si>
  <si>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</si>
  <si>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</si>
  <si>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</si>
  <si>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</si>
  <si>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</si>
  <si>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</si>
  <si>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</si>
  <si>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</si>
  <si>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</si>
  <si>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</si>
  <si>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</si>
  <si>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</si>
  <si>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</si>
  <si>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</si>
  <si>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</si>
  <si>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</si>
  <si>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</si>
  <si>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</si>
  <si>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</si>
  <si>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</si>
  <si>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</si>
  <si>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</si>
  <si>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</si>
  <si>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</si>
  <si>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</si>
  <si>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</si>
  <si>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</si>
  <si>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</si>
  <si>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</si>
  <si>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</si>
  <si>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</si>
  <si>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</si>
  <si>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</si>
  <si>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</si>
  <si>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</si>
  <si>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</si>
  <si>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</si>
  <si>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</si>
  <si>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</si>
  <si>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</si>
  <si>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</si>
  <si>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</si>
  <si>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</si>
  <si>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</si>
  <si>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</si>
  <si>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</si>
  <si>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</si>
  <si>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</si>
  <si>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</si>
  <si>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</si>
  <si>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</si>
  <si>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</si>
  <si>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</si>
  <si>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</si>
  <si>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</si>
  <si>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</si>
  <si>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</si>
  <si>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</si>
  <si>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</si>
  <si>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</si>
  <si>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</si>
  <si>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</si>
  <si>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</si>
  <si>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</si>
  <si>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</si>
  <si>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</si>
  <si>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</si>
  <si>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</si>
  <si>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</si>
  <si>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</si>
  <si>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</si>
  <si>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</si>
  <si>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</si>
  <si>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</si>
  <si>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</si>
  <si>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</si>
  <si>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</si>
  <si>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</si>
  <si>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</si>
  <si>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</si>
  <si>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</si>
  <si>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</si>
  <si>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</si>
  <si>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</si>
  <si>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</si>
  <si>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</si>
  <si>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</si>
  <si>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</si>
  <si>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</si>
  <si>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</si>
  <si>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</si>
  <si>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</si>
  <si>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</si>
  <si>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</si>
  <si>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</si>
  <si>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</si>
  <si>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</si>
  <si>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</si>
  <si>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</si>
  <si>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</si>
  <si>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</si>
  <si>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</si>
  <si>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</si>
  <si>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</si>
  <si>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</si>
  <si>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</si>
  <si>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</si>
  <si>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</si>
  <si>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</si>
  <si>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</si>
  <si>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</si>
  <si>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</si>
  <si>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</si>
  <si>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</si>
  <si>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</si>
  <si>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</si>
  <si>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</si>
  <si>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</si>
  <si>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</si>
  <si>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</si>
  <si>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</si>
  <si>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</si>
  <si>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</si>
  <si>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</si>
  <si>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</si>
  <si>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</si>
  <si>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</si>
  <si>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</si>
  <si>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</si>
  <si>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</si>
  <si>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</si>
  <si>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</si>
  <si>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</si>
  <si>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</si>
  <si>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</si>
  <si>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</si>
  <si>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</si>
  <si>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</si>
  <si>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</si>
  <si>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</si>
  <si>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</si>
  <si>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</si>
  <si>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</si>
  <si>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</si>
  <si>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</si>
  <si>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</si>
  <si>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</si>
  <si>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</si>
  <si>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</si>
  <si>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</si>
  <si>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</si>
  <si>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</si>
  <si>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</si>
  <si>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</si>
  <si>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</si>
  <si>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</si>
  <si>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</si>
  <si>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</si>
  <si>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</si>
  <si>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</si>
  <si>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</si>
  <si>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</si>
  <si>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</si>
  <si>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</si>
  <si>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</si>
  <si>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</si>
  <si>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</si>
  <si>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</si>
  <si>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</si>
  <si>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</si>
  <si>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</si>
  <si>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</si>
  <si>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</si>
  <si>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</si>
  <si>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</si>
  <si>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</si>
  <si>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</si>
  <si>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</si>
  <si>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</si>
  <si>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</si>
  <si>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</si>
  <si>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</si>
  <si>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</si>
  <si>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</si>
  <si>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</si>
  <si>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</si>
  <si>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</si>
  <si>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</si>
  <si>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</si>
  <si>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</si>
  <si>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</si>
  <si>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</si>
  <si>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</si>
  <si>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</si>
  <si>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</si>
  <si>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</si>
  <si>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</si>
  <si>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</si>
  <si>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</si>
  <si>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</si>
  <si>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</si>
  <si>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</si>
  <si>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</si>
  <si>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</si>
  <si>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</si>
  <si>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</si>
  <si>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</si>
  <si>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</si>
  <si>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</si>
  <si>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</si>
  <si>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</si>
  <si>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</si>
  <si>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</si>
  <si>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</si>
  <si>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</si>
  <si>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</si>
  <si>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</si>
  <si>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</si>
  <si>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</si>
  <si>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</si>
  <si>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</si>
  <si>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</si>
  <si>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</si>
  <si>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</si>
  <si>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</si>
  <si>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</si>
  <si>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</si>
  <si>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</si>
  <si>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</si>
  <si>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</si>
  <si>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</si>
  <si>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</si>
  <si>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</si>
  <si>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</si>
  <si>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</si>
  <si>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</si>
  <si>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</si>
  <si>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</si>
  <si>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</si>
  <si>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</si>
  <si>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</si>
  <si>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</si>
  <si>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</si>
  <si>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</si>
  <si>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</si>
  <si>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</si>
  <si>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</si>
  <si>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</si>
  <si>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</si>
  <si>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</si>
  <si>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</si>
  <si>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</si>
  <si>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</si>
  <si>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</si>
  <si>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</si>
  <si>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</si>
  <si>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</si>
  <si>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</si>
  <si>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</si>
  <si>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</si>
  <si>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</si>
  <si>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</si>
  <si>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</si>
  <si>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</si>
  <si>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</si>
  <si>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</si>
  <si>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</si>
  <si>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</si>
  <si>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</si>
  <si>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</si>
  <si>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</si>
  <si>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</si>
  <si>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</si>
  <si>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</si>
  <si>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</si>
  <si>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</si>
  <si>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</si>
  <si>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</si>
  <si>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</si>
  <si>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</si>
  <si>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</si>
  <si>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</si>
  <si>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</si>
  <si>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</si>
  <si>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</si>
  <si>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</si>
  <si>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</si>
  <si>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</si>
  <si>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</si>
  <si>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</si>
  <si>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</si>
  <si>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</si>
  <si>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</si>
  <si>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</si>
  <si>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</si>
  <si>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</si>
  <si>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</si>
  <si>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</si>
  <si>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</si>
  <si>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</si>
  <si>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</si>
  <si>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</si>
  <si>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</si>
  <si>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</si>
  <si>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</si>
  <si>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</si>
  <si>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</si>
  <si>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</si>
  <si>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</si>
  <si>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</si>
  <si>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</si>
  <si>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</si>
  <si>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</si>
  <si>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</si>
  <si>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</si>
  <si>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</si>
  <si>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</si>
  <si>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</si>
  <si>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</si>
  <si>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</si>
  <si>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</si>
  <si>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</si>
  <si>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</si>
  <si>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</si>
  <si>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</si>
  <si>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</si>
  <si>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</si>
  <si>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</si>
  <si>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</si>
  <si>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</si>
  <si>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</si>
  <si>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</si>
  <si>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</si>
  <si>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</si>
  <si>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</si>
  <si>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</si>
  <si>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</si>
  <si>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</si>
  <si>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</si>
  <si>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</si>
  <si>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</si>
  <si>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</si>
  <si>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</si>
  <si>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</si>
  <si>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</si>
  <si>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</si>
  <si>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</si>
  <si>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</si>
  <si>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</si>
  <si>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</si>
  <si>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</si>
  <si>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</si>
  <si>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</si>
  <si>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</si>
  <si>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</si>
  <si>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</si>
  <si>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</si>
  <si>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</si>
  <si>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</si>
  <si>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</si>
  <si>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</si>
  <si>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</si>
  <si>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</si>
  <si>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</si>
  <si>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</si>
  <si>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</si>
  <si>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</si>
  <si>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</si>
  <si>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</si>
  <si>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</si>
  <si>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</si>
  <si>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</si>
  <si>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</si>
  <si>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</si>
  <si>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</si>
  <si>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</si>
  <si>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</si>
  <si>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</si>
  <si>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</si>
  <si>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</si>
  <si>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</si>
  <si>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</si>
  <si>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</si>
  <si>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</si>
  <si>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</si>
  <si>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</si>
  <si>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</si>
  <si>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</si>
  <si>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</si>
  <si>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</si>
  <si>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</si>
  <si>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</si>
  <si>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</si>
  <si>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</si>
  <si>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</si>
  <si>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</si>
  <si>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</si>
  <si>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</si>
  <si>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</si>
  <si>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</si>
  <si>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</si>
  <si>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</si>
  <si>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</si>
  <si>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</si>
  <si>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</si>
  <si>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</si>
  <si>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</si>
  <si>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</si>
  <si>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</si>
  <si>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</si>
  <si>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</si>
  <si>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</si>
  <si>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</si>
  <si>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</si>
  <si>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</si>
  <si>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</si>
  <si>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</si>
  <si>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</si>
  <si>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</si>
  <si>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</si>
  <si>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</si>
  <si>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</si>
  <si>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</si>
  <si>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</si>
  <si>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</si>
  <si>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</si>
  <si>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</si>
  <si>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</si>
  <si>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</si>
  <si>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</si>
  <si>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</si>
  <si>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</si>
  <si>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</si>
  <si>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</si>
  <si>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</si>
  <si>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</si>
  <si>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</si>
  <si>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</si>
  <si>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</si>
  <si>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</si>
  <si>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</si>
  <si>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</si>
  <si>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</si>
  <si>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</si>
  <si>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</si>
  <si>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</si>
  <si>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</si>
  <si>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</si>
  <si>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</si>
  <si>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</si>
  <si>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</si>
  <si>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</si>
  <si>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</si>
  <si>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</si>
  <si>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</si>
  <si>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</si>
  <si>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</si>
  <si>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</si>
  <si>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</si>
  <si>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</si>
  <si>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</si>
  <si>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</si>
  <si>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</si>
  <si>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</si>
  <si>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</si>
  <si>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</si>
  <si>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</si>
  <si>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</si>
  <si>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</si>
  <si>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</si>
  <si>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</si>
  <si>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</si>
  <si>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</si>
  <si>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</si>
  <si>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</si>
  <si>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</si>
  <si>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</si>
  <si>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</si>
  <si>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</si>
  <si>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</si>
  <si>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</si>
  <si>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</si>
  <si>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</si>
  <si>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</si>
  <si>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</si>
  <si>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</si>
  <si>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</si>
  <si>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</si>
  <si>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</si>
  <si>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</si>
  <si>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</si>
  <si>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</si>
  <si>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</si>
  <si>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</si>
  <si>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</si>
  <si>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</si>
  <si>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</si>
  <si>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</si>
  <si>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</si>
  <si>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</si>
  <si>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</si>
  <si>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</si>
  <si>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</si>
  <si>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</si>
  <si>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</si>
  <si>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</si>
  <si>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</si>
  <si>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</si>
  <si>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</si>
  <si>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</si>
  <si>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</si>
  <si>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</si>
  <si>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</si>
  <si>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</si>
  <si>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</si>
  <si>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</si>
  <si>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</si>
  <si>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</si>
  <si>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</si>
  <si>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</si>
  <si>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</si>
  <si>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</si>
  <si>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</si>
  <si>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</si>
  <si>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</si>
  <si>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</si>
  <si>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</si>
  <si>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</si>
  <si>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</si>
  <si>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</si>
  <si>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</si>
  <si>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</si>
  <si>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</si>
  <si>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</si>
  <si>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</si>
  <si>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</si>
  <si>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</si>
  <si>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</si>
  <si>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</si>
  <si>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</si>
  <si>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</si>
  <si>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</si>
  <si>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</si>
  <si>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</si>
  <si>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</si>
  <si>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</si>
  <si>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</si>
  <si>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</si>
  <si>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</si>
  <si>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</si>
  <si>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</si>
  <si>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</si>
  <si>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</si>
  <si>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</si>
  <si>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</si>
  <si>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</si>
  <si>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</si>
  <si>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</si>
  <si>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</si>
  <si>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</si>
  <si>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</si>
  <si>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</si>
  <si>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</si>
  <si>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</si>
  <si>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</si>
  <si>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</si>
  <si>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</si>
  <si>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</si>
  <si>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</si>
  <si>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</si>
  <si>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</si>
  <si>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</si>
  <si>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</si>
  <si>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</si>
  <si>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</si>
  <si>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</si>
  <si>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</si>
  <si>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</si>
  <si>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</si>
  <si>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</si>
  <si>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</si>
  <si>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</si>
  <si>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</si>
  <si>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</si>
  <si>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</si>
  <si>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</si>
  <si>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</si>
  <si>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</si>
  <si>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</si>
  <si>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</si>
  <si>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</si>
  <si>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</si>
  <si>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</si>
  <si>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</si>
  <si>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</si>
  <si>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</si>
  <si>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</si>
  <si>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</si>
  <si>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</si>
  <si>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</si>
  <si>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</si>
  <si>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</si>
  <si>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</si>
  <si>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</si>
  <si>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</si>
  <si>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</si>
  <si>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</si>
  <si>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</si>
  <si>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</si>
  <si>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</si>
  <si>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</si>
  <si>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</si>
  <si>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</si>
  <si>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</si>
  <si>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</si>
  <si>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</si>
  <si>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</si>
  <si>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</si>
  <si>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</si>
  <si>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</si>
  <si>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</si>
  <si>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</si>
  <si>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</si>
  <si>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</si>
  <si>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</si>
  <si>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</si>
  <si>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</si>
  <si>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</si>
  <si>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</si>
  <si>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</si>
  <si>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</si>
  <si>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</si>
  <si>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</si>
  <si>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</si>
  <si>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</si>
  <si>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</si>
  <si>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</si>
  <si>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</si>
  <si>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</si>
  <si>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</si>
  <si>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</si>
  <si>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</si>
  <si>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</si>
  <si>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</si>
  <si>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</si>
  <si>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</si>
  <si>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</si>
  <si>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</si>
  <si>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</si>
  <si>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</si>
  <si>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</si>
  <si>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</si>
  <si>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</si>
  <si>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</si>
  <si>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</si>
  <si>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</si>
  <si>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</si>
  <si>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</si>
  <si>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</si>
  <si>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</si>
  <si>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</si>
  <si>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</si>
  <si>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</si>
  <si>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</si>
  <si>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</si>
  <si>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</si>
  <si>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</si>
  <si>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</si>
  <si>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</si>
  <si>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</si>
  <si>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</si>
  <si>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</si>
  <si>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</si>
  <si>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</si>
  <si>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</si>
  <si>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</si>
  <si>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</si>
  <si>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</si>
  <si>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</si>
  <si>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</si>
  <si>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</si>
  <si>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</si>
  <si>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</si>
  <si>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</si>
  <si>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</si>
  <si>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</si>
  <si>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</si>
  <si>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</si>
  <si>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</si>
  <si>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</si>
  <si>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</si>
  <si>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</si>
  <si>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</si>
  <si>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</si>
  <si>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</si>
  <si>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</si>
  <si>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</si>
  <si>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</si>
  <si>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</si>
  <si>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</si>
  <si>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</si>
  <si>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</si>
  <si>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</si>
  <si>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</si>
  <si>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</si>
  <si>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</si>
  <si>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</si>
  <si>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</si>
  <si>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</si>
  <si>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</si>
  <si>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</si>
  <si>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</si>
  <si>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</si>
  <si>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</si>
  <si>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</si>
  <si>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</si>
  <si>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</si>
  <si>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</si>
  <si>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</si>
  <si>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</si>
  <si>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</si>
  <si>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</si>
  <si>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</si>
  <si>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</si>
  <si>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</si>
  <si>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</si>
  <si>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</si>
  <si>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</si>
  <si>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</si>
  <si>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</si>
  <si>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</si>
  <si>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</si>
  <si>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</si>
  <si>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</si>
  <si>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</si>
  <si>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</si>
  <si>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</si>
  <si>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</si>
  <si>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</si>
  <si>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</si>
  <si>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</si>
  <si>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</si>
  <si>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</si>
  <si>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</si>
  <si>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</si>
  <si>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</si>
  <si>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</si>
  <si>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</si>
  <si>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</si>
  <si>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</si>
  <si>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</si>
  <si>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</si>
  <si>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</si>
  <si>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</si>
  <si>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</si>
  <si>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</si>
  <si>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</si>
  <si>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</si>
  <si>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</si>
  <si>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</si>
  <si>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</si>
  <si>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</si>
  <si>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</si>
  <si>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</si>
  <si>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</si>
  <si>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</si>
  <si>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</si>
  <si>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</si>
  <si>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</si>
  <si>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</si>
  <si>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</si>
  <si>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</si>
  <si>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</si>
  <si>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</si>
  <si>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</si>
  <si>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</si>
  <si>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</si>
  <si>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</si>
  <si>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</si>
  <si>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</si>
  <si>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</si>
  <si>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</si>
  <si>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</si>
  <si>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</si>
  <si>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</si>
  <si>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</si>
  <si>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</si>
  <si>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</si>
  <si>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</si>
  <si>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</si>
  <si>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</si>
  <si>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</si>
  <si>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</si>
  <si>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</si>
  <si>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</si>
  <si>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</si>
  <si>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</si>
  <si>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</si>
  <si>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</si>
  <si>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</si>
  <si>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</si>
  <si>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</si>
  <si>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</si>
  <si>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</si>
  <si>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</si>
  <si>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</si>
  <si>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</si>
  <si>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</si>
  <si>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</si>
  <si>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</si>
  <si>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</si>
  <si>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</si>
  <si>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</si>
  <si>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</si>
  <si>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</si>
  <si>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</si>
  <si>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</si>
  <si>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</si>
  <si>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</si>
  <si>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</si>
  <si>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</si>
  <si>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</si>
  <si>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</si>
  <si>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</si>
  <si>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</si>
  <si>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</si>
  <si>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</si>
  <si>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</si>
  <si>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</si>
  <si>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</si>
  <si>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</si>
  <si>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</si>
  <si>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</si>
  <si>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</si>
  <si>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</si>
  <si>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</si>
  <si>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</si>
  <si>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</si>
  <si>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</si>
  <si>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</si>
  <si>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</si>
  <si>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</si>
  <si>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</si>
  <si>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</si>
  <si>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</si>
  <si>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</si>
  <si>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</si>
  <si>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</si>
  <si>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</si>
  <si>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</si>
  <si>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</si>
  <si>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</si>
  <si>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</si>
  <si>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</si>
  <si>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</si>
  <si>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</si>
  <si>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</si>
  <si>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</si>
  <si>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</si>
  <si>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</si>
  <si>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</si>
  <si>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</si>
  <si>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</si>
  <si>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</si>
  <si>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</si>
  <si>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</si>
  <si>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</si>
  <si>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</si>
  <si>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</si>
  <si>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</si>
  <si>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</si>
  <si>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</si>
  <si>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</si>
  <si>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</si>
  <si>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</si>
  <si>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</si>
  <si>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</si>
  <si>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</si>
  <si>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</si>
  <si>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</si>
  <si>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</si>
  <si>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</si>
  <si>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</si>
  <si>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</si>
  <si>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</si>
  <si>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</si>
  <si>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</si>
  <si>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</si>
  <si>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</si>
  <si>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</si>
  <si>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</si>
  <si>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</si>
  <si>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</si>
  <si>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</si>
  <si>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</si>
  <si>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</si>
  <si>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</si>
  <si>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</si>
  <si>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</si>
  <si>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</si>
  <si>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</si>
  <si>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</si>
  <si>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</si>
  <si>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</si>
  <si>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</si>
  <si>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</si>
  <si>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</si>
  <si>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</si>
  <si>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</si>
  <si>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</si>
  <si>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</si>
  <si>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</si>
  <si>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</si>
  <si>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</si>
  <si>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</si>
  <si>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</si>
  <si>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</si>
  <si>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</si>
  <si>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</si>
  <si>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</si>
  <si>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</si>
  <si>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</si>
  <si>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</si>
  <si>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</si>
  <si>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</si>
  <si>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</si>
  <si>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</si>
  <si>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</si>
  <si>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</si>
  <si>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</si>
  <si>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</si>
  <si>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</si>
  <si>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</si>
  <si>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</si>
  <si>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</si>
  <si>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</si>
  <si>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</si>
  <si>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</si>
  <si>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</si>
  <si>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</si>
  <si>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</si>
  <si>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</si>
  <si>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</si>
  <si>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</si>
  <si>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</si>
  <si>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</si>
  <si>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</si>
  <si>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</si>
  <si>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</si>
  <si>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</si>
  <si>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</si>
  <si>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</si>
  <si>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</si>
  <si>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</si>
  <si>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</si>
  <si>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</si>
  <si>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</si>
  <si>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</si>
  <si>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</si>
  <si>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</si>
  <si>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</si>
  <si>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</si>
  <si>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</si>
  <si>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</si>
  <si>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</si>
  <si>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</si>
  <si>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</si>
  <si>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</si>
  <si>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</si>
  <si>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</si>
  <si>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</si>
  <si>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</si>
  <si>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</si>
  <si>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</si>
  <si>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</si>
  <si>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</si>
  <si>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</si>
  <si>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</si>
  <si>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</si>
  <si>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</si>
  <si>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</si>
  <si>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</si>
  <si>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</si>
  <si>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</si>
  <si>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</si>
  <si>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</si>
  <si>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</si>
  <si>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</si>
  <si>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</si>
  <si>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</si>
  <si>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</si>
  <si>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</si>
  <si>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</si>
  <si>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</si>
  <si>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</si>
  <si>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</si>
  <si>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</si>
  <si>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</si>
  <si>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</si>
  <si>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</si>
  <si>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</si>
  <si>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</si>
  <si>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</si>
  <si>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</si>
  <si>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</si>
  <si>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</si>
  <si>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</si>
  <si>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</si>
  <si>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</si>
  <si>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</si>
  <si>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</si>
  <si>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</si>
  <si>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</si>
  <si>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</si>
  <si>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</si>
  <si>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</si>
  <si>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</si>
  <si>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</si>
  <si>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</si>
  <si>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</si>
  <si>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</si>
  <si>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</si>
  <si>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</si>
  <si>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</si>
  <si>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</si>
  <si>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</si>
  <si>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</si>
  <si>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</si>
  <si>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</si>
  <si>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</si>
  <si>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</si>
  <si>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</si>
  <si>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</si>
  <si>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</si>
  <si>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</si>
  <si>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</si>
  <si>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</si>
  <si>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</si>
  <si>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</si>
  <si>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</si>
  <si>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</si>
  <si>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</si>
  <si>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</si>
  <si>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</si>
  <si>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</si>
  <si>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</si>
  <si>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</si>
  <si>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</si>
  <si>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</si>
  <si>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</si>
  <si>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</si>
  <si>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</si>
  <si>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</si>
  <si>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</si>
  <si>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</si>
  <si>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</si>
  <si>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</si>
  <si>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</si>
  <si>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</si>
  <si>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</si>
  <si>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</si>
  <si>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</si>
  <si>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</si>
  <si>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</si>
  <si>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</si>
  <si>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</si>
  <si>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</si>
  <si>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</si>
  <si>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</si>
  <si>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</si>
  <si>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</si>
  <si>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</si>
  <si>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</si>
  <si>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</si>
  <si>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</si>
  <si>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</si>
  <si>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</si>
  <si>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</si>
  <si>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</si>
  <si>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</si>
  <si>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</si>
  <si>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</si>
  <si>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</si>
  <si>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</si>
  <si>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</si>
  <si>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</si>
  <si>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</si>
  <si>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</si>
  <si>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</si>
  <si>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</si>
  <si>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</si>
  <si>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</si>
  <si>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</si>
  <si>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</si>
  <si>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</si>
  <si>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</si>
  <si>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</si>
  <si>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</si>
  <si>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</si>
  <si>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</si>
  <si>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</si>
  <si>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</si>
  <si>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</si>
  <si>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</si>
  <si>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</si>
  <si>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</si>
  <si>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</si>
  <si>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</si>
  <si>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</si>
  <si>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</si>
  <si>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</si>
  <si>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</si>
  <si>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</si>
  <si>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</si>
  <si>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</si>
  <si>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</si>
  <si>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</si>
  <si>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</si>
  <si>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</si>
  <si>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</si>
  <si>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</si>
  <si>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</si>
  <si>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</si>
  <si>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</si>
  <si>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</si>
  <si>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</si>
  <si>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</si>
  <si>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</si>
  <si>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</si>
  <si>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</si>
  <si>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</si>
  <si>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</si>
  <si>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</si>
  <si>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</si>
  <si>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</si>
  <si>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</si>
  <si>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</si>
  <si>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</si>
  <si>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</si>
  <si>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</si>
  <si>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</si>
  <si>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</si>
  <si>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</si>
  <si>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</si>
  <si>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</si>
  <si>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</si>
  <si>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</si>
  <si>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</si>
  <si>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</si>
  <si>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</si>
  <si>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</si>
  <si>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</si>
  <si>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</si>
  <si>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</si>
  <si>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</si>
  <si>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</si>
  <si>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</si>
  <si>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</si>
  <si>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</si>
  <si>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</si>
  <si>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</si>
  <si>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</si>
  <si>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</si>
  <si>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</si>
  <si>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</si>
  <si>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</si>
  <si>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</si>
  <si>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</si>
  <si>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</si>
  <si>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</si>
  <si>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</si>
  <si>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</si>
  <si>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</si>
  <si>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</si>
  <si>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</si>
  <si>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</si>
  <si>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</si>
  <si>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</si>
  <si>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</si>
  <si>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</si>
  <si>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</si>
  <si>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</si>
  <si>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</si>
  <si>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</si>
  <si>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</si>
  <si>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</si>
  <si>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</si>
  <si>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</si>
  <si>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</si>
  <si>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</si>
  <si>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</si>
  <si>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</si>
  <si>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</si>
  <si>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</si>
  <si>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</si>
  <si>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</si>
  <si>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</si>
  <si>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</si>
  <si>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</si>
  <si>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</si>
  <si>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</si>
  <si>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</si>
  <si>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</si>
  <si>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</si>
  <si>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</si>
  <si>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</si>
  <si>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</si>
  <si>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</si>
  <si>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</si>
  <si>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</si>
  <si>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</si>
  <si>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</si>
  <si>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</si>
  <si>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</si>
  <si>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</si>
  <si>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</si>
  <si>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</si>
  <si>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</si>
  <si>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</si>
  <si>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</si>
  <si>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</si>
  <si>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</si>
  <si>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</si>
  <si>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</si>
  <si>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</si>
  <si>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</si>
  <si>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</si>
  <si>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</si>
  <si>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</si>
  <si>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</si>
  <si>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</si>
  <si>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</si>
  <si>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</si>
  <si>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</si>
  <si>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</si>
  <si>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</si>
  <si>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</si>
  <si>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</si>
  <si>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</si>
  <si>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</si>
  <si>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</si>
  <si>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</si>
  <si>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</si>
  <si>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</si>
  <si>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</si>
  <si>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</si>
  <si>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</si>
  <si>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</si>
  <si>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</si>
  <si>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</si>
  <si>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</si>
  <si>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</si>
  <si>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</si>
  <si>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</si>
  <si>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</si>
  <si>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</si>
  <si>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</si>
  <si>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</si>
  <si>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</si>
  <si>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</si>
  <si>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</si>
  <si>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</si>
  <si>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</si>
  <si>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</si>
  <si>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</si>
  <si>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</si>
  <si>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</si>
  <si>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</si>
  <si>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</si>
  <si>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</si>
  <si>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</si>
  <si>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</si>
  <si>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</si>
  <si>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</si>
  <si>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</si>
  <si>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</si>
  <si>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</si>
  <si>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</si>
  <si>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</si>
  <si>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</si>
  <si>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</si>
  <si>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</si>
  <si>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</si>
  <si>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</si>
  <si>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</si>
  <si>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</si>
  <si>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</si>
  <si>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</si>
  <si>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</si>
  <si>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</si>
  <si>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</si>
  <si>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</si>
  <si>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</si>
  <si>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</si>
  <si>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</si>
  <si>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</si>
  <si>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</si>
  <si>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</si>
  <si>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</si>
  <si>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</si>
  <si>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</si>
  <si>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</si>
  <si>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</si>
  <si>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</si>
  <si>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</si>
  <si>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</si>
  <si>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</si>
  <si>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</si>
  <si>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</si>
  <si>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</si>
  <si>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</si>
  <si>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</si>
  <si>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</si>
  <si>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</si>
  <si>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</si>
  <si>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</si>
  <si>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</si>
  <si>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</si>
  <si>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</si>
  <si>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</si>
  <si>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</si>
  <si>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</si>
  <si>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</si>
  <si>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</si>
  <si>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</si>
  <si>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</si>
  <si>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</si>
  <si>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</si>
  <si>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</si>
  <si>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</si>
  <si>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</si>
  <si>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</si>
  <si>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</si>
  <si>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</si>
  <si>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</si>
  <si>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</si>
  <si>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</si>
  <si>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</si>
  <si>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</si>
  <si>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</si>
  <si>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</si>
  <si>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</si>
  <si>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</si>
  <si>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</si>
  <si>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</si>
  <si>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</si>
  <si>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</si>
  <si>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</si>
  <si>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</si>
  <si>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</si>
  <si>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</si>
  <si>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</si>
  <si>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</si>
  <si>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</si>
  <si>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</si>
  <si>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</si>
  <si>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</si>
  <si>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</si>
  <si>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</si>
  <si>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</si>
  <si>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</si>
  <si>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</si>
  <si>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</si>
  <si>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</si>
  <si>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</si>
  <si>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</si>
  <si>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</si>
  <si>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</si>
  <si>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</si>
  <si>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</si>
  <si>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</si>
  <si>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</si>
  <si>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</si>
  <si>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</si>
  <si>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</si>
  <si>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</si>
  <si>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</si>
  <si>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</si>
  <si>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</si>
  <si>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</si>
  <si>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</si>
  <si>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</si>
  <si>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</si>
  <si>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</si>
  <si>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</si>
  <si>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</si>
  <si>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</si>
  <si>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</si>
  <si>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</si>
  <si>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</si>
  <si>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</si>
  <si>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</si>
  <si>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</si>
  <si>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</si>
  <si>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</si>
  <si>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</si>
  <si>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</si>
  <si>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</si>
  <si>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</si>
  <si>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</si>
  <si>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</si>
  <si>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</si>
  <si>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</si>
  <si>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</si>
  <si>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</si>
  <si>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</si>
  <si>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</si>
  <si>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</si>
  <si>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</si>
  <si>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</si>
  <si>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</si>
  <si>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</si>
  <si>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</si>
  <si>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</si>
  <si>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</si>
  <si>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</si>
  <si>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</si>
  <si>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</si>
  <si>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</si>
  <si>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</si>
  <si>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</si>
  <si>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</si>
  <si>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</si>
  <si>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</si>
  <si>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</si>
  <si>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</si>
  <si>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</si>
  <si>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</si>
  <si>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</si>
  <si>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</si>
  <si>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</si>
  <si>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</si>
  <si>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</si>
  <si>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</si>
  <si>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</si>
  <si>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</si>
  <si>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</si>
  <si>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</si>
  <si>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</si>
  <si>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</si>
  <si>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</si>
  <si>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</si>
  <si>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</si>
  <si>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</si>
  <si>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</si>
  <si>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</si>
  <si>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</si>
  <si>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</si>
  <si>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</si>
  <si>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</si>
  <si>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</si>
  <si>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</si>
  <si>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</si>
  <si>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</si>
  <si>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</si>
  <si>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</si>
  <si>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</si>
  <si>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</si>
  <si>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</si>
  <si>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</si>
  <si>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</si>
  <si>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</si>
  <si>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</si>
  <si>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</si>
  <si>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</si>
  <si>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</si>
  <si>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</si>
  <si>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</si>
  <si>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</si>
  <si>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</si>
  <si>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</si>
  <si>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</si>
  <si>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</si>
  <si>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</si>
  <si>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</si>
  <si>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</si>
  <si>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</si>
  <si>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</si>
  <si>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</si>
  <si>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</si>
  <si>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</si>
  <si>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</si>
  <si>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</si>
  <si>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</si>
  <si>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</si>
  <si>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</si>
  <si>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</si>
  <si>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</si>
  <si>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</si>
  <si>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</si>
  <si>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</si>
  <si>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</si>
  <si>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</si>
  <si>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</si>
  <si>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</si>
  <si>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</si>
  <si>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</si>
  <si>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</si>
  <si>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</si>
  <si>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</si>
  <si>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</si>
  <si>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</si>
  <si>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</si>
  <si>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</si>
  <si>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</si>
  <si>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</si>
  <si>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</si>
  <si>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</si>
  <si>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</si>
  <si>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</si>
  <si>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</si>
  <si>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</si>
  <si>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</si>
  <si>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</si>
  <si>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</si>
  <si>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</si>
  <si>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</si>
  <si>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</si>
  <si>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</si>
  <si>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</si>
  <si>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</si>
  <si>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</si>
  <si>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</si>
  <si>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</si>
  <si>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</si>
  <si>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</si>
  <si>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</si>
  <si>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</si>
  <si>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</si>
  <si>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</si>
  <si>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</si>
  <si>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</si>
  <si>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</si>
  <si>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</si>
  <si>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</si>
  <si>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</si>
  <si>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</si>
  <si>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</si>
  <si>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</si>
  <si>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</si>
  <si>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</si>
  <si>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</si>
  <si>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</si>
  <si>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</si>
  <si>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</si>
  <si>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</si>
  <si>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</si>
  <si>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</si>
  <si>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</si>
  <si>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</si>
  <si>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</si>
  <si>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</si>
  <si>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</si>
  <si>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</si>
  <si>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</si>
  <si>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</si>
  <si>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</si>
  <si>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</si>
  <si>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</si>
  <si>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</si>
  <si>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</si>
  <si>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</si>
  <si>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</si>
  <si>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</si>
  <si>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</si>
  <si>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</si>
  <si>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</si>
  <si>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</si>
  <si>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</si>
  <si>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</si>
  <si>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</si>
  <si>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</si>
  <si>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</si>
  <si>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</si>
  <si>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</si>
  <si>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</si>
  <si>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</si>
  <si>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</si>
  <si>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</si>
  <si>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</si>
  <si>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</si>
  <si>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</si>
  <si>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</si>
  <si>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</si>
  <si>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</si>
  <si>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</si>
  <si>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</si>
  <si>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</si>
  <si>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</si>
  <si>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</si>
  <si>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</si>
  <si>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</si>
  <si>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</si>
  <si>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</si>
  <si>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</si>
  <si>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</si>
  <si>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</si>
  <si>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</si>
  <si>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</si>
  <si>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</si>
  <si>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</si>
  <si>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</si>
  <si>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</si>
  <si>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</si>
  <si>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</si>
  <si>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</si>
  <si>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</si>
  <si>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</si>
  <si>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</si>
  <si>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</si>
  <si>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</si>
  <si>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</si>
  <si>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</si>
  <si>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</si>
  <si>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</si>
  <si>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</si>
  <si>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</si>
  <si>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</si>
  <si>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</si>
  <si>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</si>
  <si>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</si>
  <si>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</si>
  <si>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</si>
  <si>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</si>
  <si>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</si>
  <si>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</si>
  <si>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</si>
  <si>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</si>
  <si>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</si>
  <si>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</si>
  <si>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</si>
  <si>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</si>
  <si>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</si>
  <si>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</si>
  <si>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</si>
  <si>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</si>
  <si>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</si>
  <si>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</si>
  <si>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</si>
  <si>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</si>
  <si>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</si>
  <si>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</si>
  <si>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</si>
  <si>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</si>
  <si>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</si>
  <si>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</si>
  <si>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</si>
  <si>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</si>
  <si>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</si>
  <si>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</si>
  <si>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</si>
  <si>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</si>
  <si>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</si>
  <si>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</si>
  <si>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</si>
  <si>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</si>
  <si>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</si>
  <si>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</si>
  <si>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</si>
  <si>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</si>
  <si>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</si>
  <si>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</si>
  <si>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</si>
  <si>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</si>
  <si>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</si>
  <si>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</si>
  <si>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</si>
  <si>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</si>
  <si>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</si>
  <si>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</si>
  <si>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</si>
  <si>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</si>
  <si>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</si>
  <si>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</si>
  <si>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</si>
  <si>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</si>
  <si>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</si>
  <si>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</si>
  <si>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</si>
  <si>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</si>
  <si>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</si>
  <si>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</si>
  <si>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</si>
  <si>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</si>
  <si>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</si>
  <si>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</si>
  <si>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</si>
  <si>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</si>
  <si>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</si>
  <si>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</si>
  <si>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</si>
  <si>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</si>
  <si>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</si>
  <si>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</si>
  <si>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</si>
  <si>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</si>
  <si>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</si>
  <si>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</si>
  <si>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</si>
  <si>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</si>
  <si>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</si>
  <si>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</si>
  <si>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</si>
  <si>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</si>
  <si>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</si>
  <si>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</si>
  <si>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</si>
  <si>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</si>
  <si>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</si>
  <si>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</si>
  <si>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</si>
  <si>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</si>
  <si>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</si>
  <si>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</si>
  <si>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</si>
  <si>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</si>
  <si>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</si>
  <si>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</si>
  <si>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</si>
  <si>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</si>
  <si>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</si>
  <si>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</si>
  <si>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</si>
  <si>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</si>
  <si>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</si>
  <si>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</si>
  <si>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</si>
  <si>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</si>
  <si>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</si>
  <si>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</si>
  <si>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</si>
  <si>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</si>
  <si>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</si>
  <si>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</si>
  <si>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</si>
  <si>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</si>
  <si>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</si>
  <si>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</si>
  <si>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</si>
  <si>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</si>
  <si>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</si>
  <si>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</si>
  <si>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</si>
  <si>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</si>
  <si>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</si>
  <si>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</si>
  <si>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</si>
  <si>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</si>
  <si>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</si>
  <si>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</si>
  <si>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</si>
  <si>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</si>
  <si>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</si>
  <si>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</si>
  <si>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</si>
  <si>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</si>
  <si>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</si>
  <si>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</si>
  <si>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</si>
  <si>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</si>
  <si>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</si>
  <si>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</si>
  <si>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</si>
  <si>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</si>
  <si>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国建华</t>
    <phoneticPr fontId="6"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</si>
  <si>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
    </r>
    <phoneticPr fontId="6" type="noConversion"/>
  </si>
  <si>
    <t>地上</t>
  </si>
  <si>
    <t>是</t>
  </si>
  <si>
    <t>成新度</t>
  </si>
  <si>
    <t>收益法 (元)</t>
  </si>
  <si>
    <t>现房</t>
  </si>
  <si>
    <t>办公项目</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</si>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</sst>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3796">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6" fillId="6" borderId="13" xfId="0" applyFont="1" applyFill="1" applyBorder="1" applyAlignment="1" applyProtection="1">
      <alignment vertical="center"/>
    </xf>
    <xf numFmtId="191" fontId="44" fillId="6" borderId="11" xfId="0" applyFont="1" applyFill="1" applyBorder="1" applyAlignment="1" applyProtection="1">
      <alignment vertical="center"/>
    </xf>
    <xf numFmtId="191"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1" fontId="44" fillId="6" borderId="13" xfId="0" applyFont="1" applyFill="1" applyBorder="1" applyAlignment="1" applyProtection="1">
      <alignment vertical="center"/>
    </xf>
    <xf numFmtId="191" fontId="44" fillId="6" borderId="24" xfId="0" applyFont="1" applyFill="1" applyBorder="1" applyAlignment="1" applyProtection="1">
      <alignment vertical="center"/>
    </xf>
    <xf numFmtId="191" fontId="44" fillId="0" borderId="24" xfId="0" applyFont="1" applyFill="1" applyBorder="1" applyAlignment="1" applyProtection="1">
      <alignment vertical="center"/>
      <protection locked="0"/>
    </xf>
    <xf numFmtId="191"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1" fontId="44" fillId="6" borderId="3" xfId="0" applyFont="1" applyFill="1" applyBorder="1" applyProtection="1">
      <alignment vertical="center"/>
    </xf>
    <xf numFmtId="191" fontId="44" fillId="6" borderId="48" xfId="0" applyFont="1" applyFill="1" applyBorder="1" applyProtection="1">
      <alignment vertical="center"/>
    </xf>
    <xf numFmtId="191" fontId="44" fillId="6" borderId="22" xfId="0" applyFont="1" applyFill="1" applyBorder="1" applyProtection="1">
      <alignment vertical="center"/>
    </xf>
    <xf numFmtId="191" fontId="44" fillId="6" borderId="61"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91"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1"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68"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24" xfId="1" applyNumberFormat="1" applyFont="1" applyFill="1" applyBorder="1" applyAlignment="1" applyProtection="1">
      <alignment horizontal="center" vertical="center"/>
      <protection locked="0"/>
    </xf>
    <xf numFmtId="191" fontId="51" fillId="6" borderId="24" xfId="1" applyNumberFormat="1" applyFont="1" applyFill="1" applyBorder="1" applyAlignment="1" applyProtection="1">
      <alignment horizontal="center" vertical="center"/>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9" xfId="0"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53" fillId="0" borderId="1" xfId="0" applyFont="1" applyFill="1" applyBorder="1" applyAlignment="1" applyProtection="1">
      <alignment horizontal="center" vertical="center" wrapText="1"/>
      <protection locked="0"/>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53" fillId="6" borderId="32" xfId="0" applyFont="1" applyFill="1" applyBorder="1" applyAlignment="1" applyProtection="1">
      <alignment horizontal="center" vertical="center" wrapText="1"/>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8" xfId="1" applyNumberFormat="1" applyFont="1" applyFill="1" applyBorder="1" applyAlignment="1" applyProtection="1">
      <alignment horizontal="center" vertical="center"/>
      <protection locked="0"/>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1" fontId="47" fillId="6" borderId="0" xfId="0" applyFont="1" applyFill="1" applyAlignme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Protection="1">
      <alignment vertical="center"/>
    </xf>
    <xf numFmtId="176" fontId="44" fillId="6" borderId="1" xfId="0" applyNumberFormat="1" applyFont="1" applyFill="1" applyBorder="1" applyProtection="1">
      <alignment vertical="center"/>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23" xfId="0" applyFont="1" applyFill="1" applyBorder="1" applyProtection="1">
      <alignment vertical="center"/>
    </xf>
    <xf numFmtId="191"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1" fontId="44" fillId="6" borderId="11" xfId="0" applyFont="1" applyFill="1" applyBorder="1" applyProtection="1">
      <alignment vertical="center"/>
    </xf>
    <xf numFmtId="191" fontId="44" fillId="6" borderId="13" xfId="0" applyFont="1" applyFill="1" applyBorder="1" applyProtection="1">
      <alignment vertical="center"/>
    </xf>
    <xf numFmtId="191" fontId="46" fillId="6" borderId="25" xfId="0" applyFont="1" applyFill="1" applyBorder="1" applyProtection="1">
      <alignment vertical="center"/>
    </xf>
    <xf numFmtId="191" fontId="46" fillId="6" borderId="32" xfId="0" applyFont="1" applyFill="1" applyBorder="1" applyProtection="1">
      <alignment vertical="center"/>
    </xf>
    <xf numFmtId="191" fontId="44" fillId="6" borderId="49" xfId="0" applyFont="1" applyFill="1" applyBorder="1" applyProtection="1">
      <alignment vertical="center"/>
    </xf>
    <xf numFmtId="191" fontId="44" fillId="6" borderId="24" xfId="0" applyFont="1" applyFill="1" applyBorder="1" applyProtection="1">
      <alignment vertical="center"/>
    </xf>
    <xf numFmtId="191"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0" fillId="0" borderId="1" xfId="12" applyFont="1" applyBorder="1" applyAlignment="1" applyProtection="1">
      <alignment horizontal="left" vertical="center" wrapText="1"/>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13" fillId="6" borderId="24" xfId="0" applyFont="1" applyFill="1" applyBorder="1" applyAlignment="1" applyProtection="1">
      <alignment horizontal="left" vertical="center"/>
    </xf>
    <xf numFmtId="191" fontId="169" fillId="6" borderId="32" xfId="0" applyFont="1" applyFill="1" applyBorder="1" applyAlignment="1" applyProtection="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4" fillId="0" borderId="1" xfId="0" applyFont="1" applyBorder="1" applyAlignment="1" applyProtection="1">
      <alignment horizontal="center" vertical="center"/>
      <protection locked="0"/>
    </xf>
    <xf numFmtId="191" fontId="47"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pplyBorder="1" applyAlignment="1" applyProtection="1">
      <alignment vertical="center"/>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103" fillId="6" borderId="0" xfId="0" applyFont="1" applyFill="1" applyProtection="1">
      <alignment vertical="center"/>
    </xf>
    <xf numFmtId="191"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1" fontId="44" fillId="6" borderId="5" xfId="0" applyFont="1" applyFill="1" applyBorder="1" applyProtection="1">
      <alignment vertical="center"/>
    </xf>
    <xf numFmtId="191"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1" fontId="44" fillId="6" borderId="2" xfId="0" applyFont="1" applyFill="1" applyBorder="1" applyProtection="1">
      <alignment vertical="center"/>
    </xf>
    <xf numFmtId="191"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1" fontId="44" fillId="6" borderId="14" xfId="0" applyFont="1" applyFill="1" applyBorder="1" applyAlignment="1" applyProtection="1">
      <alignment vertical="center"/>
    </xf>
    <xf numFmtId="191" fontId="44" fillId="6" borderId="15" xfId="0" applyFont="1" applyFill="1" applyBorder="1" applyAlignment="1" applyProtection="1">
      <alignment vertical="center"/>
    </xf>
    <xf numFmtId="191" fontId="46" fillId="6" borderId="51" xfId="0" applyFont="1" applyFill="1" applyBorder="1" applyProtection="1">
      <alignment vertical="center"/>
    </xf>
    <xf numFmtId="191" fontId="44" fillId="6" borderId="21" xfId="0" applyFont="1" applyFill="1" applyBorder="1" applyProtection="1">
      <alignment vertical="center"/>
    </xf>
    <xf numFmtId="191" fontId="44" fillId="6" borderId="16" xfId="0" applyFont="1" applyFill="1" applyBorder="1" applyAlignment="1" applyProtection="1">
      <alignment vertical="center"/>
    </xf>
    <xf numFmtId="191" fontId="44" fillId="6" borderId="17" xfId="0" applyFont="1" applyFill="1" applyBorder="1" applyProtection="1">
      <alignment vertical="center"/>
    </xf>
    <xf numFmtId="191" fontId="44" fillId="6" borderId="19" xfId="0" applyFont="1" applyFill="1" applyBorder="1" applyAlignment="1" applyProtection="1">
      <alignment vertical="center"/>
    </xf>
    <xf numFmtId="191"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1"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2" xfId="0" applyFont="1" applyFill="1" applyBorder="1" applyAlignment="1" applyProtection="1">
      <alignment vertical="center"/>
    </xf>
    <xf numFmtId="191" fontId="44" fillId="6" borderId="0" xfId="0" applyFont="1" applyFill="1" applyBorder="1" applyAlignment="1" applyProtection="1">
      <alignment vertical="center"/>
    </xf>
    <xf numFmtId="191"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1" fontId="44" fillId="6" borderId="7" xfId="0" applyFont="1" applyFill="1" applyBorder="1" applyAlignment="1" applyProtection="1">
      <alignment horizontal="center" vertical="center"/>
    </xf>
    <xf numFmtId="191"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1" fontId="44" fillId="6" borderId="1" xfId="0" applyFont="1" applyFill="1" applyBorder="1" applyAlignment="1" applyProtection="1">
      <alignment horizontal="left" vertical="center"/>
    </xf>
    <xf numFmtId="191" fontId="44" fillId="6" borderId="18" xfId="0" applyFont="1" applyFill="1" applyBorder="1" applyProtection="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6" borderId="18" xfId="0" applyFont="1" applyFill="1" applyBorder="1" applyAlignment="1" applyProtection="1">
      <alignment vertical="center"/>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6" fillId="6" borderId="22" xfId="0" applyFont="1" applyFill="1" applyBorder="1" applyAlignment="1" applyProtection="1">
      <alignment horizontal="left" vertical="center"/>
    </xf>
    <xf numFmtId="191" fontId="44" fillId="6" borderId="42" xfId="0" applyFont="1" applyFill="1" applyBorder="1" applyAlignment="1" applyProtection="1">
      <alignment vertical="center"/>
    </xf>
    <xf numFmtId="191" fontId="44" fillId="6" borderId="33" xfId="0" applyFont="1" applyFill="1" applyBorder="1" applyProtection="1">
      <alignment vertical="center"/>
    </xf>
    <xf numFmtId="176" fontId="44" fillId="0" borderId="0" xfId="0" applyNumberFormat="1" applyFont="1" applyProtection="1">
      <alignment vertical="center"/>
      <protection locked="0"/>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pplyProtection="1">
      <alignment horizontal="right" vertical="center" shrinkToFit="1"/>
    </xf>
    <xf numFmtId="191" fontId="47" fillId="6" borderId="78" xfId="0" applyNumberFormat="1" applyFont="1" applyFill="1" applyBorder="1" applyAlignment="1" applyProtection="1">
      <alignment horizontal="right" vertical="center" shrinkToFi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pplyProtection="1">
      <alignment horizontal="center" vertical="center" wrapText="1"/>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160" fillId="6" borderId="1" xfId="12" applyFont="1" applyFill="1" applyBorder="1" applyAlignment="1" applyProtection="1">
      <alignment horizontal="left" vertical="center" wrapText="1"/>
    </xf>
    <xf numFmtId="191"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1" fontId="159" fillId="6" borderId="1" xfId="12" applyFill="1" applyBorder="1" applyAlignment="1" applyProtection="1">
      <alignment horizontal="left" vertical="center"/>
    </xf>
    <xf numFmtId="191" fontId="160" fillId="6" borderId="13" xfId="12" applyFont="1" applyFill="1" applyBorder="1" applyAlignment="1" applyProtection="1">
      <alignment horizontal="left" vertical="center" wrapText="1"/>
    </xf>
    <xf numFmtId="191" fontId="95" fillId="0" borderId="1" xfId="12" applyFont="1" applyFill="1" applyBorder="1" applyAlignment="1" applyProtection="1">
      <alignment horizontal="left"/>
      <protection locked="0"/>
    </xf>
    <xf numFmtId="191" fontId="160" fillId="0" borderId="13" xfId="12" applyFont="1" applyFill="1" applyBorder="1" applyAlignment="1" applyProtection="1">
      <alignment horizontal="left" vertical="center" wrapText="1"/>
      <protection locked="0"/>
    </xf>
    <xf numFmtId="191" fontId="159" fillId="0" borderId="1" xfId="12" applyBorder="1" applyAlignment="1" applyProtection="1">
      <alignment horizontal="left"/>
      <protection locked="0"/>
    </xf>
    <xf numFmtId="191" fontId="160" fillId="0" borderId="1" xfId="12" applyFont="1" applyFill="1" applyBorder="1" applyAlignment="1" applyProtection="1">
      <alignment horizontal="left" vertical="center" wrapText="1"/>
      <protection locked="0"/>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0" borderId="0" xfId="0" applyFont="1" applyFill="1" applyProtection="1">
      <alignment vertical="center"/>
      <protection locked="0"/>
    </xf>
    <xf numFmtId="191" fontId="44" fillId="6" borderId="51" xfId="0" applyFont="1" applyFill="1" applyBorder="1" applyProtection="1">
      <alignment vertical="center"/>
    </xf>
    <xf numFmtId="191" fontId="44" fillId="6" borderId="20" xfId="0" applyFont="1" applyFill="1" applyBorder="1" applyProtection="1">
      <alignment vertical="center"/>
    </xf>
    <xf numFmtId="191" fontId="44" fillId="6" borderId="41" xfId="0" applyFont="1" applyFill="1" applyBorder="1" applyProtection="1">
      <alignment vertical="center"/>
    </xf>
    <xf numFmtId="191" fontId="44" fillId="6" borderId="14" xfId="0" applyFont="1" applyFill="1" applyBorder="1" applyProtection="1">
      <alignment vertical="center"/>
    </xf>
    <xf numFmtId="191" fontId="44" fillId="6" borderId="61" xfId="0" applyFont="1" applyFill="1" applyBorder="1" applyAlignment="1" applyProtection="1">
      <alignment horizontal="center" vertical="center"/>
    </xf>
    <xf numFmtId="191" fontId="44" fillId="6" borderId="38" xfId="0" applyFont="1" applyFill="1" applyBorder="1" applyProtection="1">
      <alignment vertical="center"/>
    </xf>
    <xf numFmtId="191" fontId="44" fillId="6" borderId="66" xfId="0" applyFont="1" applyFill="1" applyBorder="1" applyProtection="1">
      <alignment vertical="center"/>
    </xf>
    <xf numFmtId="191" fontId="44" fillId="0" borderId="49" xfId="0" applyFont="1" applyFill="1" applyBorder="1" applyAlignment="1" applyProtection="1">
      <alignment horizontal="center" vertical="center"/>
      <protection locked="0"/>
    </xf>
    <xf numFmtId="191" fontId="47" fillId="6" borderId="82" xfId="0" applyFont="1" applyFill="1" applyBorder="1" applyAlignment="1" applyProtection="1">
      <alignment horizontal="center" vertical="center"/>
    </xf>
    <xf numFmtId="191" fontId="44" fillId="12" borderId="0" xfId="0" applyFont="1" applyFill="1" applyProtection="1">
      <alignment vertical="center"/>
      <protection locked="0"/>
    </xf>
    <xf numFmtId="191" fontId="44" fillId="12" borderId="0" xfId="0" applyFont="1" applyFill="1" applyBorder="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160" fillId="12" borderId="0" xfId="12" applyFont="1" applyFill="1" applyBorder="1" applyAlignment="1" applyProtection="1">
      <alignment horizontal="left" vertical="center" wrapText="1"/>
      <protection locked="0"/>
    </xf>
    <xf numFmtId="191" fontId="159" fillId="12" borderId="0" xfId="12" applyFill="1" applyBorder="1" applyAlignment="1" applyProtection="1">
      <alignment horizontal="left"/>
      <protection locked="0"/>
    </xf>
    <xf numFmtId="191" fontId="159" fillId="12" borderId="0" xfId="12" applyFill="1" applyAlignment="1" applyProtection="1">
      <alignment horizontal="left"/>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7" fillId="0" borderId="3" xfId="0" applyFont="1" applyFill="1" applyBorder="1" applyProtection="1">
      <alignment vertical="center"/>
      <protection locked="0"/>
    </xf>
    <xf numFmtId="191" fontId="47" fillId="0" borderId="24" xfId="0" applyFont="1" applyFill="1" applyBorder="1" applyProtection="1">
      <alignment vertical="center"/>
      <protection locked="0"/>
    </xf>
    <xf numFmtId="191" fontId="44" fillId="0" borderId="22" xfId="0" applyFont="1" applyFill="1" applyBorder="1" applyProtection="1">
      <alignment vertical="center"/>
      <protection locked="0"/>
    </xf>
    <xf numFmtId="191" fontId="44" fillId="0" borderId="61" xfId="0" applyFont="1" applyFill="1" applyBorder="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159" fillId="6" borderId="1" xfId="12" applyFill="1" applyBorder="1" applyAlignment="1" applyProtection="1">
      <alignment horizontal="left"/>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91" fontId="77" fillId="7" borderId="54" xfId="0" applyFont="1" applyFill="1" applyBorder="1" applyAlignment="1" applyProtection="1">
      <alignment vertical="center" wrapText="1"/>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47"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4" fillId="6" borderId="6" xfId="0" applyFont="1" applyFill="1" applyBorder="1" applyAlignment="1" applyProtection="1">
      <alignment horizontal="center" vertical="center"/>
    </xf>
    <xf numFmtId="191" fontId="44" fillId="6" borderId="9" xfId="0" applyFont="1" applyFill="1" applyBorder="1" applyAlignment="1" applyProtection="1">
      <alignment horizontal="center" vertical="center"/>
    </xf>
    <xf numFmtId="191" fontId="44" fillId="6" borderId="10" xfId="0" applyFont="1" applyFill="1" applyBorder="1" applyAlignment="1" applyProtection="1">
      <alignment horizontal="center" vertical="center"/>
    </xf>
    <xf numFmtId="191" fontId="46" fillId="6" borderId="40" xfId="0" applyFont="1" applyFill="1" applyBorder="1" applyAlignment="1" applyProtection="1">
      <alignment horizontal="center" vertical="center"/>
    </xf>
    <xf numFmtId="191" fontId="46" fillId="6" borderId="17" xfId="0" applyFont="1" applyFill="1" applyBorder="1" applyAlignment="1" applyProtection="1">
      <alignment horizontal="center" vertical="center"/>
    </xf>
    <xf numFmtId="191" fontId="46" fillId="6" borderId="62" xfId="0" applyFont="1" applyFill="1" applyBorder="1" applyAlignment="1" applyProtection="1">
      <alignment horizontal="center" vertical="center"/>
    </xf>
    <xf numFmtId="191" fontId="44" fillId="6" borderId="51" xfId="0" applyFont="1" applyFill="1" applyBorder="1" applyAlignment="1" applyProtection="1">
      <alignment horizontal="center" vertical="center"/>
    </xf>
    <xf numFmtId="191" fontId="44" fillId="6" borderId="20" xfId="0" applyFont="1" applyFill="1" applyBorder="1" applyAlignment="1" applyProtection="1">
      <alignment horizontal="center" vertical="center"/>
    </xf>
    <xf numFmtId="191" fontId="44" fillId="6" borderId="30" xfId="0"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13" xfId="0" applyFont="1" applyFill="1" applyBorder="1" applyAlignment="1" applyProtection="1">
      <alignment horizontal="center" vertical="center"/>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30" xfId="0"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1" fontId="46" fillId="6" borderId="21" xfId="0" applyFont="1" applyFill="1" applyBorder="1" applyAlignment="1" applyProtection="1">
      <alignment horizontal="center" vertical="center"/>
    </xf>
    <xf numFmtId="191" fontId="52" fillId="6" borderId="47" xfId="0" applyFont="1" applyFill="1" applyBorder="1" applyAlignment="1" applyProtection="1">
      <alignment horizontal="center" vertical="center"/>
    </xf>
    <xf numFmtId="191" fontId="44"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4" fillId="0" borderId="13"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4" fillId="0" borderId="1" xfId="0" applyFont="1" applyBorder="1" applyAlignment="1" applyProtection="1">
      <alignment horizontal="center" vertical="center"/>
      <protection locked="0"/>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6" fillId="6" borderId="2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6" fillId="6" borderId="1" xfId="0" applyFont="1" applyFill="1" applyBorder="1" applyAlignment="1" applyProtection="1">
      <alignment horizontal="left" vertical="center" wrapText="1"/>
    </xf>
    <xf numFmtId="191" fontId="125" fillId="6" borderId="23" xfId="0" applyFont="1" applyFill="1" applyBorder="1" applyAlignment="1" applyProtection="1">
      <alignment horizontal="left" vertical="center"/>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6" borderId="5"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17" xfId="0"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0" fontId="160" fillId="6" borderId="1" xfId="12" applyNumberFormat="1" applyFont="1" applyFill="1" applyBorder="1" applyAlignment="1" applyProtection="1">
      <alignment horizontal="left" vertical="center" wrapText="1"/>
    </xf>
    <xf numFmtId="0" fontId="160" fillId="0" borderId="1" xfId="12" applyNumberFormat="1"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北京市东城区南竹杆胡同2号房地产抵押价值预评估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受贵公司委托，我公司对北京市东城区南竹杆胡同2号房地产抵押价值进行了预评估。</v>
      </c>
    </row>
    <row r="7" spans="1:2" s="1203" customFormat="1">
      <c r="A7" s="1201" t="s">
        <v>566</v>
      </c>
      <c r="B7" s="1202" t="str">
        <f>'预评函-1'!A7</f>
        <v>估价对象为北京市东城区南竹杆胡同2号房地产，为国建华所有。根据《国有土地使用证》[]，估价对象（分摊）出让国有建设用地使用权面积为0平方米，建筑面积为195.03平方米。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南竹杆胡同2号房地产,属国建华开发建设的办公项目，该项目尚在开发建设中。根据《国有土地使用证》[]，估价对象（分摊）出让国有建设用地使用权面积为0平方米，规划建筑面积为195.03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2024年9月4日</v>
      </c>
    </row>
    <row r="13" spans="1:2" s="1203" customFormat="1">
      <c r="A13" s="1201" t="s">
        <v>529</v>
      </c>
      <c r="B13" s="1202"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北京市东城区南竹杆胡同2号房地产</v>
      </c>
    </row>
    <row r="42" spans="1:2" s="1203" customFormat="1" ht="31.2">
      <c r="A42" s="1201" t="s">
        <v>590</v>
      </c>
      <c r="B42" s="1202" t="str">
        <f>'预评函-3'!B2</f>
        <v>建筑面积</v>
      </c>
    </row>
    <row r="43" spans="1:2" s="1203" customFormat="1">
      <c r="A43" s="1201" t="s">
        <v>591</v>
      </c>
      <c r="B43" s="1202">
        <f>'预评函-3'!B4</f>
        <v>195.03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6" t="s">
        <v>2582</v>
      </c>
      <c r="J2" s="3496"/>
      <c r="K2" s="3496"/>
      <c r="L2" s="3496"/>
      <c r="M2" s="3496"/>
      <c r="N2" s="3496"/>
      <c r="O2" s="3496"/>
      <c r="P2" s="3496"/>
      <c r="Q2" s="3496"/>
      <c r="R2" s="3496"/>
    </row>
    <row r="3" spans="1:18">
      <c r="A3" s="3019" t="s">
        <v>2503</v>
      </c>
      <c r="B3" s="3020">
        <f>项目基本情况!D3</f>
        <v>45539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2.29</v>
      </c>
      <c r="D5" s="3024">
        <f>IF(ISERROR(ROUND(POWER(1+E5,A5-C5)*(POWER(1+E5,C5)-1)/(POWER(1+E5,A5)-1),3)),0,ROUND(POWER(1+E5,A5-C5)*(POWER(1+E5,C5)-1)/(POWER(1+E5,A5)-1),4))</f>
        <v>0.1085</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12.29</v>
      </c>
      <c r="D6" s="3024">
        <f>IF(ISERROR(ROUND(POWER(1+E6,A6-C6)*(POWER(1+E6,C6)-1)/(POWER(1+E6,A6)-1),3)),0,ROUND(POWER(1+E6,A6-C6)*(POWER(1+E6,C6)-1)/(POWER(1+E6,A6)-1),4))</f>
        <v>0.4451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32.31</v>
      </c>
      <c r="D7" s="3024">
        <f>IF(ISERROR(ROUND(POWER(1+E7,A7-C7)*(POWER(1+E7,C7)-1)/(POWER(1+E7,A7)-1),3)),0,ROUND(POWER(1+E7,A7-C7)*(POWER(1+E7,C7)-1)/(POWER(1+E7,A7)-1),4))</f>
        <v>0.76770000000000005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5" t="str">
        <f>IF(B10="北京市","北京市",C10)&amp;F10&amp;IF(结果表!G1="在建","出让国有建设用地使用权及在建建筑物",IF(结果表!G1="土地","出让国有建设用地使用权",))&amp;B9&amp;"预评估"</f>
        <v>北京市东城区南竹杆胡同2号房地产抵押价值预评估</v>
      </c>
      <c r="C1" s="3506"/>
      <c r="D1" s="3506"/>
      <c r="E1" s="3506"/>
      <c r="F1" s="3506"/>
      <c r="G1" s="3506"/>
      <c r="H1" s="3506"/>
      <c r="I1" s="350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北京市东城区南竹杆胡同2号房地产抵押价值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北京市东城区南竹杆胡同2号房地产</v>
      </c>
      <c r="T2" s="1745"/>
      <c r="U2" s="1745"/>
      <c r="V2" s="1745"/>
      <c r="W2" s="1745"/>
      <c r="X2" s="1745"/>
      <c r="Y2" s="1745"/>
      <c r="Z2" s="1745"/>
      <c r="AA2" s="1745"/>
      <c r="AB2" s="1745"/>
    </row>
    <row r="3" spans="1:30">
      <c r="A3" s="302" t="s">
        <v>2170</v>
      </c>
      <c r="B3" s="2373"/>
      <c r="C3" s="2374" t="s">
        <v>2171</v>
      </c>
      <c r="D3" s="2373">
        <v>45539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3385</v>
      </c>
      <c r="C8" s="2390"/>
      <c r="D8" s="3508" t="s">
        <v>2177</v>
      </c>
      <c r="E8" s="2391" t="s">
        <v>3386</v>
      </c>
      <c r="F8" s="2392"/>
      <c r="G8" s="2662"/>
      <c r="H8" s="2662"/>
      <c r="I8" s="2662"/>
      <c r="J8" s="2438"/>
      <c r="K8" s="2613"/>
      <c r="L8" s="2612"/>
      <c r="M8" s="2612"/>
      <c r="N8" s="2438"/>
      <c r="O8" s="2449"/>
      <c r="P8" s="2438"/>
      <c r="Q8" s="2438"/>
      <c r="R8" s="2438"/>
    </row>
    <row r="9" spans="1:30" ht="13.8" thickBot="1">
      <c r="A9" s="2393" t="s">
        <v>2178</v>
      </c>
      <c r="B9" s="2394" t="s">
        <v>3386</v>
      </c>
      <c r="C9" s="2395"/>
      <c r="D9" s="3509"/>
      <c r="E9" s="2394"/>
      <c r="F9" s="2396"/>
      <c r="G9" s="2664"/>
      <c r="H9" s="2664"/>
      <c r="I9" s="2664"/>
      <c r="J9" s="2438"/>
      <c r="K9" s="2615"/>
      <c r="L9" s="2612"/>
      <c r="M9" s="2612"/>
      <c r="N9" s="2438"/>
      <c r="O9" s="2449"/>
      <c r="P9" s="2438"/>
      <c r="Q9" s="2438"/>
      <c r="R9" s="2438"/>
    </row>
    <row r="10" spans="1:30" ht="13.8" thickTop="1">
      <c r="A10" s="2397" t="s">
        <v>2179</v>
      </c>
      <c r="B10" s="2398" t="s">
        <v>3387</v>
      </c>
      <c r="C10" s="2399"/>
      <c r="D10" s="2382"/>
      <c r="E10" s="2400" t="s">
        <v>2180</v>
      </c>
      <c r="F10" s="2665" t="s">
        <v>3390</v>
      </c>
      <c r="G10" s="2666"/>
      <c r="H10" s="2667"/>
      <c r="I10" s="2668"/>
      <c r="J10" s="2438"/>
      <c r="K10" s="2615"/>
      <c r="L10" s="2612"/>
      <c r="M10" s="2612"/>
      <c r="N10" s="2438"/>
      <c r="O10" s="2449"/>
      <c r="P10" s="2438"/>
      <c r="Q10" s="2438"/>
      <c r="R10" s="2438"/>
    </row>
    <row r="11" spans="1:30">
      <c r="A11" s="2401" t="s">
        <v>2181</v>
      </c>
      <c r="B11" s="2402" t="s">
        <v>3388</v>
      </c>
      <c r="C11" s="3448" t="s">
        <v>3389</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c r="D13" s="856"/>
      <c r="E13" s="856"/>
      <c r="F13" s="856"/>
      <c r="G13" s="856"/>
      <c r="H13" s="856"/>
      <c r="I13" s="856"/>
      <c r="J13" s="3061"/>
      <c r="K13" s="2612"/>
      <c r="L13" s="2612"/>
      <c r="M13" s="2438"/>
      <c r="N13" s="2449"/>
      <c r="O13" s="2438"/>
      <c r="P13" s="2438"/>
      <c r="Q13" s="2438"/>
      <c r="AD13" s="1745"/>
    </row>
    <row r="14" spans="1:30">
      <c r="A14" s="1081"/>
      <c r="B14" s="2406" t="s">
        <v>2191</v>
      </c>
      <c r="C14" s="2407"/>
      <c r="D14" s="2407"/>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15"/>
      <c r="C16" s="3516"/>
      <c r="D16" s="3517"/>
      <c r="E16" s="2412" t="s">
        <v>2194</v>
      </c>
      <c r="F16" s="3518"/>
      <c r="G16" s="3519"/>
      <c r="H16" s="3519"/>
      <c r="I16" s="3520"/>
      <c r="J16" s="2438"/>
      <c r="K16" s="2616"/>
      <c r="L16" s="2450"/>
      <c r="M16" s="2450"/>
      <c r="N16" s="2508"/>
      <c r="O16" s="2450"/>
      <c r="P16" s="2508"/>
      <c r="Q16" s="2438"/>
      <c r="R16" s="2438"/>
    </row>
    <row r="17" spans="1:28">
      <c r="A17" s="313" t="s">
        <v>2195</v>
      </c>
      <c r="B17" s="302" t="s">
        <v>2196</v>
      </c>
      <c r="C17" s="8">
        <f>'数据-汇总表'!E3</f>
        <v>195.03</v>
      </c>
      <c r="D17" s="2322"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498" t="s">
        <v>2214</v>
      </c>
      <c r="B27" s="320" t="s">
        <v>2215</v>
      </c>
      <c r="C27" s="2415" t="s">
        <v>3396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8"/>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8"/>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9"/>
      <c r="B30" s="302" t="s">
        <v>2218</v>
      </c>
      <c r="C30" s="3500"/>
      <c r="D30" s="3501"/>
      <c r="E30" s="2663"/>
      <c r="F30" s="2663"/>
      <c r="G30" s="2663"/>
      <c r="H30" s="2663"/>
      <c r="I30" s="2663"/>
      <c r="J30" s="2438"/>
      <c r="K30" s="2615"/>
      <c r="L30" s="2612"/>
      <c r="M30" s="2612"/>
      <c r="N30" s="2438"/>
      <c r="O30" s="2449"/>
      <c r="P30" s="2438"/>
      <c r="Q30" s="2438"/>
      <c r="R30" s="2438"/>
      <c r="S30" s="2438"/>
      <c r="T30" s="2438"/>
      <c r="U30" s="2438"/>
      <c r="V30" s="2438"/>
    </row>
    <row r="31" spans="1:28">
      <c r="A31" s="3502" t="s">
        <v>2219</v>
      </c>
      <c r="B31" s="2421" t="s">
        <v>3395</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3"/>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497" t="s">
        <v>2228</v>
      </c>
      <c r="T34" s="2427" t="str">
        <f>NUMBERSTRING(7-K34,1)&amp;"通"</f>
        <v>七通</v>
      </c>
      <c r="U34" s="2438"/>
      <c r="V34" s="2438"/>
    </row>
    <row r="35" spans="1:30">
      <c r="A35" s="2428"/>
      <c r="B35" s="3504" t="s">
        <v>2229</v>
      </c>
      <c r="C35" s="3504"/>
      <c r="D35" s="3504"/>
      <c r="E35" s="350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t="s">
        <v>137</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4" sqref="F2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786.58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786.58</v>
      </c>
      <c r="H5" s="13">
        <f t="shared" ref="H5:AT5" si="0">SUM(H13:H656)</f>
        <v>786.58</v>
      </c>
      <c r="I5" s="13">
        <f t="shared" si="0"/>
        <v>786.58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195.03</v>
      </c>
      <c r="BA5" s="15">
        <f t="shared" si="1"/>
        <v>195.03</v>
      </c>
      <c r="BB5" s="15">
        <f t="shared" si="1"/>
        <v>195.03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3453">
        <v>51017</v>
      </c>
      <c r="D13" s="1625" t="s">
        <v>3392</v>
      </c>
      <c r="E13" s="13">
        <f>IF($C$3="是",ROUND($A$3*G13/$B$3,2),ROUND($A$3*(G13-AT13)/$B$3,2))</f>
        <v>0</v>
      </c>
      <c r="F13" s="29"/>
      <c r="G13" s="30">
        <f>H13+AC13+AT13</f>
        <v>195.03</v>
      </c>
      <c r="H13" s="17">
        <f>SUMIF(I$12:AB$12,"总值",I13:AB13)</f>
        <v>195.03</v>
      </c>
      <c r="I13" s="1626">
        <v>195.03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51017</v>
      </c>
      <c r="AY13" s="1349">
        <f>ROUND($AY$6*AZ13/$AZ$5,2)</f>
        <v>0</v>
      </c>
      <c r="AZ13" s="13">
        <f>BA13+BL13</f>
        <v>195.03</v>
      </c>
      <c r="BA13" s="13">
        <f>SUM(BB13:BK13)</f>
        <v>195.03</v>
      </c>
      <c r="BB13" s="13">
        <f>IF($D13="是",I13-J13,0)</f>
        <v>195.03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3454">
        <v>51018</v>
      </c>
      <c r="D14" s="1625"/>
      <c r="E14" s="13">
        <f>IF($C$3="是",ROUND($A$3*G14/$B$3,2),ROUND($A$3*(G14-AT14)/$B$3,2))</f>
        <v>0</v>
      </c>
      <c r="F14" s="29"/>
      <c r="G14" s="30">
        <f>H14+AC14+AT14</f>
        <v>197.68</v>
      </c>
      <c r="H14" s="17">
        <f>SUMIF(I$12:AB$12,"总值",I14:AB14)</f>
        <v>197.68</v>
      </c>
      <c r="I14" s="1626">
        <v>197.68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51018</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3454">
        <v>51019</v>
      </c>
      <c r="D15" s="1625"/>
      <c r="E15" s="13">
        <f>IF($C$3="是",ROUND($A$3*G15/$B$3,2),ROUND($A$3*(G15-AT15)/$B$3,2))</f>
        <v>0</v>
      </c>
      <c r="F15" s="29"/>
      <c r="G15" s="30">
        <f>H15+AC15+AT15</f>
        <v>197.38</v>
      </c>
      <c r="H15" s="17">
        <f>SUMIF(I$12:AB$12,"总值",I15:AB15)</f>
        <v>197.38</v>
      </c>
      <c r="I15" s="1626">
        <v>197.38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51019</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3454">
        <v>51020</v>
      </c>
      <c r="D16" s="1625"/>
      <c r="E16" s="13">
        <f>IF($C$3="是",ROUND($A$3*G16/$B$3,2),ROUND($A$3*(G16-AT16)/$B$3,2))</f>
        <v>0</v>
      </c>
      <c r="F16" s="29"/>
      <c r="G16" s="30">
        <f>H16+AC16+AT16</f>
        <v>196.49</v>
      </c>
      <c r="H16" s="17">
        <f>SUMIF(I$12:AB$12,"总值",I16:AB16)</f>
        <v>196.49</v>
      </c>
      <c r="I16" s="1626">
        <v>196.49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51020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70"/>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3" sqref="M4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6" t="s">
        <v>1131</v>
      </c>
      <c r="B2" s="3536"/>
      <c r="C2" s="3536"/>
      <c r="D2" s="796" t="s">
        <v>1107</v>
      </c>
      <c r="E2" s="1639" t="s">
        <v>1108</v>
      </c>
      <c r="F2" s="2658"/>
      <c r="G2" s="2649"/>
      <c r="H2" s="2650"/>
      <c r="I2" s="2325" t="s">
        <v>1132</v>
      </c>
      <c r="J2" s="2658"/>
      <c r="K2" s="2658"/>
      <c r="L2" s="2658"/>
      <c r="M2" s="2658"/>
      <c r="N2" s="2660"/>
      <c r="O2" s="2658"/>
      <c r="P2" s="2658"/>
    </row>
    <row r="3" spans="1:16" ht="15" thickBot="1">
      <c r="A3" s="3537" t="s">
        <v>1105</v>
      </c>
      <c r="B3" s="3537"/>
      <c r="C3" s="3537"/>
      <c r="D3" s="43">
        <f>'数据-基础表'!AY6</f>
        <v>0</v>
      </c>
      <c r="E3" s="43">
        <f>'数据-基础表'!AZ5</f>
        <v>195.03</v>
      </c>
      <c r="F3" s="2658"/>
      <c r="G3" s="1145"/>
      <c r="H3" s="1026" t="s">
        <v>1106</v>
      </c>
      <c r="I3" s="855" t="e">
        <f>ROUND('数据-基础表'!B3/'数据-基础表'!A3,2)</f>
        <v>#DIV/0!</v>
      </c>
      <c r="J3" s="2658"/>
      <c r="K3" s="2658"/>
      <c r="L3" s="2658"/>
      <c r="M3" s="2658"/>
      <c r="N3" s="2660"/>
      <c r="O3" s="2658"/>
      <c r="P3" s="2658"/>
    </row>
    <row r="4" spans="1:16" ht="14.4">
      <c r="A4" s="3538"/>
      <c r="B4" s="3539"/>
      <c r="C4" s="3540"/>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41" t="s">
        <v>1110</v>
      </c>
      <c r="C5" s="3541"/>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1" t="s">
        <v>1111</v>
      </c>
      <c r="C6" s="3541"/>
      <c r="D6" s="45">
        <f>ROUND($D$3*E6/$E$3,2)</f>
        <v>0</v>
      </c>
      <c r="E6" s="46">
        <f>E3-E5</f>
        <v>195.03</v>
      </c>
      <c r="F6" s="2658"/>
      <c r="G6" s="2652" t="s">
        <v>1112</v>
      </c>
      <c r="H6" s="1146" t="s">
        <v>1113</v>
      </c>
      <c r="I6" s="2653" t="e">
        <f>ROUND(F31/D31,2)</f>
        <v>#DIV/0!</v>
      </c>
      <c r="J6" s="2658"/>
      <c r="K6" s="2658"/>
      <c r="L6" s="2658"/>
      <c r="M6" s="2658"/>
      <c r="N6" s="2658"/>
      <c r="O6" s="2658"/>
      <c r="P6" s="2658"/>
    </row>
    <row r="7" spans="1:16" ht="15" thickBot="1">
      <c r="A7" s="3533"/>
      <c r="B7" s="3534"/>
      <c r="C7" s="3535"/>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195.03</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195.03</v>
      </c>
      <c r="F16" s="2658"/>
      <c r="G16" s="2659"/>
      <c r="H16" s="1648" t="s">
        <v>1135</v>
      </c>
      <c r="I16" s="1649"/>
      <c r="J16" s="1139"/>
      <c r="K16" s="3530" t="s">
        <v>1135</v>
      </c>
      <c r="L16" s="3531"/>
      <c r="M16" s="3531"/>
      <c r="N16" s="3531"/>
      <c r="O16" s="3531"/>
      <c r="P16" s="3532"/>
    </row>
    <row r="17" spans="1:19" ht="14.4">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f>'数据-基础表'!C13</f>
        <v>51017</v>
      </c>
      <c r="D19" s="45">
        <f>ROUND($D$3*E19/$E$3,2)</f>
        <v>0</v>
      </c>
      <c r="E19" s="53">
        <f t="shared" ref="E19:E26" si="1">SUM(F19:G19)</f>
        <v>195.03</v>
      </c>
      <c r="F19" s="2794">
        <f>'数据-基础表'!G13</f>
        <v>195.03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195.03</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195.03</v>
      </c>
      <c r="F27" s="1140">
        <f>IF(SUM(F19:F26)=E8,SUM(F19:F26),"地上面积有误")</f>
        <v>195.03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195.03</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195.03</v>
      </c>
      <c r="F31" s="677">
        <f>F27+F30</f>
        <v>195.03</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22" activePane="bottomRight" state="frozen"/>
      <selection activeCell="C50" sqref="C50"/>
      <selection pane="topRight" activeCell="C50" sqref="C50"/>
      <selection pane="bottomLeft" activeCell="C50" sqref="C50"/>
      <selection pane="bottomRight" activeCell="B55" sqref="B5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45539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51017</v>
      </c>
      <c r="B6" s="1713" t="str">
        <f>IF(A6=0,"","经营性")</f>
        <v>经营性</v>
      </c>
      <c r="C6" s="1714" t="s">
        <v>21</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5.5E-2</v>
      </c>
      <c r="J6" s="66">
        <v>7.0000000000000007E-2</v>
      </c>
      <c r="K6" s="1030">
        <f>SUMIF('数据-汇总表'!C$19:C$33,A6,'数据-汇总表'!E$19:E$33)</f>
        <v>195.03</v>
      </c>
      <c r="L6" s="733">
        <v>4500</v>
      </c>
      <c r="M6" s="67">
        <f t="shared" ref="M6:M14" si="0">ROUND(K6*L6/10000,0)</f>
        <v>88</v>
      </c>
      <c r="N6" s="731"/>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v>0.02</v>
      </c>
      <c r="W6" s="70">
        <v>0.1</v>
      </c>
      <c r="X6" s="1040"/>
      <c r="Y6" s="71">
        <f>N6</f>
        <v>0</v>
      </c>
      <c r="Z6" s="72"/>
      <c r="AA6" s="66"/>
      <c r="AB6" s="66"/>
      <c r="AC6" s="1040"/>
      <c r="AD6" s="73"/>
      <c r="AE6" s="1041">
        <f ca="1">IF(AN6="",0,SUMIF(INDIRECT("'"&amp;AN6&amp;"'"&amp;"!E:E"),$AE$5,INDIRECT("'"&amp;AN6&amp;"'"&amp;"!F:F")))</f>
        <v>0</v>
      </c>
      <c r="AF6" s="1348"/>
      <c r="AG6" s="138">
        <f>IF(AF6="",0,AE6-AF6)</f>
        <v>0</v>
      </c>
      <c r="AH6" s="74"/>
      <c r="AI6" s="76">
        <v>365</v>
      </c>
      <c r="AJ6" s="77"/>
      <c r="AK6" s="78">
        <v>5.0000000000000001E-3</v>
      </c>
      <c r="AL6" s="79">
        <v>1E-3</v>
      </c>
      <c r="AM6" s="80">
        <v>5.0000000000000001E-3</v>
      </c>
      <c r="AN6" s="1715" t="s">
        <v>3394</v>
      </c>
      <c r="AO6" s="52" t="e">
        <f ca="1">SUMIF(INDIRECT("'"&amp;AN6&amp;"'"&amp;"!A:A"),"总价",INDIRECT("'"&amp;AN6&amp;"'"&amp;"!B:B"))</f>
        <v>#DIV/0!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195.03</v>
      </c>
      <c r="L16" s="93">
        <f>ROUND(M16*10000/SUM(K6:K14),0)</f>
        <v>4512</v>
      </c>
      <c r="M16" s="93">
        <f>SUM(M6:M14)</f>
        <v>88</v>
      </c>
      <c r="N16" s="94">
        <f>ROUND(SUMPRODUCT(M6:M14,N6:N14)/M16,3)</f>
        <v>0</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42" t="s">
        <v>2286</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zoomScaleSheetLayoutView="80" workbookViewId="0">
      <selection activeCell="D20" sqref="D20"/>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195.03</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3794">
        <f>SUM(D14:D23)</f>
        <v>667</v>
      </c>
      <c r="C5" s="2511" t="e">
        <f ca="1">IF(B5=D14,结果表!H102,ROUND(B5*10000/$B$1,0))</f>
        <v>#REF!</v>
      </c>
      <c r="D5" s="2511" t="e">
        <f>ROUND(B5*10000/$B$2,0)</f>
        <v>#DIV/0!</v>
      </c>
      <c r="E5" s="2685"/>
      <c r="F5" s="2686"/>
      <c r="G5" s="2686"/>
      <c r="H5" s="2687"/>
      <c r="I5" s="2687"/>
      <c r="J5" s="2687"/>
      <c r="K5" s="2687"/>
    </row>
    <row r="6" spans="1:11" ht="15.6">
      <c r="A6" s="2511" t="s">
        <v>656</v>
      </c>
      <c r="B6" s="3794">
        <f>SUM(G14:G23)</f>
        <v>0</v>
      </c>
      <c r="C6" s="2511" t="e">
        <f ca="1">IF(B6=G14,结果表!H108,ROUND(B6*10000/$B$1,0))</f>
        <v>#REF!</v>
      </c>
      <c r="D6" s="2511" t="e">
        <f>ROUND(B6*10000/$B$2,0)</f>
        <v>#DIV/0!</v>
      </c>
      <c r="E6" s="2685"/>
      <c r="F6" s="2686"/>
      <c r="G6" s="2686"/>
      <c r="H6" s="2687"/>
      <c r="I6" s="2687"/>
      <c r="J6" s="2687"/>
      <c r="K6" s="2687"/>
    </row>
    <row r="7" spans="1:11" ht="15.6">
      <c r="A7" s="2511" t="s">
        <v>664</v>
      </c>
      <c r="B7" s="3794">
        <f>SUM(H14:H23)</f>
        <v>0</v>
      </c>
      <c r="C7" s="2511" t="str">
        <f>IF(B7=H14,结果表!H110,ROUND(B7*10000/$B$1,0))</f>
        <v>——</v>
      </c>
      <c r="D7" s="2511" t="e">
        <f>ROUND(B7*10000/$B$2,0)</f>
        <v>#DIV/0!</v>
      </c>
      <c r="E7" s="2685"/>
      <c r="F7" s="2686"/>
      <c r="G7" s="2686"/>
      <c r="H7" s="2687"/>
      <c r="I7" s="2687"/>
      <c r="J7" s="2687"/>
      <c r="K7" s="2687"/>
    </row>
    <row r="8" spans="1:11" ht="15.6">
      <c r="A8" s="2511" t="s">
        <v>587</v>
      </c>
      <c r="B8" s="3794">
        <f>SUM(I14:I23)</f>
        <v>0</v>
      </c>
      <c r="C8" s="2511" t="str">
        <f>IF(B8=I14,结果表!H112,ROUND(B8*10000/$B$1,0))</f>
        <v>——</v>
      </c>
      <c r="D8" s="2511" t="e">
        <f>ROUND(B8*10000/$B$2,0)</f>
        <v>#DIV/0!</v>
      </c>
      <c r="E8" s="2685"/>
      <c r="F8" s="2686"/>
      <c r="G8" s="2686"/>
      <c r="H8" s="2687"/>
      <c r="I8" s="2687"/>
      <c r="J8" s="2687"/>
      <c r="K8" s="2687"/>
    </row>
    <row r="9" spans="1:11" ht="15.6">
      <c r="A9" s="2511" t="s">
        <v>655</v>
      </c>
      <c r="B9" s="3795"/>
      <c r="C9" s="2685"/>
      <c r="D9" s="2685"/>
      <c r="E9" s="2685"/>
      <c r="F9" s="2686"/>
      <c r="G9" s="2686"/>
      <c r="H9" s="2687"/>
      <c r="I9" s="2687"/>
      <c r="J9" s="2687"/>
      <c r="K9" s="2687"/>
    </row>
    <row r="10" spans="1:11" ht="15.6">
      <c r="A10" s="2511" t="s">
        <v>654</v>
      </c>
      <c r="B10" s="3794">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3449">
        <v>195.03</v>
      </c>
      <c r="C14" s="2517"/>
      <c r="D14" s="3449">
        <f>ROUND(E14*B14/10000,0)</f>
        <v>667</v>
      </c>
      <c r="E14" s="3449">
        <v>34189</v>
      </c>
      <c r="F14" s="2517" t="e">
        <f>ROUND(D14*10000/C14,0)</f>
        <v>#DIV/0!</v>
      </c>
      <c r="G14" s="2517"/>
      <c r="H14" s="2517"/>
      <c r="I14" s="2517"/>
      <c r="J14" s="3451"/>
      <c r="K14" s="3452"/>
    </row>
    <row r="15" spans="1:11" ht="15.6">
      <c r="A15" s="2516" t="s">
        <v>649</v>
      </c>
      <c r="B15" s="3450"/>
      <c r="C15" s="2518"/>
      <c r="D15" s="3450"/>
      <c r="E15" s="3449" t="e">
        <f t="shared" ref="E15:E23" si="0">ROUND(D15*10000/B15,0)</f>
        <v>#DIV/0!</v>
      </c>
      <c r="F15" s="2517" t="e">
        <f t="shared" ref="F15:F23" si="1">ROUND(D15*10000/C15,0)</f>
        <v>#DIV/0!</v>
      </c>
      <c r="G15" s="1331"/>
      <c r="H15" s="1331"/>
      <c r="I15" s="2518"/>
      <c r="J15" s="3451"/>
      <c r="K15" s="3452"/>
    </row>
    <row r="16" spans="1:11" ht="15.6">
      <c r="A16" s="2516" t="s">
        <v>648</v>
      </c>
      <c r="B16" s="3450"/>
      <c r="C16" s="2518"/>
      <c r="D16" s="3450"/>
      <c r="E16" s="3449" t="e">
        <f t="shared" si="0"/>
        <v>#DIV/0!</v>
      </c>
      <c r="F16" s="2517" t="e">
        <f t="shared" si="1"/>
        <v>#DIV/0!</v>
      </c>
      <c r="G16" s="1331"/>
      <c r="H16" s="1331"/>
      <c r="I16" s="2518"/>
      <c r="J16" s="3452"/>
      <c r="K16" s="3452"/>
    </row>
    <row r="17" spans="1:11" ht="15.6">
      <c r="A17" s="2516" t="s">
        <v>647</v>
      </c>
      <c r="B17" s="3450"/>
      <c r="C17" s="2518"/>
      <c r="D17" s="3450"/>
      <c r="E17" s="3449" t="e">
        <f t="shared" si="0"/>
        <v>#DIV/0!</v>
      </c>
      <c r="F17" s="2517" t="e">
        <f t="shared" si="1"/>
        <v>#DIV/0!</v>
      </c>
      <c r="G17" s="1331"/>
      <c r="H17" s="1331"/>
      <c r="I17" s="2518"/>
      <c r="J17" s="3452"/>
      <c r="K17" s="3452"/>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I37" sqref="I3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北京市东城区南竹杆胡同2号房地产</v>
      </c>
      <c r="B2" s="3579"/>
      <c r="C2" s="3579"/>
      <c r="D2" s="3579"/>
      <c r="E2" s="3579"/>
      <c r="F2" s="3579"/>
      <c r="G2" s="3579"/>
      <c r="H2" s="3579"/>
      <c r="I2" s="3580"/>
    </row>
    <row r="3" spans="1:12" ht="13.2">
      <c r="A3" s="3582" t="s">
        <v>1264</v>
      </c>
      <c r="B3" s="3583"/>
      <c r="C3" s="3583"/>
      <c r="D3" s="3583"/>
      <c r="E3" s="3583"/>
      <c r="F3" s="3583"/>
      <c r="G3" s="3583"/>
      <c r="H3" s="3583"/>
      <c r="I3" s="3583"/>
    </row>
    <row r="4" spans="1:12" ht="14.4">
      <c r="A4" s="1754" t="s">
        <v>1265</v>
      </c>
      <c r="B4" s="1755" t="s">
        <v>1266</v>
      </c>
      <c r="C4" s="1756"/>
      <c r="D4" s="1756"/>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8" t="s">
        <v>1268</v>
      </c>
      <c r="B5" s="3545">
        <v>25</v>
      </c>
      <c r="C5" s="3561"/>
      <c r="D5" s="3581"/>
      <c r="E5" s="131" t="s">
        <v>1269</v>
      </c>
      <c r="F5" s="1757"/>
      <c r="G5" s="1757"/>
      <c r="H5" s="1757"/>
      <c r="I5" s="1373"/>
    </row>
    <row r="6" spans="1:12" ht="13.2">
      <c r="A6" s="3558"/>
      <c r="B6" s="3545"/>
      <c r="C6" s="3562"/>
      <c r="D6" s="3581"/>
      <c r="E6" s="131" t="s">
        <v>1270</v>
      </c>
      <c r="F6" s="1757"/>
      <c r="G6" s="1757"/>
      <c r="H6" s="1757"/>
      <c r="I6" s="1373"/>
    </row>
    <row r="7" spans="1:12" ht="13.2">
      <c r="A7" s="3558"/>
      <c r="B7" s="3545"/>
      <c r="C7" s="3563"/>
      <c r="D7" s="3581"/>
      <c r="E7" s="131" t="s">
        <v>1271</v>
      </c>
      <c r="F7" s="1757"/>
      <c r="G7" s="1757"/>
      <c r="H7" s="1757"/>
      <c r="I7" s="1373"/>
    </row>
    <row r="8" spans="1:12" ht="13.2">
      <c r="A8" s="3558" t="s">
        <v>1272</v>
      </c>
      <c r="B8" s="3545">
        <v>15</v>
      </c>
      <c r="C8" s="3561"/>
      <c r="D8" s="3581"/>
      <c r="E8" s="131" t="s">
        <v>1273</v>
      </c>
      <c r="F8" s="1757"/>
      <c r="G8" s="1757"/>
      <c r="H8" s="1757"/>
      <c r="I8" s="1373"/>
    </row>
    <row r="9" spans="1:12" ht="13.2">
      <c r="A9" s="3558"/>
      <c r="B9" s="3545"/>
      <c r="C9" s="3563"/>
      <c r="D9" s="3581"/>
      <c r="E9" s="131" t="s">
        <v>1274</v>
      </c>
      <c r="F9" s="1757"/>
      <c r="G9" s="1757"/>
      <c r="H9" s="1757"/>
      <c r="I9" s="1373"/>
    </row>
    <row r="10" spans="1:12" ht="13.2">
      <c r="A10" s="3558" t="s">
        <v>1275</v>
      </c>
      <c r="B10" s="3545">
        <v>15</v>
      </c>
      <c r="C10" s="3561"/>
      <c r="D10" s="3581"/>
      <c r="E10" s="131" t="s">
        <v>1276</v>
      </c>
      <c r="F10" s="1757"/>
      <c r="G10" s="1757"/>
      <c r="H10" s="1757"/>
      <c r="I10" s="1373"/>
    </row>
    <row r="11" spans="1:12" ht="13.2">
      <c r="A11" s="3558"/>
      <c r="B11" s="3545"/>
      <c r="C11" s="3563"/>
      <c r="D11" s="3581"/>
      <c r="E11" s="131" t="s">
        <v>1277</v>
      </c>
      <c r="F11" s="1757"/>
      <c r="G11" s="1757"/>
      <c r="H11" s="1757"/>
      <c r="I11" s="1373"/>
    </row>
    <row r="12" spans="1:12" ht="13.2">
      <c r="A12" s="3558" t="s">
        <v>1278</v>
      </c>
      <c r="B12" s="3545">
        <v>15</v>
      </c>
      <c r="C12" s="3561"/>
      <c r="D12" s="3581"/>
      <c r="E12" s="131" t="s">
        <v>1279</v>
      </c>
      <c r="F12" s="1757"/>
      <c r="G12" s="1757"/>
      <c r="H12" s="1757"/>
      <c r="I12" s="1373"/>
    </row>
    <row r="13" spans="1:12" ht="13.2">
      <c r="A13" s="3558"/>
      <c r="B13" s="3545"/>
      <c r="C13" s="3563"/>
      <c r="D13" s="3581"/>
      <c r="E13" s="131" t="s">
        <v>1280</v>
      </c>
      <c r="F13" s="1757"/>
      <c r="G13" s="1757"/>
      <c r="H13" s="1757"/>
      <c r="I13" s="1373"/>
    </row>
    <row r="14" spans="1:12" ht="13.2">
      <c r="A14" s="3558" t="s">
        <v>1281</v>
      </c>
      <c r="B14" s="3545">
        <v>30</v>
      </c>
      <c r="C14" s="3561"/>
      <c r="D14" s="3581"/>
      <c r="E14" s="131" t="s">
        <v>1282</v>
      </c>
      <c r="F14" s="1757"/>
      <c r="G14" s="1757"/>
      <c r="H14" s="1757"/>
      <c r="I14" s="1373"/>
    </row>
    <row r="15" spans="1:12" ht="13.2">
      <c r="A15" s="3558"/>
      <c r="B15" s="3545"/>
      <c r="C15" s="3562"/>
      <c r="D15" s="3581"/>
      <c r="E15" s="131" t="s">
        <v>1283</v>
      </c>
      <c r="F15" s="1757"/>
      <c r="G15" s="1757"/>
      <c r="H15" s="1757"/>
      <c r="I15" s="1373"/>
    </row>
    <row r="16" spans="1:12" ht="13.2">
      <c r="A16" s="3558"/>
      <c r="B16" s="3545"/>
      <c r="C16" s="3563"/>
      <c r="D16" s="3581"/>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568" t="s">
        <v>2131</v>
      </c>
      <c r="F18" s="3569"/>
      <c r="G18" s="3569"/>
      <c r="H18" s="3569"/>
      <c r="I18" s="3569"/>
      <c r="K18" s="302" t="s">
        <v>1289</v>
      </c>
      <c r="L18" s="302">
        <f>IF(C1="",'数据-汇总表'!E3,SUMIF(项目类型,C1,'数据-汇总表'!E17:E26)+SUMIF(项目类型,C1,'数据-汇总表'!I17:I26))</f>
        <v>195.03</v>
      </c>
      <c r="M18" s="302">
        <f>IF(C1="",'数据-汇总表'!E3,SUMIF(项目类型,C1,'数据-汇总表'!E17:E26))</f>
        <v>195.03</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552" t="s">
        <v>1299</v>
      </c>
      <c r="B24" s="1762" t="s">
        <v>1291</v>
      </c>
      <c r="C24" s="136">
        <f>IF(B30=0,0,D30)</f>
        <v>0</v>
      </c>
      <c r="D24" s="1769"/>
      <c r="E24" s="129"/>
      <c r="F24" s="129"/>
      <c r="G24" s="129"/>
      <c r="H24" s="129"/>
      <c r="I24" s="129"/>
    </row>
    <row r="25" spans="1:36" ht="14.4">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t="s">
        <v>3397</v>
      </c>
      <c r="E32" s="129"/>
      <c r="F32" s="129"/>
      <c r="G32" s="129"/>
      <c r="H32" s="129"/>
      <c r="I32" s="129"/>
    </row>
    <row r="33" spans="1:15" ht="14.4">
      <c r="A33" s="786" t="s">
        <v>1306</v>
      </c>
      <c r="B33" s="1776"/>
      <c r="C33" s="1777" t="s">
        <v>3398</v>
      </c>
      <c r="D33" s="1778"/>
      <c r="E33" s="1779" t="s">
        <v>1307</v>
      </c>
      <c r="F33" s="1780" t="str">
        <f>IF(D32="楼面单价","取值（单价）","取值（总价）")</f>
        <v>取值（单价）</v>
      </c>
      <c r="G33" s="129"/>
      <c r="H33" s="129"/>
      <c r="I33" s="129"/>
    </row>
    <row r="34" spans="1:15" ht="14.4">
      <c r="A34" s="1781"/>
      <c r="B34" s="1782" t="s">
        <v>1308</v>
      </c>
      <c r="C34" s="148">
        <f>IF(C33="自定义",F34,C32-C35)</f>
        <v>0</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f>IF(C33="自定义",F35,ROUND(C32*D35,0))</f>
        <v>0</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72" t="s">
        <v>1312</v>
      </c>
      <c r="B36" s="1787" t="s">
        <v>1313</v>
      </c>
      <c r="C36" s="145"/>
      <c r="D36" s="1788"/>
      <c r="E36" s="1789"/>
      <c r="F36" s="1790"/>
      <c r="G36" s="129"/>
      <c r="H36" s="129"/>
      <c r="I36" s="129"/>
    </row>
    <row r="37" spans="1:15" ht="15" thickBot="1">
      <c r="A37" s="3573"/>
      <c r="B37" s="1674" t="s">
        <v>1314</v>
      </c>
      <c r="C37" s="147"/>
      <c r="D37" s="1139"/>
      <c r="E37" s="1139"/>
      <c r="F37" s="1790"/>
      <c r="G37" s="129"/>
      <c r="H37" s="129"/>
      <c r="I37" s="129"/>
    </row>
    <row r="38" spans="1:15" ht="15" thickBot="1">
      <c r="A38" s="357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t="e">
        <f ca="1">ROUND(H101*F45,0)</f>
        <v>#REF!</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2">
        <v>1</v>
      </c>
      <c r="K46" s="3608" t="s">
        <v>1331</v>
      </c>
      <c r="L46" s="3608"/>
      <c r="M46" s="3628"/>
      <c r="N46" s="3628"/>
      <c r="O46" s="3628"/>
    </row>
    <row r="47" spans="1:15" ht="12" customHeight="1">
      <c r="A47" s="160" t="s">
        <v>1332</v>
      </c>
      <c r="B47" s="161"/>
      <c r="C47" s="162"/>
      <c r="D47" s="1087" t="s">
        <v>1333</v>
      </c>
      <c r="E47" s="302" t="s">
        <v>1334</v>
      </c>
      <c r="F47" s="163" t="s">
        <v>1335</v>
      </c>
      <c r="G47" s="2545" t="s">
        <v>1336</v>
      </c>
      <c r="H47" s="2546"/>
      <c r="I47" s="159"/>
      <c r="J47" s="2522">
        <v>2</v>
      </c>
      <c r="K47" s="3608" t="s">
        <v>1337</v>
      </c>
      <c r="L47" s="3608"/>
      <c r="M47" s="3629">
        <f>'数据-取费表'!B2</f>
        <v>45539</v>
      </c>
      <c r="N47" s="3629"/>
      <c r="O47" s="3629"/>
    </row>
    <row r="48" spans="1:15" ht="26.4">
      <c r="A48" s="3577" t="s">
        <v>1338</v>
      </c>
      <c r="B48" s="3560"/>
      <c r="C48" s="3560"/>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08" t="s">
        <v>1340</v>
      </c>
      <c r="L48" s="3608"/>
      <c r="M48" s="3630" t="e">
        <f ca="1">H101</f>
        <v>#REF!</v>
      </c>
      <c r="N48" s="3630"/>
      <c r="O48" s="3630"/>
    </row>
    <row r="49" spans="1:35" ht="25.5" customHeight="1">
      <c r="A49" s="2333" t="s">
        <v>1341</v>
      </c>
      <c r="B49" s="3544" t="s">
        <v>1342</v>
      </c>
      <c r="C49" s="3544"/>
      <c r="D49" s="1590">
        <v>0</v>
      </c>
      <c r="E49" s="324" t="s">
        <v>1343</v>
      </c>
      <c r="F49" s="2423" t="s">
        <v>28</v>
      </c>
      <c r="G49" s="3614"/>
      <c r="H49" s="2310" t="s">
        <v>2134</v>
      </c>
      <c r="I49" s="2311"/>
      <c r="J49" s="2522">
        <v>4</v>
      </c>
      <c r="K49" s="3608" t="str">
        <f>IF(项目基本情况!E8="房地产抵押价值","房地产抵押价值","抵押担保权已注销时的房地产抵押价值")</f>
        <v>房地产抵押价值</v>
      </c>
      <c r="L49" s="3608"/>
      <c r="M49" s="3630" t="e">
        <f ca="1">IF(项目基本情况!E8="房地产抵押价值",H107,H109)</f>
        <v>#REF!</v>
      </c>
      <c r="N49" s="3630"/>
      <c r="O49" s="3630"/>
    </row>
    <row r="50" spans="1:35" ht="25.5" customHeight="1">
      <c r="A50" s="2550"/>
      <c r="B50" s="3544" t="s">
        <v>1344</v>
      </c>
      <c r="C50" s="3544"/>
      <c r="D50" s="2551"/>
      <c r="E50" s="332"/>
      <c r="F50" s="2423"/>
      <c r="G50" s="3615"/>
      <c r="H50" s="2312" t="s">
        <v>2135</v>
      </c>
      <c r="I50" s="2311"/>
      <c r="J50" s="3627" t="s">
        <v>1345</v>
      </c>
      <c r="K50" s="3627"/>
      <c r="L50" s="3627"/>
      <c r="M50" s="3627"/>
      <c r="N50" s="3627"/>
      <c r="O50" s="3627"/>
    </row>
    <row r="51" spans="1:35" ht="20.399999999999999" customHeight="1">
      <c r="A51" s="2552"/>
      <c r="B51" s="3544" t="s">
        <v>1346</v>
      </c>
      <c r="C51" s="3544"/>
      <c r="D51" s="1087"/>
      <c r="E51" s="327"/>
      <c r="F51" s="2423"/>
      <c r="G51" s="3616"/>
      <c r="H51" s="2312" t="s">
        <v>2136</v>
      </c>
      <c r="I51" s="2311"/>
      <c r="J51" s="2523" t="s">
        <v>1347</v>
      </c>
      <c r="K51" s="3608" t="s">
        <v>1348</v>
      </c>
      <c r="L51" s="3608"/>
      <c r="M51" s="2523" t="s">
        <v>1349</v>
      </c>
      <c r="N51" s="2523" t="s">
        <v>1350</v>
      </c>
      <c r="O51" s="2523" t="s">
        <v>1351</v>
      </c>
    </row>
    <row r="52" spans="1:35" ht="24" customHeight="1">
      <c r="A52" s="2335" t="s">
        <v>1352</v>
      </c>
      <c r="B52" s="3544" t="s">
        <v>1353</v>
      </c>
      <c r="C52" s="3544"/>
      <c r="D52" s="1087" t="e">
        <f ca="1">ROUND(D45*'数据-取费表'!B41/(1+'数据-取费表'!C42),0)</f>
        <v>#REF!</v>
      </c>
      <c r="E52" s="2334" t="s">
        <v>1354</v>
      </c>
      <c r="F52" s="2553">
        <f>'数据-取费表'!B41</f>
        <v>5.6000000000000001E-2</v>
      </c>
      <c r="G52" s="2554"/>
      <c r="H52" s="2543"/>
      <c r="I52" s="1807"/>
      <c r="J52" s="2522">
        <v>1</v>
      </c>
      <c r="K52" s="3609" t="s">
        <v>1355</v>
      </c>
      <c r="L52" s="3609"/>
      <c r="M52" s="2524" t="b">
        <f>D48</f>
        <v>0</v>
      </c>
      <c r="N52" s="2522" t="str">
        <f>E48</f>
        <v>销售额×税（费）率</v>
      </c>
      <c r="O52" s="2525">
        <f>F48</f>
        <v>5.6000000000000001E-2</v>
      </c>
    </row>
    <row r="53" spans="1:35" ht="12" customHeight="1">
      <c r="A53" s="2335" t="s">
        <v>1356</v>
      </c>
      <c r="B53" s="3570" t="s">
        <v>2291</v>
      </c>
      <c r="C53" s="3571"/>
      <c r="D53" s="1087" t="e">
        <f ca="1">ROUND(D45*'数据-取费表'!B41/(1+'数据-取费表'!C42),0)</f>
        <v>#REF!</v>
      </c>
      <c r="E53" s="2334" t="s">
        <v>1354</v>
      </c>
      <c r="F53" s="2553">
        <f>'数据-取费表'!B41</f>
        <v>5.6000000000000001E-2</v>
      </c>
      <c r="G53" s="2554"/>
      <c r="H53" s="2543"/>
      <c r="I53" s="1807"/>
      <c r="J53" s="2522">
        <v>2</v>
      </c>
      <c r="K53" s="3609" t="s">
        <v>1357</v>
      </c>
      <c r="L53" s="3609"/>
      <c r="M53" s="2524" t="e">
        <f t="shared" ref="M53:O54" ca="1" si="0">D55</f>
        <v>#REF!</v>
      </c>
      <c r="N53" s="2522" t="str">
        <f t="shared" si="0"/>
        <v>销售额×税（费）率</v>
      </c>
      <c r="O53" s="2525" t="str">
        <f t="shared" si="0"/>
        <v>免征</v>
      </c>
    </row>
    <row r="54" spans="1:35" ht="12" customHeight="1">
      <c r="A54" s="2335" t="s">
        <v>1358</v>
      </c>
      <c r="B54" s="3570" t="s">
        <v>2292</v>
      </c>
      <c r="C54" s="3571"/>
      <c r="D54" s="1087" t="e">
        <f ca="1">C68</f>
        <v>#REF!</v>
      </c>
      <c r="E54" s="327" t="s">
        <v>1359</v>
      </c>
      <c r="F54" s="2553">
        <f>'数据-取费表'!B41</f>
        <v>5.6000000000000001E-2</v>
      </c>
      <c r="G54" s="2554"/>
      <c r="H54" s="2555"/>
      <c r="I54" s="1807"/>
      <c r="J54" s="2522">
        <v>3</v>
      </c>
      <c r="K54" s="3609" t="s">
        <v>1360</v>
      </c>
      <c r="L54" s="3609"/>
      <c r="M54" s="2524" t="e">
        <f t="shared" ca="1" si="0"/>
        <v>#REF!</v>
      </c>
      <c r="N54" s="2522" t="str">
        <f t="shared" si="0"/>
        <v>增值额×税（费）率</v>
      </c>
      <c r="O54" s="2526" t="str">
        <f t="shared" si="0"/>
        <v>免征</v>
      </c>
    </row>
    <row r="55" spans="1:35" ht="24" customHeight="1">
      <c r="A55" s="3559" t="s">
        <v>1361</v>
      </c>
      <c r="B55" s="3560"/>
      <c r="C55" s="3560"/>
      <c r="D55" s="2324" t="e">
        <f ca="1">IF(H55="个人住宅",0,ROUND(D45*I55,0))</f>
        <v>#REF!</v>
      </c>
      <c r="E55" s="2334" t="s">
        <v>1362</v>
      </c>
      <c r="F55" s="2553" t="str">
        <f>IF(H55="正常",I55,"免征")</f>
        <v>免征</v>
      </c>
      <c r="G55" s="2554"/>
      <c r="H55" s="2549"/>
      <c r="I55" s="165">
        <f>'数据-取费表'!B49</f>
        <v>5.0000000000000001E-4</v>
      </c>
      <c r="J55" s="2522">
        <f>IF(H59="非个人房产","",4)</f>
        <v>4</v>
      </c>
      <c r="K55" s="3609" t="str">
        <f>IF(H59="非个人房产","——","个人所得税")</f>
        <v>个人所得税</v>
      </c>
      <c r="L55" s="3609"/>
      <c r="M55" s="2527" t="e">
        <f ca="1">D59</f>
        <v>#REF!</v>
      </c>
      <c r="N55" s="2040" t="str">
        <f>E59</f>
        <v>差额计税</v>
      </c>
      <c r="O55" s="2528">
        <f>F59</f>
        <v>0.01</v>
      </c>
    </row>
    <row r="56" spans="1:35" ht="25.2">
      <c r="A56" s="3559" t="s">
        <v>1363</v>
      </c>
      <c r="B56" s="3560"/>
      <c r="C56" s="3560"/>
      <c r="D56" s="2324" t="e">
        <f ca="1">IF(H56="个人住宅",D57,D58)</f>
        <v>#REF!</v>
      </c>
      <c r="E56" s="2334" t="s">
        <v>1364</v>
      </c>
      <c r="F56" s="2553" t="str">
        <f>IF(H56="正常",F58,"免征")</f>
        <v>免征</v>
      </c>
      <c r="G56" s="2556" t="s">
        <v>1365</v>
      </c>
      <c r="H56" s="2557"/>
      <c r="I56" s="1808"/>
      <c r="J56" s="2522" t="str">
        <f>IF(项目基本情况!K6="上海银行",IF(J55="",4,J55+1),"")</f>
        <v/>
      </c>
      <c r="K56" s="3632" t="str">
        <f>IF(项目基本情况!K6="上海银行","其他处置费用","")</f>
        <v/>
      </c>
      <c r="L56" s="3633"/>
      <c r="M56" s="2524" t="str">
        <f>IF(项目基本情况!K6="上海银行",M69,"")</f>
        <v/>
      </c>
      <c r="N56" s="3632" t="str">
        <f>IF(项目基本情况!K6="上海银行","包含处置中涉及的律师、诉讼、拍卖、评估等费用","")</f>
        <v/>
      </c>
      <c r="O56" s="3635"/>
    </row>
    <row r="57" spans="1:35" ht="13.2">
      <c r="A57" s="2335" t="s">
        <v>1341</v>
      </c>
      <c r="B57" s="3570" t="s">
        <v>1366</v>
      </c>
      <c r="C57" s="3571"/>
      <c r="D57" s="1590">
        <v>0</v>
      </c>
      <c r="E57" s="324" t="s">
        <v>1343</v>
      </c>
      <c r="F57" s="302"/>
      <c r="G57" s="2554"/>
      <c r="H57" s="2558"/>
      <c r="I57" s="1808"/>
      <c r="J57" s="3609">
        <f>IF(AND(J55="",J56=""),4,IF(项目基本情况!K6="上海银行",结果表!J56+1,结果表!J55+1))</f>
        <v>5</v>
      </c>
      <c r="K57" s="3609" t="s">
        <v>1367</v>
      </c>
      <c r="L57" s="2529" t="s">
        <v>1368</v>
      </c>
      <c r="M57" s="2530"/>
      <c r="N57" s="2531">
        <f ca="1">SUMIF(M52:M56,"&lt;9e307")</f>
        <v>0</v>
      </c>
      <c r="O57" s="2532"/>
      <c r="P57" s="2689" t="e">
        <f ca="1">N57/M49</f>
        <v>#REF!</v>
      </c>
    </row>
    <row r="58" spans="1:35" ht="25.2">
      <c r="A58" s="2335" t="s">
        <v>1352</v>
      </c>
      <c r="B58" s="3570" t="s">
        <v>1369</v>
      </c>
      <c r="C58" s="3544"/>
      <c r="D58" s="2324" t="e">
        <f ca="1">IF(H58="转让取得",C81,C97)</f>
        <v>#REF!</v>
      </c>
      <c r="E58" s="2334" t="s">
        <v>1364</v>
      </c>
      <c r="F58" s="302" t="s">
        <v>28</v>
      </c>
      <c r="G58" s="2554"/>
      <c r="H58" s="2557"/>
      <c r="I58" s="1808"/>
      <c r="J58" s="3609"/>
      <c r="K58" s="3609"/>
      <c r="L58" s="2529" t="s">
        <v>1370</v>
      </c>
      <c r="M58" s="2533"/>
      <c r="N58" s="2534" t="str">
        <f ca="1">NUMBERSTRING(INT(N57*10000),2)&amp;"元整"</f>
        <v>零元整</v>
      </c>
      <c r="O58" s="2535"/>
    </row>
    <row r="59" spans="1:35" ht="24.6" thickBot="1">
      <c r="A59" s="3612" t="s">
        <v>1371</v>
      </c>
      <c r="B59" s="3613"/>
      <c r="C59" s="3613"/>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10">
        <f>J57+1</f>
        <v>6</v>
      </c>
      <c r="K59" s="3609" t="s">
        <v>1372</v>
      </c>
      <c r="L59" s="2522" t="s">
        <v>1368</v>
      </c>
      <c r="M59" s="2536"/>
      <c r="N59" s="2537" t="e">
        <f ca="1">M49-N57</f>
        <v>#REF!</v>
      </c>
      <c r="O59" s="2538"/>
    </row>
    <row r="60" spans="1:35" ht="12" customHeight="1">
      <c r="A60" s="1809"/>
      <c r="B60" s="1747"/>
      <c r="C60" s="1747"/>
      <c r="D60" s="1747"/>
      <c r="E60" s="1578"/>
      <c r="F60" s="1808"/>
      <c r="G60" s="1808"/>
      <c r="H60" s="1810"/>
      <c r="I60" s="129"/>
      <c r="J60" s="3611"/>
      <c r="K60" s="3609"/>
      <c r="L60" s="2529" t="s">
        <v>1370</v>
      </c>
      <c r="M60" s="2533"/>
      <c r="N60" s="2534" t="e">
        <f ca="1">NUMBERSTRING(INT(N59*10000),2)&amp;"元整"</f>
        <v>#REF!</v>
      </c>
      <c r="O60" s="2535"/>
    </row>
    <row r="61" spans="1:35" ht="13.8" thickBot="1">
      <c r="A61" s="3557" t="s">
        <v>1373</v>
      </c>
      <c r="B61" s="3557"/>
      <c r="C61" s="3557"/>
      <c r="D61" s="3557"/>
      <c r="E61" s="3557"/>
      <c r="F61" s="1808"/>
      <c r="G61" s="1808"/>
      <c r="H61" s="1810"/>
      <c r="I61" s="129"/>
      <c r="J61" s="2522">
        <f>J59+1</f>
        <v>7</v>
      </c>
      <c r="K61" s="3609" t="s">
        <v>1374</v>
      </c>
      <c r="L61" s="3609"/>
      <c r="M61" s="2539"/>
      <c r="N61" s="2540" t="e">
        <f ca="1">ROUND(N59*10000/'数据-汇总表'!E3,0)</f>
        <v>#REF!</v>
      </c>
      <c r="O61" s="2541"/>
    </row>
    <row r="62" spans="1:35" ht="13.2">
      <c r="A62" s="3575" t="s">
        <v>1375</v>
      </c>
      <c r="B62" s="3576"/>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634" t="s">
        <v>1379</v>
      </c>
      <c r="K63" s="1332" t="s">
        <v>1380</v>
      </c>
      <c r="L63" s="1332" t="e">
        <f ca="1">IF(M49&gt;10000,M49*0.5%,IF(AND(M49&gt;1000,M49&lt;=10000),M49*1%,IF(AND(M49&gt;100,M49&lt;=1000),M49*3%,IF(AND(M49&gt;10,M49&lt;=100),M49*5%,M49*8%))))</f>
        <v>#REF!</v>
      </c>
      <c r="M63" s="302" t="e">
        <f ca="1">ROUND(L63,1)</f>
        <v>#REF!</v>
      </c>
      <c r="N63" s="2542"/>
      <c r="Z63" s="1752"/>
      <c r="AI63" s="1753"/>
    </row>
    <row r="64" spans="1:35" ht="14.25" customHeight="1">
      <c r="A64" s="169" t="s">
        <v>325</v>
      </c>
      <c r="B64" s="170" t="s">
        <v>1381</v>
      </c>
      <c r="C64" s="2564" t="e">
        <f ca="1">D45</f>
        <v>#REF!</v>
      </c>
      <c r="D64" s="170" t="s">
        <v>26</v>
      </c>
      <c r="E64" s="172"/>
      <c r="F64" s="1808"/>
      <c r="G64" s="1808"/>
      <c r="H64" s="1810"/>
      <c r="I64" s="129"/>
      <c r="J64" s="3634"/>
      <c r="K64" s="1332" t="s">
        <v>1382</v>
      </c>
      <c r="L64" s="1332"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43" t="s">
        <v>1383</v>
      </c>
      <c r="Z64" s="1752"/>
      <c r="AI64" s="1753"/>
    </row>
    <row r="65" spans="1:35" ht="14.25" customHeight="1">
      <c r="A65" s="169" t="s">
        <v>326</v>
      </c>
      <c r="B65" s="170" t="s">
        <v>1384</v>
      </c>
      <c r="C65" s="2565"/>
      <c r="D65" s="170"/>
      <c r="E65" s="172"/>
      <c r="F65" s="1808"/>
      <c r="G65" s="1808"/>
      <c r="H65" s="1810"/>
      <c r="I65" s="129"/>
      <c r="J65" s="3634"/>
      <c r="K65" s="1332" t="s">
        <v>1385</v>
      </c>
      <c r="L65" s="1332" t="e">
        <f ca="1">IF(M49&gt;1000,M49*0.1%,IF(AND(M49&gt;500,M49&lt;=1000),M49*0.5%,IF(AND(M49&gt;50,M49&lt;=500),M49*1%,IF(AND(M49&gt;1,M49&lt;=50),M49*1.5%))))</f>
        <v>#REF!</v>
      </c>
      <c r="M65" s="302" t="e">
        <f t="shared" ca="1" si="1"/>
        <v>#REF!</v>
      </c>
      <c r="N65" s="2543" t="s">
        <v>1383</v>
      </c>
      <c r="Z65" s="1752"/>
      <c r="AI65" s="1753"/>
    </row>
    <row r="66" spans="1:35" ht="14.25" customHeight="1">
      <c r="A66" s="173" t="s">
        <v>327</v>
      </c>
      <c r="B66" s="174" t="s">
        <v>1386</v>
      </c>
      <c r="C66" s="2566"/>
      <c r="D66" s="174" t="s">
        <v>26</v>
      </c>
      <c r="E66" s="1338" t="s">
        <v>671</v>
      </c>
      <c r="F66" s="1808"/>
      <c r="G66" s="1808"/>
      <c r="H66" s="1810"/>
      <c r="I66" s="129"/>
      <c r="J66" s="3634"/>
      <c r="K66" s="1332" t="s">
        <v>1387</v>
      </c>
      <c r="L66" s="1332" t="e">
        <f ca="1">M49*0.5%</f>
        <v>#REF!</v>
      </c>
      <c r="M66" s="302" t="e">
        <f ca="1">IF(L66&gt;0.5,0.5,ROUND(L66,0))</f>
        <v>#REF!</v>
      </c>
      <c r="N66" s="2543" t="s">
        <v>1388</v>
      </c>
      <c r="Z66" s="1752"/>
      <c r="AI66" s="1753"/>
    </row>
    <row r="67" spans="1:35" ht="14.25" customHeight="1">
      <c r="A67" s="173" t="s">
        <v>328</v>
      </c>
      <c r="B67" s="174" t="s">
        <v>1389</v>
      </c>
      <c r="C67" s="2567" t="e">
        <f ca="1">C63-C66</f>
        <v>#REF!</v>
      </c>
      <c r="D67" s="170" t="s">
        <v>26</v>
      </c>
      <c r="E67" s="172"/>
      <c r="F67" s="1808"/>
      <c r="G67" s="1808"/>
      <c r="H67" s="1810"/>
      <c r="I67" s="129"/>
      <c r="J67" s="3634"/>
      <c r="K67" s="1332" t="s">
        <v>1390</v>
      </c>
      <c r="L67" s="1332"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34"/>
      <c r="K68" s="1332" t="s">
        <v>1392</v>
      </c>
      <c r="L68" s="1332" t="e">
        <f ca="1">IF(M49&gt;10000,M49*0.5%,IF(AND(M49&gt;5000,M49&lt;=10000),M49*1%,IF(AND(M49&gt;1000,M49&lt;=5000),M49*2%,IF(AND(M49&gt;200,M49&lt;=1000),M49*3%,M49*5%))))</f>
        <v>#REF!</v>
      </c>
      <c r="M68" s="302" t="e">
        <f ca="1">ROUND(L68,1)</f>
        <v>#REF!</v>
      </c>
      <c r="N68" s="2542"/>
      <c r="Z68" s="1752"/>
      <c r="AI68" s="1753"/>
    </row>
    <row r="69" spans="1:35" s="1772" customFormat="1" ht="16.5" customHeight="1">
      <c r="A69" s="1811"/>
      <c r="B69" s="1812"/>
      <c r="C69" s="1813"/>
      <c r="D69" s="1814"/>
      <c r="E69" s="1815"/>
      <c r="F69" s="1578"/>
      <c r="G69" s="1578"/>
      <c r="H69" s="1577"/>
      <c r="I69" s="1747"/>
      <c r="J69" s="3634"/>
      <c r="K69" s="1332" t="s">
        <v>1393</v>
      </c>
      <c r="L69" s="1332"/>
      <c r="M69" s="302" t="e">
        <f ca="1">ROUND(SUM(M63:M68),0)</f>
        <v>#REF!</v>
      </c>
      <c r="N69" s="2544" t="e">
        <f ca="1">M69/M49</f>
        <v>#REF!</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6" t="s">
        <v>1394</v>
      </c>
      <c r="B70" s="3597"/>
      <c r="C70" s="3597"/>
      <c r="D70" s="3597"/>
      <c r="E70" s="3597"/>
      <c r="F70" s="3597"/>
      <c r="G70" s="3597"/>
      <c r="H70" s="359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75" t="s">
        <v>1375</v>
      </c>
      <c r="B71" s="357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636" t="s">
        <v>2129</v>
      </c>
      <c r="H90" s="3637"/>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4" t="s">
        <v>1419</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4" t="s">
        <v>1422</v>
      </c>
      <c r="F92" s="3555"/>
      <c r="G92" s="3555"/>
      <c r="H92" s="356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4">
        <f>C4</f>
        <v>0</v>
      </c>
      <c r="D101" s="2585">
        <f>D4</f>
        <v>0</v>
      </c>
      <c r="E101" s="3631" t="s">
        <v>1431</v>
      </c>
      <c r="F101" s="3588"/>
      <c r="G101" s="1827" t="s">
        <v>1432</v>
      </c>
      <c r="H101" s="2594" t="e">
        <f ca="1">H118</f>
        <v>#REF!</v>
      </c>
      <c r="I101" s="129"/>
    </row>
    <row r="102" spans="1:35" ht="18.75" customHeight="1">
      <c r="A102" s="3590" t="s">
        <v>1433</v>
      </c>
      <c r="B102" s="2583" t="s">
        <v>1432</v>
      </c>
      <c r="C102" s="2584" t="e">
        <f ca="1">IF(D32="楼面单价",ROUND(C19,0),C19)</f>
        <v>#REF!</v>
      </c>
      <c r="D102" s="2585" t="e">
        <f ca="1">IF(D32="楼面单价",ROUND(D19,0),D19)</f>
        <v>#REF!</v>
      </c>
      <c r="E102" s="3631"/>
      <c r="F102" s="3588"/>
      <c r="G102" s="1827" t="s">
        <v>1434</v>
      </c>
      <c r="H102" s="2554" t="e">
        <f ca="1">I118</f>
        <v>#REF!</v>
      </c>
      <c r="I102" s="129"/>
    </row>
    <row r="103" spans="1:35" ht="42.75" customHeight="1">
      <c r="A103" s="3590"/>
      <c r="B103" s="2583" t="s">
        <v>1434</v>
      </c>
      <c r="C103" s="2586" t="e">
        <f ca="1">C20</f>
        <v>#REF!</v>
      </c>
      <c r="D103" s="2587" t="e">
        <f ca="1">D20</f>
        <v>#REF!</v>
      </c>
      <c r="E103" s="3625" t="s">
        <v>1435</v>
      </c>
      <c r="F103" s="3626"/>
      <c r="G103" s="1828" t="s">
        <v>1436</v>
      </c>
      <c r="H103" s="2594">
        <f>IF(D36="正常操作",H104+H105+H106,H105+H106)</f>
        <v>0</v>
      </c>
      <c r="I103" s="129"/>
    </row>
    <row r="104" spans="1:35" ht="18.75" customHeight="1">
      <c r="A104" s="3590"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91"/>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7" t="str">
        <f>IF(项目基本情况!E8="已注销","——","3.房地产抵押价值")</f>
        <v>3.房地产抵押价值</v>
      </c>
      <c r="F107" s="3588"/>
      <c r="G107" s="1827" t="s">
        <v>1432</v>
      </c>
      <c r="H107" s="2594" t="e">
        <f ca="1">IF(E107="——","——",H101-H103)</f>
        <v>#REF!</v>
      </c>
      <c r="I107" s="129"/>
    </row>
    <row r="108" spans="1:35" ht="18.75" customHeight="1">
      <c r="A108" s="129"/>
      <c r="B108" s="129"/>
      <c r="C108" s="129"/>
      <c r="D108" s="129"/>
      <c r="E108" s="3587"/>
      <c r="F108" s="3588"/>
      <c r="G108" s="1827" t="s">
        <v>1434</v>
      </c>
      <c r="H108" s="2554" t="e">
        <f ca="1">IF(H107=H101,H102,ROUND(H107*10000/'数据-汇总表'!E3,0))</f>
        <v>#REF!</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7" t="str">
        <f>IF(E109="——","——",H101-H105-H106)</f>
        <v>——</v>
      </c>
      <c r="I109" s="129"/>
    </row>
    <row r="110" spans="1:35" ht="18.75" customHeight="1">
      <c r="A110" s="129"/>
      <c r="B110" s="129"/>
      <c r="C110" s="129"/>
      <c r="D110" s="129"/>
      <c r="E110" s="3587"/>
      <c r="F110" s="3588"/>
      <c r="G110" s="1827" t="s">
        <v>1434</v>
      </c>
      <c r="H110" s="2554"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7" t="s">
        <v>1432</v>
      </c>
      <c r="H111" s="2594" t="str">
        <f>IF(E111="——","——",N59)</f>
        <v>——</v>
      </c>
      <c r="I111" s="129"/>
    </row>
    <row r="112" spans="1:35" ht="18.75" customHeight="1" thickBot="1">
      <c r="A112" s="129"/>
      <c r="B112" s="129"/>
      <c r="C112" s="129"/>
      <c r="D112" s="129"/>
      <c r="E112" s="3620"/>
      <c r="F112" s="3621"/>
      <c r="G112" s="1830" t="s">
        <v>1434</v>
      </c>
      <c r="H112" s="2598"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9" t="s">
        <v>1449</v>
      </c>
      <c r="E117" s="2329" t="s">
        <v>1450</v>
      </c>
      <c r="F117" s="2329" t="s">
        <v>1449</v>
      </c>
      <c r="G117" s="2329" t="s">
        <v>1451</v>
      </c>
      <c r="H117" s="2329" t="s">
        <v>1449</v>
      </c>
      <c r="I117" s="2329" t="s">
        <v>1451</v>
      </c>
    </row>
    <row r="118" spans="1:27" ht="24.75" customHeight="1">
      <c r="A118" s="2599" t="str">
        <f>项目基本情况!S2</f>
        <v>北京市东城区南竹杆胡同2号房地产</v>
      </c>
      <c r="B118" s="2329">
        <f>M18</f>
        <v>195.03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t="e">
        <f ca="1">ROUND(IF(D32="总价",C32,I118*B118/10000),0)</f>
        <v>#REF!</v>
      </c>
      <c r="I118" s="2329" t="e">
        <f ca="1">ROUND(IF(D32="楼面单价",C32,H118*10000/B118),0)</f>
        <v>#REF!</v>
      </c>
    </row>
    <row r="119" spans="1:27" ht="18.75" customHeight="1">
      <c r="A119" s="3558" t="s">
        <v>1452</v>
      </c>
      <c r="B119" s="3558"/>
      <c r="C119" s="3558"/>
      <c r="D119" s="3598" t="str">
        <f>NUMBERSTRING(INT(D118*10000),2)&amp;"元整"</f>
        <v>零元整</v>
      </c>
      <c r="E119" s="3600"/>
      <c r="F119" s="3598" t="str">
        <f>NUMBERSTRING(INT(F118*10000),2)&amp;"元整"</f>
        <v>零元整</v>
      </c>
      <c r="G119" s="3600"/>
      <c r="H119" s="3598" t="e">
        <f ca="1">NUMBERSTRING(INT(H118*10000),2)&amp;"元整"</f>
        <v>#REF!</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t="e">
        <f ca="1">H107</f>
        <v>#REF!</v>
      </c>
      <c r="E122" s="3623"/>
      <c r="F122" s="3623"/>
      <c r="G122" s="3623"/>
      <c r="H122" s="3623"/>
      <c r="I122" s="3624"/>
      <c r="AA122" s="725"/>
    </row>
    <row r="123" spans="1:27" ht="18.75" customHeight="1">
      <c r="A123" s="3558" t="s">
        <v>1452</v>
      </c>
      <c r="B123" s="3558"/>
      <c r="C123" s="3558"/>
      <c r="D123" s="3598" t="e">
        <f ca="1">NUMBERSTRING(INT(D122*10000),2)&amp;"元整"</f>
        <v>#REF!</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1452</v>
      </c>
      <c r="B127" s="3558"/>
      <c r="C127" s="3558"/>
      <c r="D127" s="3598" t="e">
        <f>NUMBERSTRING(INT(D126*10000),2)&amp;"元整"</f>
        <v>#VALUE!</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195.03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195.03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195.03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6.9999999999999999E-4</v>
      </c>
      <c r="D44" s="238"/>
      <c r="E44" s="238"/>
      <c r="F44" s="239"/>
      <c r="G44" s="3640"/>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v>
      </c>
      <c r="G50" s="247" t="s">
        <v>1557</v>
      </c>
    </row>
    <row r="51" spans="1:7" ht="16.5" customHeight="1">
      <c r="A51" s="255" t="s">
        <v>1558</v>
      </c>
      <c r="B51" s="210" t="s">
        <v>1559</v>
      </c>
      <c r="C51" s="232">
        <f ca="1">ROUND(C49*F50,0)</f>
        <v>0</v>
      </c>
      <c r="D51" s="232"/>
      <c r="E51" s="232"/>
      <c r="F51" s="264"/>
      <c r="G51" s="234" t="s">
        <v>1560</v>
      </c>
    </row>
    <row r="52" spans="1:7" s="208" customFormat="1" ht="16.8" thickBot="1">
      <c r="A52" s="265" t="s">
        <v>1561</v>
      </c>
      <c r="B52" s="266"/>
      <c r="C52" s="267">
        <f ca="1">C31+C51</f>
        <v>5</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北京市东城区南竹杆胡同2号房地产抵押价值预评估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10.4956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39006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39006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39006</v>
      </c>
      <c r="D10" s="845">
        <f ca="1">IF(B1="",'数据-汇总表'!E6,IF(INDIRECT("'数据-取费表'!c"&amp;$G$1)="住宅",INDIRECT("'数据-取费表'!s"&amp;$G$1),INDIRECT("'数据-取费表'!k"&amp;$G$1)+INDIRECT("'数据-取费表'!s"&amp;$G$1)))</f>
        <v>195.03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39006</v>
      </c>
      <c r="D19" s="849">
        <f ca="1">D9+D10</f>
        <v>195.03</v>
      </c>
      <c r="E19" s="211">
        <f>'数据-取费表'!B31</f>
        <v>200</v>
      </c>
      <c r="F19" s="231"/>
      <c r="G19" s="1856"/>
    </row>
    <row r="20" spans="1:7" s="214" customFormat="1" ht="13.5" customHeight="1">
      <c r="A20" s="255" t="s">
        <v>1574</v>
      </c>
      <c r="B20" s="210" t="s">
        <v>1575</v>
      </c>
      <c r="C20" s="232">
        <f ca="1">ROUND((C5+C19)*F20,0)</f>
        <v>1560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5366</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2657</v>
      </c>
      <c r="D24" s="238"/>
      <c r="E24" s="238"/>
      <c r="F24" s="239"/>
      <c r="G24" s="240" t="s">
        <v>1586</v>
      </c>
    </row>
    <row r="25" spans="1:7" s="214" customFormat="1" ht="24">
      <c r="A25" s="780" t="s">
        <v>1476</v>
      </c>
      <c r="B25" s="215" t="s">
        <v>1587</v>
      </c>
      <c r="C25" s="1128">
        <f ca="1">ROUND(IF('数据-取费表'!B22&lt;=1,C20*F22*'数据-取费表'!B22/2,C20*(POWER((1+F22),'数据-取费表'!B22/2)-1)),0)</f>
        <v>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11936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11936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104956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960523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877635</v>
      </c>
      <c r="D34" s="217"/>
      <c r="E34" s="220"/>
      <c r="F34" s="257"/>
      <c r="G34" s="219"/>
    </row>
    <row r="35" spans="1:7" ht="13.5" customHeight="1">
      <c r="A35" s="780" t="s">
        <v>351</v>
      </c>
      <c r="B35" s="215" t="s">
        <v>1527</v>
      </c>
      <c r="C35" s="220">
        <f ca="1">ROUND(C34*F35,0)</f>
        <v>26329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39006</v>
      </c>
      <c r="D37" s="217">
        <f ca="1">D19</f>
        <v>195.03</v>
      </c>
      <c r="E37" s="249">
        <f>'数据-取费表'!B35</f>
        <v>200</v>
      </c>
      <c r="F37" s="259"/>
      <c r="G37" s="261"/>
    </row>
    <row r="38" spans="1:7" ht="13.5" customHeight="1">
      <c r="A38" s="780" t="s">
        <v>354</v>
      </c>
      <c r="B38" s="215" t="s">
        <v>1533</v>
      </c>
      <c r="C38" s="220">
        <f ca="1">ROUND(C34*F38,0)</f>
        <v>17553</v>
      </c>
      <c r="D38" s="220"/>
      <c r="E38" s="220"/>
      <c r="F38" s="259">
        <f>'数据-取费表'!B36</f>
        <v>0.02</v>
      </c>
      <c r="G38" s="219" t="s">
        <v>1528</v>
      </c>
    </row>
    <row r="39" spans="1:7" s="214" customFormat="1" ht="13.5" customHeight="1">
      <c r="A39" s="255" t="s">
        <v>1534</v>
      </c>
      <c r="B39" s="210" t="s">
        <v>1535</v>
      </c>
      <c r="C39" s="232">
        <f ca="1">ROUND(C33*F20,0)</f>
        <v>19210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32822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32178</v>
      </c>
      <c r="D42" s="238"/>
      <c r="E42" s="238"/>
      <c r="F42" s="239"/>
      <c r="G42" s="3638" t="s">
        <v>1591</v>
      </c>
    </row>
    <row r="43" spans="1:7" ht="13.5" customHeight="1">
      <c r="A43" s="780" t="s">
        <v>347</v>
      </c>
      <c r="B43" s="215" t="s">
        <v>1545</v>
      </c>
      <c r="C43" s="238">
        <f ca="1">ROUND(IF('数据-取费表'!B22&lt;=1,C39*F22*'数据-取费表'!B20/2,C39*(POWER((1+F22),'数据-取费表'!B20/2)-1)),0)</f>
        <v>644</v>
      </c>
      <c r="D43" s="238"/>
      <c r="E43" s="238"/>
      <c r="F43" s="239"/>
      <c r="G43" s="3639"/>
    </row>
    <row r="44" spans="1:7" ht="13.5" customHeight="1">
      <c r="A44" s="780" t="s">
        <v>348</v>
      </c>
      <c r="B44" s="215" t="s">
        <v>1546</v>
      </c>
      <c r="C44" s="238">
        <f ca="1">ROUND(IF('数据-取费表'!B22&lt;=1,C40*F22*'数据-取费表'!B20/2,C40*(POWER((1+F22),'数据-取费表'!B20/2)-1)),4)</f>
        <v>6.9999999999999999E-4</v>
      </c>
      <c r="D44" s="238"/>
      <c r="E44" s="238"/>
      <c r="F44" s="239"/>
      <c r="G44" s="3640"/>
    </row>
    <row r="45" spans="1:7" s="214" customFormat="1" ht="13.5" customHeight="1">
      <c r="A45" s="255" t="s">
        <v>1547</v>
      </c>
      <c r="B45" s="244" t="s">
        <v>1513</v>
      </c>
      <c r="C45" s="245">
        <f ca="1">C46</f>
        <v>146960</v>
      </c>
      <c r="D45" s="235">
        <f ca="1">C47</f>
        <v>3.0000000000000001E-3</v>
      </c>
      <c r="E45" s="236" t="s">
        <v>1539</v>
      </c>
      <c r="F45" s="246">
        <f ca="1">F27</f>
        <v>0.15</v>
      </c>
      <c r="G45" s="247" t="s">
        <v>1548</v>
      </c>
    </row>
    <row r="46" spans="1:7" s="214" customFormat="1" ht="13.5" customHeight="1">
      <c r="A46" s="780" t="s">
        <v>346</v>
      </c>
      <c r="B46" s="248" t="s">
        <v>1549</v>
      </c>
      <c r="C46" s="249">
        <f ca="1">ROUND((C33+C39)*F27,0)</f>
        <v>146960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1256246</v>
      </c>
      <c r="D49" s="232"/>
      <c r="E49" s="232"/>
      <c r="F49" s="264"/>
      <c r="G49" s="234" t="s">
        <v>1554</v>
      </c>
    </row>
    <row r="50" spans="1:7" s="258" customFormat="1">
      <c r="A50" s="255" t="s">
        <v>1555</v>
      </c>
      <c r="B50" s="210" t="s">
        <v>1556</v>
      </c>
      <c r="C50" s="232"/>
      <c r="D50" s="232"/>
      <c r="E50" s="232"/>
      <c r="F50" s="264">
        <f>IF('数据-取费表'!B24=0,'数据-取费表'!N16,1)</f>
        <v>0</v>
      </c>
      <c r="G50" s="247"/>
    </row>
    <row r="51" spans="1:7" ht="16.5" customHeight="1">
      <c r="A51" s="255" t="s">
        <v>1558</v>
      </c>
      <c r="B51" s="210" t="s">
        <v>1593</v>
      </c>
      <c r="C51" s="232">
        <f ca="1">ROUND(C49*F50,0)</f>
        <v>0</v>
      </c>
      <c r="D51" s="232"/>
      <c r="E51" s="232"/>
      <c r="F51" s="264"/>
      <c r="G51" s="234" t="s">
        <v>1560</v>
      </c>
    </row>
    <row r="52" spans="1:7" s="208" customFormat="1" ht="16.8" thickBot="1">
      <c r="A52" s="265" t="s">
        <v>1561</v>
      </c>
      <c r="B52" s="266"/>
      <c r="C52" s="267">
        <f ca="1">C31+C51</f>
        <v>104956</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-256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195.03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195.03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195.03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2109</v>
      </c>
      <c r="E6" s="302" t="s">
        <v>696</v>
      </c>
      <c r="F6" s="303">
        <f ca="1">INDIRECT("'数据-取费表'!u"&amp;$G$1)</f>
        <v>0</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0</v>
      </c>
      <c r="D6" s="155" t="s">
        <v>2106</v>
      </c>
      <c r="E6" s="302" t="s">
        <v>696</v>
      </c>
      <c r="F6" s="303">
        <f ca="1">INDIRECT("'数据-取费表'!u"&amp;$G$1)</f>
        <v>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52" t="s">
        <v>2319</v>
      </c>
      <c r="K2" s="3653"/>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54" t="s">
        <v>2329</v>
      </c>
      <c r="K3" s="3655"/>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54" t="s">
        <v>2331</v>
      </c>
      <c r="K4" s="3655"/>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60" t="s">
        <v>2335</v>
      </c>
      <c r="B6" s="3661"/>
      <c r="C6" s="3662"/>
      <c r="D6" s="2869"/>
      <c r="E6" s="2870"/>
      <c r="F6" s="2871"/>
      <c r="G6" s="2872"/>
      <c r="H6" s="2847"/>
      <c r="I6" s="2848"/>
      <c r="J6" s="3646">
        <v>1</v>
      </c>
      <c r="K6" s="3647"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46"/>
      <c r="K7" s="3648"/>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63" t="s">
        <v>2349</v>
      </c>
      <c r="C8" s="3664"/>
      <c r="D8" s="2888" t="s">
        <v>2350</v>
      </c>
      <c r="E8" s="2889" t="s">
        <v>2351</v>
      </c>
      <c r="F8" s="2890" t="s">
        <v>2352</v>
      </c>
      <c r="G8" s="2891"/>
      <c r="H8" s="2847"/>
      <c r="I8" s="2848"/>
      <c r="J8" s="3646"/>
      <c r="K8" s="3648"/>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63" t="s">
        <v>2355</v>
      </c>
      <c r="C9" s="3664"/>
      <c r="D9" s="2888">
        <f>ROUND(D6*E9,0)</f>
        <v>0</v>
      </c>
      <c r="E9" s="2892"/>
      <c r="F9" s="2893" t="s">
        <v>2356</v>
      </c>
      <c r="G9" s="2872"/>
      <c r="H9" s="2847"/>
      <c r="I9" s="2848"/>
      <c r="J9" s="3646"/>
      <c r="K9" s="3648"/>
      <c r="L9" s="2882" t="s">
        <v>2357</v>
      </c>
      <c r="M9" s="2883"/>
      <c r="N9" s="2859"/>
      <c r="O9" s="2884"/>
      <c r="P9" s="2884"/>
      <c r="Q9" s="2885">
        <v>365</v>
      </c>
      <c r="R9" s="2886">
        <f t="shared" si="0"/>
        <v>0</v>
      </c>
      <c r="S9" s="2840"/>
      <c r="T9" s="2840"/>
      <c r="U9" s="2840"/>
      <c r="V9" s="2848"/>
    </row>
    <row r="10" spans="1:22" s="2852" customFormat="1" ht="13.2" customHeight="1">
      <c r="A10" s="2887">
        <v>2</v>
      </c>
      <c r="B10" s="3663" t="s">
        <v>2358</v>
      </c>
      <c r="C10" s="3664"/>
      <c r="D10" s="2888">
        <f>ROUND(D6*E10,0)</f>
        <v>0</v>
      </c>
      <c r="E10" s="2892"/>
      <c r="F10" s="2893" t="s">
        <v>2359</v>
      </c>
      <c r="G10" s="2872"/>
      <c r="H10" s="2847"/>
      <c r="I10" s="2848"/>
      <c r="J10" s="3646"/>
      <c r="K10" s="3648"/>
      <c r="L10" s="2882" t="s">
        <v>2360</v>
      </c>
      <c r="M10" s="2883"/>
      <c r="N10" s="2859"/>
      <c r="O10" s="2884"/>
      <c r="P10" s="2884"/>
      <c r="Q10" s="2885">
        <v>365</v>
      </c>
      <c r="R10" s="2886">
        <f t="shared" si="0"/>
        <v>0</v>
      </c>
      <c r="S10" s="2840"/>
      <c r="T10" s="2840"/>
      <c r="U10" s="2840"/>
      <c r="V10" s="2848"/>
    </row>
    <row r="11" spans="1:22" s="2852" customFormat="1" ht="13.2" customHeight="1">
      <c r="A11" s="2887">
        <v>3</v>
      </c>
      <c r="B11" s="3663" t="s">
        <v>2361</v>
      </c>
      <c r="C11" s="3664"/>
      <c r="D11" s="2888">
        <f>D12+D14+D15+D16</f>
        <v>0</v>
      </c>
      <c r="E11" s="2894" t="e">
        <f>D11/D6</f>
        <v>#DIV/0!</v>
      </c>
      <c r="F11" s="2890"/>
      <c r="G11" s="2891"/>
      <c r="H11" s="2847"/>
      <c r="I11" s="2848"/>
      <c r="J11" s="3646"/>
      <c r="K11" s="3648"/>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56" t="s">
        <v>2364</v>
      </c>
      <c r="C12" s="3657"/>
      <c r="D12" s="2896">
        <f>ROUND(D13*1.2%*(1-30%),0)</f>
        <v>0</v>
      </c>
      <c r="E12" s="2897">
        <v>1.2E-2</v>
      </c>
      <c r="F12" s="2890" t="s">
        <v>2365</v>
      </c>
      <c r="G12" s="2891"/>
      <c r="H12" s="2847"/>
      <c r="I12" s="2848"/>
      <c r="J12" s="3646"/>
      <c r="K12" s="3648"/>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46"/>
      <c r="K13" s="3648"/>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56" t="s">
        <v>2370</v>
      </c>
      <c r="C14" s="3657"/>
      <c r="D14" s="2896">
        <f>ROUND(E14*B5/10000,0)</f>
        <v>0</v>
      </c>
      <c r="E14" s="2885"/>
      <c r="F14" s="2890" t="s">
        <v>2371</v>
      </c>
      <c r="G14" s="2891"/>
      <c r="H14" s="2847"/>
      <c r="I14" s="2848"/>
      <c r="J14" s="3646"/>
      <c r="K14" s="3649"/>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56" t="s">
        <v>2374</v>
      </c>
      <c r="C15" s="3657"/>
      <c r="D15" s="2896">
        <f>ROUND(D6*E15,0)</f>
        <v>0</v>
      </c>
      <c r="E15" s="2897">
        <v>5.5E-2</v>
      </c>
      <c r="F15" s="2890" t="s">
        <v>2375</v>
      </c>
      <c r="G15" s="2872"/>
      <c r="H15" s="2847"/>
      <c r="I15" s="2848"/>
      <c r="J15" s="3646">
        <v>2</v>
      </c>
      <c r="K15" s="3647"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56" t="s">
        <v>2383</v>
      </c>
      <c r="C16" s="3657"/>
      <c r="D16" s="2907">
        <f>D6*E16</f>
        <v>0</v>
      </c>
      <c r="E16" s="2908"/>
      <c r="F16" s="2893" t="s">
        <v>2384</v>
      </c>
      <c r="G16" s="2872"/>
      <c r="H16" s="2847"/>
      <c r="I16" s="2848"/>
      <c r="J16" s="3646"/>
      <c r="K16" s="3648"/>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58" t="s">
        <v>2386</v>
      </c>
      <c r="C17" s="3659"/>
      <c r="D17" s="2910">
        <f>ROUND(D6*E17,0)</f>
        <v>0</v>
      </c>
      <c r="E17" s="2911"/>
      <c r="F17" s="2912" t="s">
        <v>2387</v>
      </c>
      <c r="G17" s="2872"/>
      <c r="H17" s="2847"/>
      <c r="I17" s="2848"/>
      <c r="J17" s="3646"/>
      <c r="K17" s="3648"/>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46"/>
      <c r="K18" s="3648"/>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46"/>
      <c r="K19" s="3649"/>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6">
        <v>3</v>
      </c>
      <c r="K20" s="3647"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46"/>
      <c r="K21" s="3648"/>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46"/>
      <c r="K22" s="3648"/>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46"/>
      <c r="K23" s="3648"/>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46"/>
      <c r="K24" s="3649"/>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50">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51"/>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52" t="s">
        <v>2319</v>
      </c>
      <c r="K32" s="3653"/>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54" t="s">
        <v>2329</v>
      </c>
      <c r="K33" s="3655"/>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54" t="s">
        <v>2331</v>
      </c>
      <c r="K34" s="3655"/>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46">
        <v>1</v>
      </c>
      <c r="K36" s="3647"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46"/>
      <c r="K37" s="3648"/>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6"/>
      <c r="K38" s="3648"/>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46"/>
      <c r="K39" s="3648"/>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46"/>
      <c r="K40" s="3649"/>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50">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51"/>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6">
        <f>SUM(E6:E13)</f>
        <v>195.03</v>
      </c>
      <c r="F2" s="2706"/>
      <c r="G2" s="1489"/>
      <c r="H2" s="1489"/>
      <c r="I2" s="1489"/>
      <c r="J2" s="1489"/>
      <c r="K2" s="1489"/>
      <c r="L2" s="1489"/>
      <c r="M2" s="1489"/>
      <c r="N2" s="1489"/>
      <c r="O2" s="1489"/>
      <c r="P2" s="1489"/>
      <c r="Q2" s="1489"/>
      <c r="R2" s="1489"/>
      <c r="S2" s="1489"/>
    </row>
    <row r="3" spans="1:22" ht="15.6">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65" t="s">
        <v>1654</v>
      </c>
      <c r="C5" s="3666"/>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t="e">
        <f ca="1">IF(F6="是",'数据-取费表'!AO6,0)</f>
        <v>#DIV/0!</v>
      </c>
      <c r="C6" s="1872" t="s">
        <v>1651</v>
      </c>
      <c r="D6" s="2708"/>
      <c r="E6" s="2605">
        <f>IF(OR(A6=0,F6="否"),0,'数据-取费表'!K6+'数据-取费表'!S6)</f>
        <v>195.03</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195.03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85" t="s">
        <v>1667</v>
      </c>
      <c r="D4" s="3686"/>
      <c r="E4" s="3687" t="s">
        <v>1668</v>
      </c>
      <c r="F4" s="3688"/>
      <c r="G4" s="3685" t="s">
        <v>1669</v>
      </c>
      <c r="H4" s="3686"/>
      <c r="I4" s="3685" t="s">
        <v>1670</v>
      </c>
      <c r="J4" s="3686"/>
      <c r="K4" s="1889" t="s">
        <v>1671</v>
      </c>
      <c r="L4" s="2714"/>
      <c r="M4" s="2715"/>
      <c r="N4" s="2715"/>
      <c r="O4" s="2715"/>
      <c r="P4" s="3689" t="s">
        <v>1672</v>
      </c>
      <c r="Q4" s="3690"/>
      <c r="R4" s="3695" t="s">
        <v>1668</v>
      </c>
      <c r="S4" s="3696"/>
      <c r="T4" s="3695" t="s">
        <v>1669</v>
      </c>
      <c r="U4" s="3696"/>
      <c r="V4" s="3701" t="s">
        <v>1670</v>
      </c>
      <c r="W4" s="3701"/>
      <c r="X4" s="1355"/>
      <c r="Y4" s="3695" t="s">
        <v>1672</v>
      </c>
      <c r="Z4" s="3696"/>
      <c r="AA4" s="3682" t="s">
        <v>1668</v>
      </c>
      <c r="AB4" s="3682" t="s">
        <v>1669</v>
      </c>
      <c r="AC4" s="3682" t="s">
        <v>1670</v>
      </c>
    </row>
    <row r="5" spans="1:29">
      <c r="A5" s="358"/>
      <c r="B5" s="359"/>
      <c r="C5" s="3704" t="s">
        <v>1673</v>
      </c>
      <c r="D5" s="3705"/>
      <c r="E5" s="3711" t="s">
        <v>1674</v>
      </c>
      <c r="F5" s="3712"/>
      <c r="G5" s="3704" t="s">
        <v>1675</v>
      </c>
      <c r="H5" s="3705"/>
      <c r="I5" s="3704" t="s">
        <v>1676</v>
      </c>
      <c r="J5" s="3705"/>
      <c r="K5" s="1890"/>
      <c r="L5" s="2714"/>
      <c r="M5" s="2715"/>
      <c r="N5" s="2715"/>
      <c r="O5" s="2715"/>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1890" t="s">
        <v>1678</v>
      </c>
      <c r="L6" s="2714"/>
      <c r="M6" s="2715"/>
      <c r="N6" s="2715"/>
      <c r="O6" s="2715"/>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6" t="s">
        <v>1680</v>
      </c>
      <c r="Q7" s="3708"/>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1"/>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1"/>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1"/>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1"/>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9" t="s">
        <v>1691</v>
      </c>
      <c r="Q15" s="1352" t="str">
        <f t="shared" si="6"/>
        <v>居住社区成熟度</v>
      </c>
      <c r="R15" s="705" t="s">
        <v>18</v>
      </c>
      <c r="S15" s="706">
        <f t="shared" si="0"/>
        <v>100</v>
      </c>
      <c r="T15" s="705" t="s">
        <v>18</v>
      </c>
      <c r="U15" s="706">
        <f t="shared" si="1"/>
        <v>100</v>
      </c>
      <c r="V15" s="705" t="s">
        <v>18</v>
      </c>
      <c r="W15" s="706">
        <f t="shared" si="2"/>
        <v>100</v>
      </c>
      <c r="X15" s="1355"/>
      <c r="Y15" s="36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0"/>
      <c r="Q16" s="1352"/>
      <c r="R16" s="705"/>
      <c r="S16" s="706"/>
      <c r="T16" s="705"/>
      <c r="U16" s="706"/>
      <c r="V16" s="705"/>
      <c r="W16" s="706"/>
      <c r="X16" s="1355"/>
      <c r="Y16" s="367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0"/>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0"/>
      <c r="Q18" s="1352"/>
      <c r="R18" s="705"/>
      <c r="S18" s="706"/>
      <c r="T18" s="705"/>
      <c r="U18" s="706"/>
      <c r="V18" s="705"/>
      <c r="W18" s="706"/>
      <c r="X18" s="1355"/>
      <c r="Y18" s="367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0"/>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0"/>
      <c r="Q20" s="1352"/>
      <c r="R20" s="705"/>
      <c r="S20" s="706"/>
      <c r="T20" s="705"/>
      <c r="U20" s="706"/>
      <c r="V20" s="705"/>
      <c r="W20" s="706"/>
      <c r="X20" s="1355"/>
      <c r="Y20" s="367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0"/>
      <c r="Q22" s="1352"/>
      <c r="R22" s="705"/>
      <c r="S22" s="706"/>
      <c r="T22" s="705"/>
      <c r="U22" s="706"/>
      <c r="V22" s="705"/>
      <c r="W22" s="706"/>
      <c r="X22" s="1355"/>
      <c r="Y22" s="367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0"/>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0"/>
      <c r="Q24" s="1352"/>
      <c r="R24" s="705"/>
      <c r="S24" s="706"/>
      <c r="T24" s="705"/>
      <c r="U24" s="706"/>
      <c r="V24" s="705"/>
      <c r="W24" s="706"/>
      <c r="X24" s="1355"/>
      <c r="Y24" s="36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0"/>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0"/>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0"/>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0"/>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0"/>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0"/>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4" t="s">
        <v>1696</v>
      </c>
      <c r="Q32" s="1352" t="str">
        <f t="shared" si="11"/>
        <v>建筑类型</v>
      </c>
      <c r="R32" s="705" t="s">
        <v>18</v>
      </c>
      <c r="S32" s="706">
        <f t="shared" si="12"/>
        <v>100</v>
      </c>
      <c r="T32" s="705" t="s">
        <v>18</v>
      </c>
      <c r="U32" s="706">
        <f t="shared" si="13"/>
        <v>100</v>
      </c>
      <c r="V32" s="705" t="s">
        <v>18</v>
      </c>
      <c r="W32" s="706">
        <f t="shared" si="14"/>
        <v>100</v>
      </c>
      <c r="X32" s="1355"/>
      <c r="Y32" s="367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5"/>
      <c r="Q37" s="1343"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5" t="s">
        <v>1696</v>
      </c>
      <c r="Q38" s="1352" t="str">
        <f t="shared" si="11"/>
        <v>物业管理</v>
      </c>
      <c r="R38" s="705" t="s">
        <v>18</v>
      </c>
      <c r="S38" s="706">
        <f t="shared" si="12"/>
        <v>100</v>
      </c>
      <c r="T38" s="705" t="s">
        <v>18</v>
      </c>
      <c r="U38" s="706">
        <f t="shared" si="13"/>
        <v>100</v>
      </c>
      <c r="V38" s="705" t="s">
        <v>18</v>
      </c>
      <c r="W38" s="706">
        <f t="shared" si="14"/>
        <v>100</v>
      </c>
      <c r="X38" s="1355"/>
      <c r="Y38" s="36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5"/>
      <c r="Q42" s="1352" t="str">
        <f t="shared" si="11"/>
        <v>内部装修</v>
      </c>
      <c r="R42" s="705" t="s">
        <v>18</v>
      </c>
      <c r="S42" s="706">
        <f t="shared" si="12"/>
        <v>100</v>
      </c>
      <c r="T42" s="705" t="s">
        <v>18</v>
      </c>
      <c r="U42" s="706">
        <f t="shared" si="13"/>
        <v>100</v>
      </c>
      <c r="V42" s="705" t="s">
        <v>18</v>
      </c>
      <c r="W42" s="706">
        <f t="shared" si="14"/>
        <v>100</v>
      </c>
      <c r="X42" s="1355"/>
      <c r="Y42" s="367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70" t="str">
        <f>A47</f>
        <v>成交单价（元/平方米）</v>
      </c>
      <c r="Q47" s="3670"/>
      <c r="R47" s="3671">
        <f>E47</f>
        <v>0</v>
      </c>
      <c r="S47" s="3671"/>
      <c r="T47" s="3671">
        <f>G47</f>
        <v>0</v>
      </c>
      <c r="U47" s="3671"/>
      <c r="V47" s="3671">
        <f>I47</f>
        <v>0</v>
      </c>
      <c r="W47" s="3671"/>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195.03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701" t="s">
        <v>1772</v>
      </c>
      <c r="AC4" s="3682" t="s">
        <v>1773</v>
      </c>
    </row>
    <row r="5" spans="1:29">
      <c r="A5" s="358"/>
      <c r="B5" s="359"/>
      <c r="C5" s="3704" t="s">
        <v>1673</v>
      </c>
      <c r="D5" s="3705"/>
      <c r="E5" s="3711" t="s">
        <v>1674</v>
      </c>
      <c r="F5" s="3712"/>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701"/>
      <c r="AC5" s="3683"/>
    </row>
    <row r="6" spans="1:29" ht="15" thickBot="1">
      <c r="A6" s="360"/>
      <c r="B6" s="361"/>
      <c r="C6" s="3702" t="s">
        <v>1677</v>
      </c>
      <c r="D6" s="3703"/>
      <c r="E6" s="3709" t="s">
        <v>1677</v>
      </c>
      <c r="F6" s="3710"/>
      <c r="G6" s="3702" t="s">
        <v>1677</v>
      </c>
      <c r="H6" s="3703"/>
      <c r="I6" s="3702" t="s">
        <v>1677</v>
      </c>
      <c r="J6" s="3703"/>
      <c r="K6" s="559" t="s">
        <v>1678</v>
      </c>
      <c r="L6" s="2714"/>
      <c r="M6" s="2715"/>
      <c r="N6" s="2715"/>
      <c r="O6" s="2715"/>
      <c r="P6" s="3693"/>
      <c r="Q6" s="3694"/>
      <c r="R6" s="3697"/>
      <c r="S6" s="3698"/>
      <c r="T6" s="3699"/>
      <c r="U6" s="3700"/>
      <c r="V6" s="3701"/>
      <c r="W6" s="3701"/>
      <c r="X6" s="1355"/>
      <c r="Y6" s="3699"/>
      <c r="Z6" s="3700"/>
      <c r="AA6" s="3684"/>
      <c r="AB6" s="3701"/>
      <c r="AC6" s="3684"/>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1"/>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9" t="s">
        <v>1691</v>
      </c>
      <c r="Q15" s="1352" t="str">
        <f t="shared" si="6"/>
        <v>商业繁华度</v>
      </c>
      <c r="R15" s="705" t="s">
        <v>14</v>
      </c>
      <c r="S15" s="706">
        <f t="shared" si="0"/>
        <v>100</v>
      </c>
      <c r="T15" s="705" t="s">
        <v>14</v>
      </c>
      <c r="U15" s="706">
        <f t="shared" si="1"/>
        <v>100</v>
      </c>
      <c r="V15" s="705" t="s">
        <v>14</v>
      </c>
      <c r="W15" s="706">
        <f t="shared" si="2"/>
        <v>100</v>
      </c>
      <c r="X15" s="1355"/>
      <c r="Y15" s="36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0"/>
      <c r="Q16" s="1352"/>
      <c r="R16" s="705"/>
      <c r="S16" s="706"/>
      <c r="T16" s="705"/>
      <c r="U16" s="706"/>
      <c r="V16" s="705"/>
      <c r="W16" s="706"/>
      <c r="X16" s="1355"/>
      <c r="Y16" s="367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0"/>
      <c r="Q18" s="1352"/>
      <c r="R18" s="705"/>
      <c r="S18" s="706"/>
      <c r="T18" s="705"/>
      <c r="U18" s="706"/>
      <c r="V18" s="705"/>
      <c r="W18" s="706"/>
      <c r="X18" s="1355"/>
      <c r="Y18" s="367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0"/>
      <c r="Q20" s="1352"/>
      <c r="R20" s="705"/>
      <c r="S20" s="706"/>
      <c r="T20" s="705"/>
      <c r="U20" s="706"/>
      <c r="V20" s="705"/>
      <c r="W20" s="706"/>
      <c r="X20" s="1355"/>
      <c r="Y20" s="367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0"/>
      <c r="Q22" s="1352"/>
      <c r="R22" s="705"/>
      <c r="S22" s="706"/>
      <c r="T22" s="705"/>
      <c r="U22" s="706"/>
      <c r="V22" s="705"/>
      <c r="W22" s="706"/>
      <c r="X22" s="1355"/>
      <c r="Y22" s="367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0"/>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0"/>
      <c r="Q24" s="1352"/>
      <c r="R24" s="705"/>
      <c r="S24" s="706"/>
      <c r="T24" s="705"/>
      <c r="U24" s="706"/>
      <c r="V24" s="705"/>
      <c r="W24" s="706"/>
      <c r="X24" s="1355"/>
      <c r="Y24" s="36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0"/>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0"/>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0"/>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0"/>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4" t="s">
        <v>1696</v>
      </c>
      <c r="Q32" s="1352" t="str">
        <f t="shared" si="11"/>
        <v>商业类型</v>
      </c>
      <c r="R32" s="705" t="s">
        <v>14</v>
      </c>
      <c r="S32" s="706">
        <f t="shared" si="12"/>
        <v>100</v>
      </c>
      <c r="T32" s="705" t="s">
        <v>14</v>
      </c>
      <c r="U32" s="706">
        <f t="shared" si="13"/>
        <v>100</v>
      </c>
      <c r="V32" s="705" t="s">
        <v>14</v>
      </c>
      <c r="W32" s="706">
        <f t="shared" si="14"/>
        <v>100</v>
      </c>
      <c r="X32" s="1355"/>
      <c r="Y32" s="36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5" t="s">
        <v>1696</v>
      </c>
      <c r="Q38" s="1352" t="str">
        <f t="shared" si="11"/>
        <v>业态</v>
      </c>
      <c r="R38" s="705" t="s">
        <v>14</v>
      </c>
      <c r="S38" s="706">
        <f t="shared" si="12"/>
        <v>100</v>
      </c>
      <c r="T38" s="705" t="s">
        <v>14</v>
      </c>
      <c r="U38" s="706">
        <f t="shared" si="13"/>
        <v>100</v>
      </c>
      <c r="V38" s="705" t="s">
        <v>14</v>
      </c>
      <c r="W38" s="706">
        <f t="shared" si="14"/>
        <v>100</v>
      </c>
      <c r="X38" s="1355"/>
      <c r="Y38" s="36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195.03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85" t="s">
        <v>1770</v>
      </c>
      <c r="D4" s="3686"/>
      <c r="E4" s="3687" t="s">
        <v>1771</v>
      </c>
      <c r="F4" s="3688"/>
      <c r="G4" s="3685" t="s">
        <v>1772</v>
      </c>
      <c r="H4" s="3686"/>
      <c r="I4" s="3685" t="s">
        <v>1773</v>
      </c>
      <c r="J4" s="3686"/>
      <c r="K4" s="559" t="s">
        <v>1774</v>
      </c>
      <c r="L4" s="2714"/>
      <c r="M4" s="2715"/>
      <c r="N4" s="2715"/>
      <c r="O4" s="2715"/>
      <c r="P4" s="3719" t="s">
        <v>1775</v>
      </c>
      <c r="Q4" s="3720"/>
      <c r="R4" s="3723" t="s">
        <v>1771</v>
      </c>
      <c r="S4" s="3724"/>
      <c r="T4" s="3723" t="s">
        <v>1772</v>
      </c>
      <c r="U4" s="3724"/>
      <c r="V4" s="3725" t="s">
        <v>1773</v>
      </c>
      <c r="W4" s="3725"/>
      <c r="X4" s="1958"/>
      <c r="Y4" s="3723" t="s">
        <v>1775</v>
      </c>
      <c r="Z4" s="3724"/>
      <c r="AA4" s="3727" t="s">
        <v>1771</v>
      </c>
      <c r="AB4" s="3727" t="s">
        <v>1772</v>
      </c>
      <c r="AC4" s="3716" t="s">
        <v>1773</v>
      </c>
    </row>
    <row r="5" spans="1:29">
      <c r="A5" s="358"/>
      <c r="B5" s="359"/>
      <c r="C5" s="3704" t="s">
        <v>1673</v>
      </c>
      <c r="D5" s="3705"/>
      <c r="E5" s="3711" t="s">
        <v>1674</v>
      </c>
      <c r="F5" s="3712"/>
      <c r="G5" s="3704" t="s">
        <v>1675</v>
      </c>
      <c r="H5" s="3705"/>
      <c r="I5" s="3704" t="s">
        <v>1676</v>
      </c>
      <c r="J5" s="3705"/>
      <c r="K5" s="559"/>
      <c r="L5" s="2714"/>
      <c r="M5" s="2715"/>
      <c r="N5" s="2715"/>
      <c r="O5" s="2715"/>
      <c r="P5" s="3721"/>
      <c r="Q5" s="3692"/>
      <c r="R5" s="3697"/>
      <c r="S5" s="3698"/>
      <c r="T5" s="3697"/>
      <c r="U5" s="3698"/>
      <c r="V5" s="3701"/>
      <c r="W5" s="3701"/>
      <c r="X5" s="1355"/>
      <c r="Y5" s="3697"/>
      <c r="Z5" s="3698"/>
      <c r="AA5" s="3683"/>
      <c r="AB5" s="3683"/>
      <c r="AC5" s="3717"/>
    </row>
    <row r="6" spans="1:29" ht="15" thickBot="1">
      <c r="A6" s="360"/>
      <c r="B6" s="361"/>
      <c r="C6" s="3702" t="s">
        <v>1677</v>
      </c>
      <c r="D6" s="3703"/>
      <c r="E6" s="3709" t="s">
        <v>1677</v>
      </c>
      <c r="F6" s="3710"/>
      <c r="G6" s="3702" t="s">
        <v>1677</v>
      </c>
      <c r="H6" s="3703"/>
      <c r="I6" s="3702" t="s">
        <v>1677</v>
      </c>
      <c r="J6" s="3703"/>
      <c r="K6" s="559" t="s">
        <v>1678</v>
      </c>
      <c r="L6" s="2714"/>
      <c r="M6" s="2715"/>
      <c r="N6" s="2715"/>
      <c r="O6" s="2715"/>
      <c r="P6" s="3722"/>
      <c r="Q6" s="3694"/>
      <c r="R6" s="3697"/>
      <c r="S6" s="3698"/>
      <c r="T6" s="3699"/>
      <c r="U6" s="3700"/>
      <c r="V6" s="3701"/>
      <c r="W6" s="3701"/>
      <c r="X6" s="1355"/>
      <c r="Y6" s="3699"/>
      <c r="Z6" s="3700"/>
      <c r="AA6" s="3684"/>
      <c r="AB6" s="3684"/>
      <c r="AC6" s="3718"/>
    </row>
    <row r="7" spans="1:29" s="108" customFormat="1" ht="15" thickBot="1">
      <c r="A7" s="362" t="s">
        <v>1679</v>
      </c>
      <c r="B7" s="363"/>
      <c r="C7" s="364">
        <f>'数据-取费表'!B2</f>
        <v>45539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6"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1"/>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9" t="s">
        <v>1691</v>
      </c>
      <c r="Q15" s="1352" t="str">
        <f t="shared" si="6"/>
        <v>办公集聚程度</v>
      </c>
      <c r="R15" s="705" t="s">
        <v>14</v>
      </c>
      <c r="S15" s="706">
        <f t="shared" si="0"/>
        <v>100</v>
      </c>
      <c r="T15" s="705" t="s">
        <v>14</v>
      </c>
      <c r="U15" s="706">
        <f t="shared" si="1"/>
        <v>100</v>
      </c>
      <c r="V15" s="705" t="s">
        <v>14</v>
      </c>
      <c r="W15" s="706">
        <f t="shared" si="2"/>
        <v>100</v>
      </c>
      <c r="X15" s="1355"/>
      <c r="Y15" s="367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80"/>
      <c r="Q16" s="1352"/>
      <c r="R16" s="705"/>
      <c r="S16" s="706"/>
      <c r="T16" s="705"/>
      <c r="U16" s="706"/>
      <c r="V16" s="705"/>
      <c r="W16" s="706"/>
      <c r="X16" s="1355"/>
      <c r="Y16" s="367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80"/>
      <c r="Q18" s="1352"/>
      <c r="R18" s="705"/>
      <c r="S18" s="706"/>
      <c r="T18" s="705"/>
      <c r="U18" s="706"/>
      <c r="V18" s="705"/>
      <c r="W18" s="706"/>
      <c r="X18" s="1355"/>
      <c r="Y18" s="367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80"/>
      <c r="Q20" s="1352"/>
      <c r="R20" s="705"/>
      <c r="S20" s="706"/>
      <c r="T20" s="705"/>
      <c r="U20" s="706"/>
      <c r="V20" s="705"/>
      <c r="W20" s="706"/>
      <c r="X20" s="1355"/>
      <c r="Y20" s="367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80"/>
      <c r="Q22" s="1352"/>
      <c r="R22" s="705"/>
      <c r="S22" s="706"/>
      <c r="T22" s="705"/>
      <c r="U22" s="706"/>
      <c r="V22" s="705"/>
      <c r="W22" s="706"/>
      <c r="X22" s="1355"/>
      <c r="Y22" s="367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0"/>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80"/>
      <c r="Q24" s="1352"/>
      <c r="R24" s="705"/>
      <c r="S24" s="706"/>
      <c r="T24" s="705"/>
      <c r="U24" s="706"/>
      <c r="V24" s="705"/>
      <c r="W24" s="706"/>
      <c r="X24" s="1355"/>
      <c r="Y24" s="367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0"/>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0"/>
      <c r="Q26" s="1352"/>
      <c r="R26" s="705"/>
      <c r="S26" s="706"/>
      <c r="T26" s="705"/>
      <c r="U26" s="706"/>
      <c r="V26" s="705"/>
      <c r="W26" s="706"/>
      <c r="X26" s="1355"/>
      <c r="Y26" s="367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0"/>
      <c r="Q27" s="1352" t="str">
        <f t="shared" ref="Q27:Q47" si="11">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0"/>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0"/>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74" t="s">
        <v>1696</v>
      </c>
      <c r="Q33" s="1352" t="str">
        <f t="shared" si="11"/>
        <v>建筑类型</v>
      </c>
      <c r="R33" s="705" t="s">
        <v>14</v>
      </c>
      <c r="S33" s="706">
        <f t="shared" si="12"/>
        <v>100</v>
      </c>
      <c r="T33" s="705" t="s">
        <v>14</v>
      </c>
      <c r="U33" s="706">
        <f t="shared" si="13"/>
        <v>100</v>
      </c>
      <c r="V33" s="705" t="s">
        <v>14</v>
      </c>
      <c r="W33" s="706">
        <f t="shared" si="14"/>
        <v>100</v>
      </c>
      <c r="X33" s="1355"/>
      <c r="Y33" s="367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5"/>
      <c r="Q37" s="1352" t="str">
        <f t="shared" si="11"/>
        <v>成新度</v>
      </c>
      <c r="R37" s="705" t="s">
        <v>14</v>
      </c>
      <c r="S37" s="706" t="e">
        <f t="shared" si="12"/>
        <v>#N/A</v>
      </c>
      <c r="T37" s="705" t="s">
        <v>14</v>
      </c>
      <c r="U37" s="706" t="e">
        <f t="shared" si="13"/>
        <v>#N/A</v>
      </c>
      <c r="V37" s="705" t="s">
        <v>14</v>
      </c>
      <c r="W37" s="706" t="e">
        <f t="shared" si="14"/>
        <v>#N/A</v>
      </c>
      <c r="X37" s="1355"/>
      <c r="Y37" s="367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5" t="s">
        <v>1696</v>
      </c>
      <c r="Q39" s="1352" t="str">
        <f t="shared" si="11"/>
        <v>物业管理</v>
      </c>
      <c r="R39" s="705" t="s">
        <v>14</v>
      </c>
      <c r="S39" s="706">
        <f t="shared" si="12"/>
        <v>100</v>
      </c>
      <c r="T39" s="705" t="s">
        <v>14</v>
      </c>
      <c r="U39" s="706">
        <f t="shared" si="13"/>
        <v>100</v>
      </c>
      <c r="V39" s="705" t="s">
        <v>14</v>
      </c>
      <c r="W39" s="706">
        <f t="shared" si="14"/>
        <v>100</v>
      </c>
      <c r="X39" s="1355"/>
      <c r="Y39" s="367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195.03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1" t="s">
        <v>1674</v>
      </c>
      <c r="F5" s="3712"/>
      <c r="G5" s="3704" t="s">
        <v>1675</v>
      </c>
      <c r="H5" s="3705"/>
      <c r="I5" s="3704" t="s">
        <v>1676</v>
      </c>
      <c r="J5" s="3705"/>
      <c r="K5" s="559"/>
      <c r="L5" s="913"/>
      <c r="M5" s="914"/>
      <c r="N5" s="914"/>
      <c r="O5" s="914"/>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559" t="s">
        <v>1678</v>
      </c>
      <c r="L6" s="913"/>
      <c r="M6" s="914"/>
      <c r="N6" s="914"/>
      <c r="O6" s="914"/>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45539</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67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11"/>
        <v>成新度</v>
      </c>
      <c r="R33" s="705" t="s">
        <v>14</v>
      </c>
      <c r="S33" s="706" t="e">
        <f t="shared" si="12"/>
        <v>#N/A</v>
      </c>
      <c r="T33" s="705" t="s">
        <v>14</v>
      </c>
      <c r="U33" s="706" t="e">
        <f t="shared" si="13"/>
        <v>#N/A</v>
      </c>
      <c r="V33" s="705" t="s">
        <v>14</v>
      </c>
      <c r="W33" s="706" t="e">
        <f t="shared" si="14"/>
        <v>#N/A</v>
      </c>
      <c r="X33" s="1355"/>
      <c r="Y33" s="367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1696</v>
      </c>
      <c r="Q35" s="1352" t="str">
        <f t="shared" si="11"/>
        <v>市政基础设施</v>
      </c>
      <c r="R35" s="705" t="s">
        <v>14</v>
      </c>
      <c r="S35" s="706">
        <f t="shared" si="12"/>
        <v>100</v>
      </c>
      <c r="T35" s="705" t="s">
        <v>14</v>
      </c>
      <c r="U35" s="706">
        <f t="shared" si="13"/>
        <v>100</v>
      </c>
      <c r="V35" s="705" t="s">
        <v>14</v>
      </c>
      <c r="W35" s="706">
        <f t="shared" si="14"/>
        <v>100</v>
      </c>
      <c r="X35" s="1355"/>
      <c r="Y35" s="367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受贵公司委托，我公司对北京市东城区南竹杆胡同2号房地产抵押价值进行了预评估。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估价对象为北京市东城区南竹杆胡同2号房地产，为国建华所有。根据《国有土地使用证》[]，估价对象（分摊）出让国有建设用地使用权面积为0平方米，建筑面积为195.03平方米。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房地产,属国建华开发建设的办公项目，该项目尚在开发建设中。根据《国有土地使用证》[]，估价对象（分摊）出让国有建设用地使用权面积为0平方米，规划建筑面积为195.03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2024年9月4日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1" t="s">
        <v>1674</v>
      </c>
      <c r="F5" s="3712"/>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559" t="s">
        <v>1678</v>
      </c>
      <c r="L6" s="2714"/>
      <c r="M6" s="2715"/>
      <c r="N6" s="2715"/>
      <c r="O6" s="2715"/>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45539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3"/>
      <c r="Q15" s="1352"/>
      <c r="R15" s="705"/>
      <c r="S15" s="706"/>
      <c r="T15" s="705"/>
      <c r="U15" s="706"/>
      <c r="V15" s="705"/>
      <c r="W15" s="706"/>
      <c r="X15" s="1355"/>
      <c r="Y15" s="367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3"/>
      <c r="Q17" s="1352"/>
      <c r="R17" s="705"/>
      <c r="S17" s="706"/>
      <c r="T17" s="705"/>
      <c r="U17" s="706"/>
      <c r="V17" s="705"/>
      <c r="W17" s="706"/>
      <c r="X17" s="1355"/>
      <c r="Y17" s="367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3"/>
      <c r="Q19" s="1352"/>
      <c r="R19" s="705"/>
      <c r="S19" s="706"/>
      <c r="T19" s="705"/>
      <c r="U19" s="706"/>
      <c r="V19" s="705"/>
      <c r="W19" s="706"/>
      <c r="X19" s="1355"/>
      <c r="Y19" s="367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3"/>
      <c r="Q21" s="1352"/>
      <c r="R21" s="705"/>
      <c r="S21" s="706"/>
      <c r="T21" s="705"/>
      <c r="U21" s="706"/>
      <c r="V21" s="705"/>
      <c r="W21" s="706"/>
      <c r="X21" s="1355"/>
      <c r="Y21" s="36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7" t="s">
        <v>1696</v>
      </c>
      <c r="Q32" s="1352" t="str">
        <f t="shared" si="11"/>
        <v>车位类型</v>
      </c>
      <c r="R32" s="705" t="s">
        <v>14</v>
      </c>
      <c r="S32" s="706">
        <f t="shared" si="12"/>
        <v>100</v>
      </c>
      <c r="T32" s="705" t="s">
        <v>14</v>
      </c>
      <c r="U32" s="706">
        <f t="shared" si="13"/>
        <v>100</v>
      </c>
      <c r="V32" s="705" t="s">
        <v>14</v>
      </c>
      <c r="W32" s="706">
        <f t="shared" si="14"/>
        <v>100</v>
      </c>
      <c r="X32" s="1355"/>
      <c r="Y32" s="36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3"/>
      <c r="M37" s="2724"/>
      <c r="N37" s="2715"/>
      <c r="O37" s="2724"/>
      <c r="P37" s="3670" t="str">
        <f>A37</f>
        <v>成交单价</v>
      </c>
      <c r="Q37" s="3670"/>
      <c r="R37" s="3671">
        <f>E37</f>
        <v>0</v>
      </c>
      <c r="S37" s="3671"/>
      <c r="T37" s="3671">
        <f>G37</f>
        <v>0</v>
      </c>
      <c r="U37" s="3671"/>
      <c r="V37" s="3671">
        <f>I37</f>
        <v>0</v>
      </c>
      <c r="W37" s="367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67" t="str">
        <f>A39</f>
        <v>估价对象XX用房的比较价值（楼面单价，元/平方米）</v>
      </c>
      <c r="Q39" s="3668"/>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1" t="s">
        <v>1674</v>
      </c>
      <c r="F5" s="3712"/>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29" ht="15" thickBot="1">
      <c r="A6" s="360"/>
      <c r="B6" s="361"/>
      <c r="C6" s="3702" t="s">
        <v>1677</v>
      </c>
      <c r="D6" s="3703"/>
      <c r="E6" s="3709" t="s">
        <v>1677</v>
      </c>
      <c r="F6" s="3710"/>
      <c r="G6" s="3702" t="s">
        <v>1677</v>
      </c>
      <c r="H6" s="3703"/>
      <c r="I6" s="3702" t="s">
        <v>1677</v>
      </c>
      <c r="J6" s="3703"/>
      <c r="K6" s="559" t="s">
        <v>1678</v>
      </c>
      <c r="L6" s="2714"/>
      <c r="M6" s="2715"/>
      <c r="N6" s="2715"/>
      <c r="O6" s="2715"/>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45539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3"/>
      <c r="Q15" s="1352"/>
      <c r="R15" s="705"/>
      <c r="S15" s="706"/>
      <c r="T15" s="705"/>
      <c r="U15" s="706"/>
      <c r="V15" s="705"/>
      <c r="W15" s="706"/>
      <c r="X15" s="1355"/>
      <c r="Y15" s="367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3"/>
      <c r="Q17" s="1352"/>
      <c r="R17" s="705"/>
      <c r="S17" s="706"/>
      <c r="T17" s="705"/>
      <c r="U17" s="706"/>
      <c r="V17" s="705"/>
      <c r="W17" s="706"/>
      <c r="X17" s="1355"/>
      <c r="Y17" s="367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3"/>
      <c r="Q19" s="1352"/>
      <c r="R19" s="705"/>
      <c r="S19" s="706"/>
      <c r="T19" s="705"/>
      <c r="U19" s="706"/>
      <c r="V19" s="705"/>
      <c r="W19" s="706"/>
      <c r="X19" s="1355"/>
      <c r="Y19" s="367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3"/>
      <c r="Q21" s="1352"/>
      <c r="R21" s="705"/>
      <c r="S21" s="706"/>
      <c r="T21" s="705"/>
      <c r="U21" s="706"/>
      <c r="V21" s="705"/>
      <c r="W21" s="706"/>
      <c r="X21" s="1355"/>
      <c r="Y21" s="36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7" t="s">
        <v>1696</v>
      </c>
      <c r="Q32" s="1352">
        <f t="shared" si="11"/>
        <v>111</v>
      </c>
      <c r="R32" s="705" t="s">
        <v>14</v>
      </c>
      <c r="S32" s="706">
        <f t="shared" si="12"/>
        <v>100</v>
      </c>
      <c r="T32" s="705" t="s">
        <v>14</v>
      </c>
      <c r="U32" s="706">
        <f t="shared" si="13"/>
        <v>100</v>
      </c>
      <c r="V32" s="705" t="s">
        <v>14</v>
      </c>
      <c r="W32" s="706">
        <f t="shared" si="14"/>
        <v>100</v>
      </c>
      <c r="X32" s="1355"/>
      <c r="Y32" s="36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67" t="str">
        <f>A37</f>
        <v>估价对象XX用房的比较价值（楼面单价，元/平方米）</v>
      </c>
      <c r="Q37" s="3668"/>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30">
      <c r="A5" s="358"/>
      <c r="B5" s="359"/>
      <c r="C5" s="3704" t="s">
        <v>1673</v>
      </c>
      <c r="D5" s="3705"/>
      <c r="E5" s="3711" t="s">
        <v>1674</v>
      </c>
      <c r="F5" s="3712"/>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30" ht="15" thickBot="1">
      <c r="A6" s="360"/>
      <c r="B6" s="361"/>
      <c r="C6" s="3702" t="s">
        <v>1677</v>
      </c>
      <c r="D6" s="3703"/>
      <c r="E6" s="3709" t="s">
        <v>1677</v>
      </c>
      <c r="F6" s="3710"/>
      <c r="G6" s="3702" t="s">
        <v>1677</v>
      </c>
      <c r="H6" s="3703"/>
      <c r="I6" s="3702" t="s">
        <v>1677</v>
      </c>
      <c r="J6" s="3703"/>
      <c r="K6" s="559" t="s">
        <v>1678</v>
      </c>
      <c r="L6" s="2714"/>
      <c r="M6" s="2715"/>
      <c r="N6" s="2715"/>
      <c r="O6" s="2715"/>
      <c r="P6" s="3693"/>
      <c r="Q6" s="3694"/>
      <c r="R6" s="3697"/>
      <c r="S6" s="3698"/>
      <c r="T6" s="3699"/>
      <c r="U6" s="3700"/>
      <c r="V6" s="3701"/>
      <c r="W6" s="3701"/>
      <c r="X6" s="1355"/>
      <c r="Y6" s="3699"/>
      <c r="Z6" s="3700"/>
      <c r="AA6" s="3684"/>
      <c r="AB6" s="3684"/>
      <c r="AC6" s="3684"/>
    </row>
    <row r="7" spans="1:30" s="108" customFormat="1" ht="15" thickBot="1">
      <c r="A7" s="362" t="s">
        <v>1679</v>
      </c>
      <c r="B7" s="363"/>
      <c r="C7" s="364">
        <f>'数据-取费表'!B2</f>
        <v>45539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70"/>
      <c r="Q10" s="1343" t="str">
        <f t="shared" si="6"/>
        <v>土地使用年限（年）</v>
      </c>
      <c r="R10" s="701" t="s">
        <v>14</v>
      </c>
      <c r="S10" s="702" t="e">
        <f t="shared" si="0"/>
        <v>#DIV/0!</v>
      </c>
      <c r="T10" s="701" t="s">
        <v>14</v>
      </c>
      <c r="U10" s="702" t="e">
        <f t="shared" si="1"/>
        <v>#DIV/0!</v>
      </c>
      <c r="V10" s="701" t="s">
        <v>14</v>
      </c>
      <c r="W10" s="702" t="e">
        <f t="shared" si="2"/>
        <v>#DIV/0!</v>
      </c>
      <c r="X10" s="703"/>
      <c r="Y10" s="3545"/>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0"/>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2" t="s">
        <v>1691</v>
      </c>
      <c r="Q15" s="1352" t="str">
        <f t="shared" si="6"/>
        <v>居住社区成熟度</v>
      </c>
      <c r="R15" s="705" t="s">
        <v>14</v>
      </c>
      <c r="S15" s="706">
        <f t="shared" si="0"/>
        <v>100</v>
      </c>
      <c r="T15" s="705" t="s">
        <v>14</v>
      </c>
      <c r="U15" s="706">
        <f t="shared" si="1"/>
        <v>100</v>
      </c>
      <c r="V15" s="705" t="s">
        <v>14</v>
      </c>
      <c r="W15" s="706">
        <f t="shared" si="2"/>
        <v>100</v>
      </c>
      <c r="X15" s="1355"/>
      <c r="Y15" s="36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3"/>
      <c r="Q16" s="1352"/>
      <c r="R16" s="705"/>
      <c r="S16" s="706"/>
      <c r="T16" s="705"/>
      <c r="U16" s="706"/>
      <c r="V16" s="705"/>
      <c r="W16" s="706"/>
      <c r="X16" s="1355"/>
      <c r="Y16" s="367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3"/>
      <c r="Q18" s="1352"/>
      <c r="R18" s="705"/>
      <c r="S18" s="706"/>
      <c r="T18" s="705"/>
      <c r="U18" s="706"/>
      <c r="V18" s="705"/>
      <c r="W18" s="706"/>
      <c r="X18" s="1355"/>
      <c r="Y18" s="367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3"/>
      <c r="Q20" s="1352"/>
      <c r="R20" s="705"/>
      <c r="S20" s="706"/>
      <c r="T20" s="705"/>
      <c r="U20" s="706"/>
      <c r="V20" s="705"/>
      <c r="W20" s="706"/>
      <c r="X20" s="1355"/>
      <c r="Y20" s="367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3"/>
      <c r="Q22" s="1352"/>
      <c r="R22" s="705"/>
      <c r="S22" s="706"/>
      <c r="T22" s="705"/>
      <c r="U22" s="706"/>
      <c r="V22" s="705"/>
      <c r="W22" s="706"/>
      <c r="X22" s="1355"/>
      <c r="Y22" s="367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3"/>
      <c r="Q24" s="1352"/>
      <c r="R24" s="705"/>
      <c r="S24" s="706"/>
      <c r="T24" s="705"/>
      <c r="U24" s="706"/>
      <c r="V24" s="705"/>
      <c r="W24" s="706"/>
      <c r="X24" s="1355"/>
      <c r="Y24" s="367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3"/>
      <c r="Q26" s="1352"/>
      <c r="R26" s="705"/>
      <c r="S26" s="706"/>
      <c r="T26" s="705"/>
      <c r="U26" s="706"/>
      <c r="V26" s="705"/>
      <c r="W26" s="706"/>
      <c r="X26" s="1355"/>
      <c r="Y26" s="367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73"/>
      <c r="Q28" s="1343"/>
      <c r="R28" s="701"/>
      <c r="S28" s="702"/>
      <c r="T28" s="701"/>
      <c r="U28" s="702"/>
      <c r="V28" s="701"/>
      <c r="W28" s="702"/>
      <c r="X28" s="703"/>
      <c r="Y28" s="367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73"/>
      <c r="Q30" s="1343"/>
      <c r="R30" s="701"/>
      <c r="S30" s="702"/>
      <c r="T30" s="701"/>
      <c r="U30" s="702"/>
      <c r="V30" s="701"/>
      <c r="W30" s="702"/>
      <c r="X30" s="703"/>
      <c r="Y30" s="36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3"/>
      <c r="Q33" s="1352"/>
      <c r="R33" s="705"/>
      <c r="S33" s="706"/>
      <c r="T33" s="705"/>
      <c r="U33" s="706"/>
      <c r="V33" s="705"/>
      <c r="W33" s="706"/>
      <c r="X33" s="1355"/>
      <c r="Y33" s="36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8" t="s">
        <v>1696</v>
      </c>
      <c r="Q36" s="1352">
        <f t="shared" si="8"/>
        <v>111</v>
      </c>
      <c r="R36" s="705" t="s">
        <v>14</v>
      </c>
      <c r="S36" s="706">
        <f t="shared" si="10"/>
        <v>100</v>
      </c>
      <c r="T36" s="705" t="s">
        <v>14</v>
      </c>
      <c r="U36" s="706">
        <f t="shared" si="11"/>
        <v>100</v>
      </c>
      <c r="V36" s="705" t="s">
        <v>14</v>
      </c>
      <c r="W36" s="706">
        <f t="shared" si="12"/>
        <v>100</v>
      </c>
      <c r="X36" s="1355"/>
      <c r="Y36" s="367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7" t="s">
        <v>1696</v>
      </c>
      <c r="Q42" s="1352" t="str">
        <f t="shared" si="14"/>
        <v>工程地质条件</v>
      </c>
      <c r="R42" s="705" t="s">
        <v>14</v>
      </c>
      <c r="S42" s="706">
        <f t="shared" si="10"/>
        <v>100</v>
      </c>
      <c r="T42" s="705" t="s">
        <v>14</v>
      </c>
      <c r="U42" s="706">
        <f t="shared" si="11"/>
        <v>100</v>
      </c>
      <c r="V42" s="705" t="s">
        <v>14</v>
      </c>
      <c r="W42" s="706">
        <f t="shared" si="12"/>
        <v>100</v>
      </c>
      <c r="X42" s="1355"/>
      <c r="Y42" s="36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70" t="str">
        <f>A46</f>
        <v>成交单价</v>
      </c>
      <c r="Q46" s="3670"/>
      <c r="R46" s="3701">
        <f>E46</f>
        <v>0</v>
      </c>
      <c r="S46" s="3701"/>
      <c r="T46" s="3701">
        <f>G46</f>
        <v>0</v>
      </c>
      <c r="U46" s="3701"/>
      <c r="V46" s="3701">
        <f>I46</f>
        <v>0</v>
      </c>
      <c r="W46" s="370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70" t="str">
        <f>A47</f>
        <v>比较价值（元/平方米）</v>
      </c>
      <c r="Q47" s="3670"/>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67" t="str">
        <f>A48</f>
        <v>估价对象XX用房的比较价值（楼面单价，元/平方米）</v>
      </c>
      <c r="Q48" s="3668"/>
      <c r="R48" s="3731" t="e">
        <f>ROUND(IF(D47="简单平均",AVERAGE(R47:W47),R47*F47+T47*H47+V47*J47),0)</f>
        <v>#DIV/0!</v>
      </c>
      <c r="S48" s="3731"/>
      <c r="T48" s="3731"/>
      <c r="U48" s="3731"/>
      <c r="V48" s="3731"/>
      <c r="W48" s="373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5" t="s">
        <v>1887</v>
      </c>
      <c r="H55" s="3732"/>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195.03</v>
      </c>
      <c r="F56" s="886" t="e">
        <f t="shared" ref="F56:F64" si="15">ROUND(B56*E56/10000,0)</f>
        <v>#DIV/0!</v>
      </c>
      <c r="G56" s="3681"/>
      <c r="H56" s="367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195.03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c r="A5" s="358"/>
      <c r="B5" s="359"/>
      <c r="C5" s="3704" t="s">
        <v>1673</v>
      </c>
      <c r="D5" s="3705"/>
      <c r="E5" s="3711" t="s">
        <v>1674</v>
      </c>
      <c r="F5" s="3712"/>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29" ht="15" thickBot="1">
      <c r="A6" s="360"/>
      <c r="B6" s="361"/>
      <c r="C6" s="3733" t="s">
        <v>1919</v>
      </c>
      <c r="D6" s="3734"/>
      <c r="E6" s="3735" t="s">
        <v>1919</v>
      </c>
      <c r="F6" s="3736"/>
      <c r="G6" s="3733" t="s">
        <v>1919</v>
      </c>
      <c r="H6" s="3734"/>
      <c r="I6" s="3733" t="s">
        <v>1919</v>
      </c>
      <c r="J6" s="3734"/>
      <c r="K6" s="559" t="s">
        <v>1678</v>
      </c>
      <c r="L6" s="2714"/>
      <c r="M6" s="2715"/>
      <c r="N6" s="2715"/>
      <c r="O6" s="2715"/>
      <c r="P6" s="3693"/>
      <c r="Q6" s="3694"/>
      <c r="R6" s="3697"/>
      <c r="S6" s="3698"/>
      <c r="T6" s="3699"/>
      <c r="U6" s="3700"/>
      <c r="V6" s="3701"/>
      <c r="W6" s="3701"/>
      <c r="X6" s="1355"/>
      <c r="Y6" s="3699"/>
      <c r="Z6" s="3700"/>
      <c r="AA6" s="3684"/>
      <c r="AB6" s="3684"/>
      <c r="AC6" s="3684"/>
    </row>
    <row r="7" spans="1:29" s="108" customFormat="1" ht="15" thickBot="1">
      <c r="A7" s="362" t="s">
        <v>1679</v>
      </c>
      <c r="B7" s="363"/>
      <c r="C7" s="364">
        <f>'数据-取费表'!B2</f>
        <v>45539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70"/>
      <c r="Q10" s="1343" t="str">
        <f t="shared" si="6"/>
        <v>土地使用年限（年）</v>
      </c>
      <c r="R10" s="701" t="s">
        <v>14</v>
      </c>
      <c r="S10" s="702" t="e">
        <f t="shared" si="0"/>
        <v>#DIV/0!</v>
      </c>
      <c r="T10" s="701" t="s">
        <v>14</v>
      </c>
      <c r="U10" s="702" t="e">
        <f t="shared" si="1"/>
        <v>#DIV/0!</v>
      </c>
      <c r="V10" s="701" t="s">
        <v>14</v>
      </c>
      <c r="W10" s="702" t="e">
        <f t="shared" si="2"/>
        <v>#DIV/0!</v>
      </c>
      <c r="X10" s="703"/>
      <c r="Y10" s="3545"/>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3"/>
      <c r="Q16" s="1352"/>
      <c r="R16" s="705"/>
      <c r="S16" s="706"/>
      <c r="T16" s="705"/>
      <c r="U16" s="706"/>
      <c r="V16" s="705"/>
      <c r="W16" s="706"/>
      <c r="X16" s="1355"/>
      <c r="Y16" s="367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3"/>
      <c r="Q18" s="1352"/>
      <c r="R18" s="705"/>
      <c r="S18" s="706"/>
      <c r="T18" s="705"/>
      <c r="U18" s="706"/>
      <c r="V18" s="705"/>
      <c r="W18" s="706"/>
      <c r="X18" s="1355"/>
      <c r="Y18" s="367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3"/>
      <c r="Q20" s="1352"/>
      <c r="R20" s="705"/>
      <c r="S20" s="706"/>
      <c r="T20" s="705"/>
      <c r="U20" s="706"/>
      <c r="V20" s="705"/>
      <c r="W20" s="706"/>
      <c r="X20" s="1355"/>
      <c r="Y20" s="367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3"/>
      <c r="Q22" s="1352"/>
      <c r="R22" s="705"/>
      <c r="S22" s="706"/>
      <c r="T22" s="705"/>
      <c r="U22" s="706"/>
      <c r="V22" s="705"/>
      <c r="W22" s="706"/>
      <c r="X22" s="1355"/>
      <c r="Y22" s="367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3"/>
      <c r="Q24" s="1343"/>
      <c r="R24" s="701"/>
      <c r="S24" s="702"/>
      <c r="T24" s="701"/>
      <c r="U24" s="702"/>
      <c r="V24" s="701"/>
      <c r="W24" s="702"/>
      <c r="X24" s="703"/>
      <c r="Y24" s="367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3"/>
      <c r="Q26" s="1343"/>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3"/>
      <c r="Q29" s="1352"/>
      <c r="R29" s="705"/>
      <c r="S29" s="706"/>
      <c r="T29" s="705"/>
      <c r="U29" s="706"/>
      <c r="V29" s="705"/>
      <c r="W29" s="706"/>
      <c r="X29" s="1355"/>
      <c r="Y29" s="36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8" t="s">
        <v>1696</v>
      </c>
      <c r="Q32" s="1352">
        <f t="shared" si="8"/>
        <v>111</v>
      </c>
      <c r="R32" s="705" t="s">
        <v>14</v>
      </c>
      <c r="S32" s="706">
        <f t="shared" si="10"/>
        <v>100</v>
      </c>
      <c r="T32" s="705" t="s">
        <v>14</v>
      </c>
      <c r="U32" s="706">
        <f t="shared" si="11"/>
        <v>100</v>
      </c>
      <c r="V32" s="705" t="s">
        <v>14</v>
      </c>
      <c r="W32" s="706">
        <f t="shared" si="12"/>
        <v>100</v>
      </c>
      <c r="X32" s="1355"/>
      <c r="Y32" s="367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7" t="s">
        <v>1696</v>
      </c>
      <c r="Q37" s="1352" t="str">
        <f t="shared" si="14"/>
        <v>工程地质条件</v>
      </c>
      <c r="R37" s="705" t="s">
        <v>14</v>
      </c>
      <c r="S37" s="706">
        <f t="shared" si="10"/>
        <v>100</v>
      </c>
      <c r="T37" s="705" t="s">
        <v>14</v>
      </c>
      <c r="U37" s="706">
        <f t="shared" si="11"/>
        <v>100</v>
      </c>
      <c r="V37" s="705" t="s">
        <v>14</v>
      </c>
      <c r="W37" s="706">
        <f t="shared" si="12"/>
        <v>100</v>
      </c>
      <c r="X37" s="1355"/>
      <c r="Y37" s="36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670" t="str">
        <f>A41</f>
        <v>成交单价</v>
      </c>
      <c r="Q41" s="3670"/>
      <c r="R41" s="3701">
        <f>E41</f>
        <v>0</v>
      </c>
      <c r="S41" s="3701"/>
      <c r="T41" s="3701">
        <f>G41</f>
        <v>0</v>
      </c>
      <c r="U41" s="3701"/>
      <c r="V41" s="3701">
        <f>I41</f>
        <v>0</v>
      </c>
      <c r="W41" s="370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70" t="str">
        <f>A42</f>
        <v>比较价值（元/平方米）</v>
      </c>
      <c r="Q42" s="3670"/>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67" t="str">
        <f>A43</f>
        <v>估价对象XX用房的比较价值（楼面单价，元/平方米）</v>
      </c>
      <c r="Q43" s="3668"/>
      <c r="R43" s="3731" t="e">
        <f>ROUND(IF(D42="简单平均",AVERAGE(R42:W42),R42*F42+T42*H42+V42*J42),0)</f>
        <v>#DIV/0!</v>
      </c>
      <c r="S43" s="3731"/>
      <c r="T43" s="3731"/>
      <c r="U43" s="3731"/>
      <c r="V43" s="3731"/>
      <c r="W43" s="373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85" t="s">
        <v>1887</v>
      </c>
      <c r="H50" s="3732"/>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195.03</v>
      </c>
      <c r="F51" s="639" t="e">
        <f t="shared" ref="F51:F60" si="15">ROUND(B51*E51/10000,0)</f>
        <v>#DIV/0!</v>
      </c>
      <c r="G51" s="3681"/>
      <c r="H51" s="367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50"/>
      <c r="B4" s="3751"/>
      <c r="C4" s="3751"/>
      <c r="D4" s="3752"/>
      <c r="E4" s="3752"/>
      <c r="F4" s="3752"/>
      <c r="G4" s="3752"/>
      <c r="H4" s="3752"/>
      <c r="I4" s="3752"/>
      <c r="J4" s="37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9"/>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54" t="s">
        <v>3256</v>
      </c>
      <c r="B20" s="167" t="s">
        <v>1994</v>
      </c>
      <c r="C20" s="3324" t="e">
        <f>ROUND(IF(F21="与级别开发程度一致",0,(G21-E21)/C21),0)</f>
        <v>#DIV/0!</v>
      </c>
      <c r="D20" s="3340" t="s">
        <v>1998</v>
      </c>
      <c r="E20" s="3341"/>
      <c r="F20" s="3760" t="s">
        <v>1995</v>
      </c>
      <c r="G20" s="3761"/>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5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45539</v>
      </c>
      <c r="H23" s="3342" t="s">
        <v>3258</v>
      </c>
      <c r="I23" s="3343" t="str">
        <f>IF(H23="季度增幅（自定义）",SUMIF(N25:N28,E2,O25:O28),"")</f>
        <v/>
      </c>
      <c r="J23" s="3445" t="s">
        <v>3257</v>
      </c>
      <c r="K23" s="1125"/>
      <c r="L23" s="2055" t="s">
        <v>2004</v>
      </c>
      <c r="M23" s="1328">
        <f>ROUND(SUMIF(地价!B2:G2,E2,地价!B16:G16),0)</f>
        <v>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3337</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59"/>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6" t="s">
        <v>3296</v>
      </c>
      <c r="B103" s="3756"/>
      <c r="C103" s="3756"/>
      <c r="D103" s="3756"/>
      <c r="E103" s="3756"/>
      <c r="F103" s="3756"/>
      <c r="G103" s="3756"/>
      <c r="H103" s="3756"/>
      <c r="I103" s="3756"/>
      <c r="J103" s="3756"/>
      <c r="K103" s="3389"/>
      <c r="L103" s="3389"/>
      <c r="M103" s="3389"/>
      <c r="N103" s="3389"/>
    </row>
    <row r="104" spans="1:14">
      <c r="A104" s="3757" t="s">
        <v>3297</v>
      </c>
      <c r="B104" s="3757" t="s">
        <v>3298</v>
      </c>
      <c r="C104" s="3390" t="s">
        <v>3299</v>
      </c>
      <c r="D104" s="3391"/>
      <c r="E104" s="3391"/>
      <c r="F104" s="3391"/>
      <c r="G104" s="3391"/>
      <c r="H104" s="3391"/>
      <c r="I104" s="3391"/>
      <c r="J104" s="3392"/>
      <c r="K104" s="3393"/>
      <c r="L104" s="3393"/>
      <c r="M104" s="3393"/>
      <c r="N104" s="3393"/>
    </row>
    <row r="105" spans="1:14">
      <c r="A105" s="3757"/>
      <c r="B105" s="3757"/>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43"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4"/>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6" t="s">
        <v>3313</v>
      </c>
      <c r="B113" s="3746"/>
      <c r="C113" s="3746"/>
      <c r="D113" s="3746"/>
      <c r="E113" s="3746"/>
      <c r="F113" s="3746"/>
      <c r="G113" s="3746"/>
      <c r="H113" s="3746"/>
      <c r="I113" s="3746"/>
      <c r="J113" s="374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2000" t="s">
        <v>3316</v>
      </c>
      <c r="F116" s="3401">
        <f>E2</f>
        <v>0</v>
      </c>
      <c r="G116" s="2000" t="s">
        <v>3317</v>
      </c>
      <c r="H116" s="3401">
        <f>G2</f>
        <v>0</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1" t="s">
        <v>2609</v>
      </c>
      <c r="B20" s="3766" t="s">
        <v>2630</v>
      </c>
      <c r="C20" s="3102" t="s">
        <v>2441</v>
      </c>
      <c r="D20" s="3103"/>
      <c r="E20" s="3104">
        <v>1</v>
      </c>
      <c r="F20" s="3105" t="s">
        <v>2442</v>
      </c>
      <c r="G20" s="3105"/>
    </row>
    <row r="21" spans="1:13" ht="19.5" customHeight="1">
      <c r="A21" s="3772"/>
      <c r="B21" s="3765"/>
      <c r="C21" s="3106" t="s">
        <v>2443</v>
      </c>
      <c r="D21" s="3107"/>
      <c r="E21" s="3108">
        <v>1</v>
      </c>
      <c r="F21" s="3105" t="s">
        <v>2444</v>
      </c>
      <c r="G21" s="3105"/>
    </row>
    <row r="22" spans="1:13" ht="19.5" customHeight="1">
      <c r="A22" s="3772"/>
      <c r="B22" s="3765"/>
      <c r="C22" s="3106" t="s">
        <v>2445</v>
      </c>
      <c r="D22" s="3107"/>
      <c r="E22" s="3108">
        <v>0.9</v>
      </c>
      <c r="F22" s="3105" t="s">
        <v>2446</v>
      </c>
      <c r="G22" s="3105"/>
    </row>
    <row r="23" spans="1:13" ht="19.5" customHeight="1">
      <c r="A23" s="3772"/>
      <c r="B23" s="3765"/>
      <c r="C23" s="3106" t="s">
        <v>2447</v>
      </c>
      <c r="D23" s="3107"/>
      <c r="E23" s="3108">
        <v>0.9</v>
      </c>
      <c r="F23" s="3105" t="s">
        <v>2448</v>
      </c>
      <c r="G23" s="3105"/>
    </row>
    <row r="24" spans="1:13" ht="19.5" customHeight="1">
      <c r="A24" s="3772"/>
      <c r="B24" s="3765"/>
      <c r="C24" s="3106" t="s">
        <v>2449</v>
      </c>
      <c r="D24" s="3107"/>
      <c r="E24" s="3108">
        <v>0.8</v>
      </c>
      <c r="F24" s="3105" t="s">
        <v>2450</v>
      </c>
      <c r="G24" s="3105"/>
    </row>
    <row r="25" spans="1:13" ht="19.5" customHeight="1" thickBot="1">
      <c r="A25" s="3773"/>
      <c r="B25" s="3767"/>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8" t="s">
        <v>2633</v>
      </c>
      <c r="B27" s="3766" t="s">
        <v>2614</v>
      </c>
      <c r="C27" s="3102" t="s">
        <v>2454</v>
      </c>
      <c r="D27" s="3103"/>
      <c r="E27" s="3104">
        <v>1</v>
      </c>
      <c r="F27" s="3105" t="s">
        <v>2455</v>
      </c>
      <c r="G27" s="3105"/>
    </row>
    <row r="28" spans="1:13" ht="19.5" customHeight="1">
      <c r="A28" s="3769"/>
      <c r="B28" s="3765"/>
      <c r="C28" s="3106" t="s">
        <v>2456</v>
      </c>
      <c r="D28" s="3107"/>
      <c r="E28" s="3108">
        <v>1</v>
      </c>
      <c r="F28" s="3105" t="s">
        <v>2457</v>
      </c>
      <c r="G28" s="3105"/>
    </row>
    <row r="29" spans="1:13" ht="19.5" customHeight="1">
      <c r="A29" s="3769"/>
      <c r="B29" s="3765"/>
      <c r="C29" s="3106" t="s">
        <v>2458</v>
      </c>
      <c r="D29" s="3107"/>
      <c r="E29" s="3108">
        <v>0.8</v>
      </c>
      <c r="F29" s="3105" t="s">
        <v>2459</v>
      </c>
      <c r="G29" s="3105"/>
    </row>
    <row r="30" spans="1:13" ht="19.5" customHeight="1">
      <c r="A30" s="3769"/>
      <c r="B30" s="3765"/>
      <c r="C30" s="3106" t="s">
        <v>2460</v>
      </c>
      <c r="D30" s="3107"/>
      <c r="E30" s="3108">
        <v>0.8</v>
      </c>
      <c r="F30" s="3105" t="s">
        <v>2461</v>
      </c>
      <c r="G30" s="3105"/>
    </row>
    <row r="31" spans="1:13" ht="19.5" customHeight="1">
      <c r="A31" s="3769"/>
      <c r="B31" s="3765"/>
      <c r="C31" s="3106" t="s">
        <v>2462</v>
      </c>
      <c r="D31" s="3107"/>
      <c r="E31" s="3108">
        <v>0.8</v>
      </c>
      <c r="F31" s="3105" t="s">
        <v>2463</v>
      </c>
      <c r="G31" s="3105"/>
    </row>
    <row r="32" spans="1:13" ht="19.5" customHeight="1">
      <c r="A32" s="3769"/>
      <c r="B32" s="3765"/>
      <c r="C32" s="3106" t="s">
        <v>2464</v>
      </c>
      <c r="D32" s="3107"/>
      <c r="E32" s="3108">
        <v>0.7</v>
      </c>
      <c r="F32" s="3105" t="s">
        <v>2465</v>
      </c>
      <c r="G32" s="3105"/>
    </row>
    <row r="33" spans="1:7" ht="19.5" customHeight="1">
      <c r="A33" s="3769"/>
      <c r="B33" s="3765"/>
      <c r="C33" s="3106" t="s">
        <v>2466</v>
      </c>
      <c r="D33" s="3107"/>
      <c r="E33" s="3108">
        <v>0.8</v>
      </c>
      <c r="F33" s="3105" t="s">
        <v>2467</v>
      </c>
      <c r="G33" s="3105"/>
    </row>
    <row r="34" spans="1:7" ht="19.5" customHeight="1">
      <c r="A34" s="3769"/>
      <c r="B34" s="3765"/>
      <c r="C34" s="3106" t="s">
        <v>2468</v>
      </c>
      <c r="D34" s="3107"/>
      <c r="E34" s="3108">
        <v>0.6</v>
      </c>
      <c r="F34" s="3105" t="s">
        <v>2469</v>
      </c>
      <c r="G34" s="3105"/>
    </row>
    <row r="35" spans="1:7" ht="19.5" customHeight="1">
      <c r="A35" s="3769"/>
      <c r="B35" s="3765"/>
      <c r="C35" s="3106" t="s">
        <v>2470</v>
      </c>
      <c r="D35" s="3107"/>
      <c r="E35" s="3108">
        <v>0.2</v>
      </c>
      <c r="F35" s="3105" t="s">
        <v>2471</v>
      </c>
      <c r="G35" s="3105"/>
    </row>
    <row r="36" spans="1:7" ht="19.5" customHeight="1">
      <c r="A36" s="3769"/>
      <c r="B36" s="3765"/>
      <c r="C36" s="3106" t="s">
        <v>2472</v>
      </c>
      <c r="D36" s="3107"/>
      <c r="E36" s="3108">
        <v>0.2</v>
      </c>
      <c r="F36" s="3105" t="s">
        <v>2473</v>
      </c>
      <c r="G36" s="3105"/>
    </row>
    <row r="37" spans="1:7" ht="19.5" customHeight="1">
      <c r="A37" s="3769"/>
      <c r="B37" s="3763" t="s">
        <v>2634</v>
      </c>
      <c r="C37" s="3106" t="s">
        <v>2474</v>
      </c>
      <c r="D37" s="3107"/>
      <c r="E37" s="3108">
        <v>0.6</v>
      </c>
      <c r="F37" s="3105" t="s">
        <v>2475</v>
      </c>
      <c r="G37" s="3105"/>
    </row>
    <row r="38" spans="1:7" ht="19.5" customHeight="1">
      <c r="A38" s="3769"/>
      <c r="B38" s="3765"/>
      <c r="C38" s="3106" t="s">
        <v>2476</v>
      </c>
      <c r="D38" s="3107"/>
      <c r="E38" s="3108">
        <v>0.6</v>
      </c>
      <c r="F38" s="3105" t="s">
        <v>2477</v>
      </c>
      <c r="G38" s="3105"/>
    </row>
    <row r="39" spans="1:7" ht="19.5" customHeight="1" thickBot="1">
      <c r="A39" s="3770"/>
      <c r="B39" s="3767"/>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1" t="s">
        <v>2612</v>
      </c>
      <c r="B41" s="3766" t="s">
        <v>2636</v>
      </c>
      <c r="C41" s="3102" t="s">
        <v>2481</v>
      </c>
      <c r="D41" s="3103"/>
      <c r="E41" s="3104">
        <v>1</v>
      </c>
      <c r="F41" s="3105" t="s">
        <v>2482</v>
      </c>
      <c r="G41" s="3105"/>
    </row>
    <row r="42" spans="1:7" ht="19.5" customHeight="1">
      <c r="A42" s="3772"/>
      <c r="B42" s="3765"/>
      <c r="C42" s="3106" t="s">
        <v>2483</v>
      </c>
      <c r="D42" s="3107"/>
      <c r="E42" s="3108">
        <v>1</v>
      </c>
      <c r="F42" s="3105" t="s">
        <v>2484</v>
      </c>
      <c r="G42" s="3105"/>
    </row>
    <row r="43" spans="1:7" ht="19.5" customHeight="1">
      <c r="A43" s="3772"/>
      <c r="B43" s="3764"/>
      <c r="C43" s="3106" t="s">
        <v>2485</v>
      </c>
      <c r="D43" s="3107"/>
      <c r="E43" s="3108">
        <v>1.5</v>
      </c>
      <c r="F43" s="3105" t="s">
        <v>2486</v>
      </c>
      <c r="G43" s="3105"/>
    </row>
    <row r="44" spans="1:7" ht="19.5" customHeight="1">
      <c r="A44" s="3772"/>
      <c r="B44" s="3117" t="s">
        <v>2637</v>
      </c>
      <c r="C44" s="3106" t="s">
        <v>2638</v>
      </c>
      <c r="D44" s="3107"/>
      <c r="E44" s="3108">
        <v>2</v>
      </c>
      <c r="F44" s="3105" t="s">
        <v>2487</v>
      </c>
      <c r="G44" s="3105"/>
    </row>
    <row r="45" spans="1:7" ht="19.5" customHeight="1">
      <c r="A45" s="3772"/>
      <c r="B45" s="3763" t="s">
        <v>2639</v>
      </c>
      <c r="C45" s="3106" t="s">
        <v>2488</v>
      </c>
      <c r="D45" s="3107"/>
      <c r="E45" s="3108">
        <v>1</v>
      </c>
      <c r="F45" s="3105" t="s">
        <v>2489</v>
      </c>
      <c r="G45" s="3105"/>
    </row>
    <row r="46" spans="1:7" ht="19.5" customHeight="1">
      <c r="A46" s="3772"/>
      <c r="B46" s="3765"/>
      <c r="C46" s="3106" t="s">
        <v>2490</v>
      </c>
      <c r="D46" s="3107"/>
      <c r="E46" s="3108">
        <v>1</v>
      </c>
      <c r="F46" s="3105" t="s">
        <v>2491</v>
      </c>
      <c r="G46" s="3105"/>
    </row>
    <row r="47" spans="1:7" ht="19.5" customHeight="1">
      <c r="A47" s="3772"/>
      <c r="B47" s="3765"/>
      <c r="C47" s="3106" t="s">
        <v>2492</v>
      </c>
      <c r="D47" s="3107"/>
      <c r="E47" s="3108">
        <v>1</v>
      </c>
      <c r="F47" s="3105" t="s">
        <v>2493</v>
      </c>
      <c r="G47" s="3105"/>
    </row>
    <row r="48" spans="1:7" ht="19.5" customHeight="1">
      <c r="A48" s="3772"/>
      <c r="B48" s="3765"/>
      <c r="C48" s="3106" t="s">
        <v>2494</v>
      </c>
      <c r="D48" s="3107"/>
      <c r="E48" s="3108">
        <v>1</v>
      </c>
      <c r="F48" s="3105" t="s">
        <v>2495</v>
      </c>
      <c r="G48" s="3105"/>
    </row>
    <row r="49" spans="1:7" ht="19.5" customHeight="1">
      <c r="A49" s="3772"/>
      <c r="B49" s="3765"/>
      <c r="C49" s="3106" t="s">
        <v>2496</v>
      </c>
      <c r="D49" s="3107"/>
      <c r="E49" s="3108">
        <v>1</v>
      </c>
      <c r="F49" s="3105" t="s">
        <v>2497</v>
      </c>
      <c r="G49" s="3105"/>
    </row>
    <row r="50" spans="1:7" ht="19.5" customHeight="1">
      <c r="A50" s="3772"/>
      <c r="B50" s="3765"/>
      <c r="C50" s="3106" t="s">
        <v>2498</v>
      </c>
      <c r="D50" s="3107"/>
      <c r="E50" s="3108">
        <v>1</v>
      </c>
      <c r="F50" s="3105" t="s">
        <v>2499</v>
      </c>
      <c r="G50" s="3105"/>
    </row>
    <row r="51" spans="1:7" ht="19.5" customHeight="1" thickBot="1">
      <c r="A51" s="3773"/>
      <c r="B51" s="3767"/>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63" t="s">
        <v>2653</v>
      </c>
      <c r="C73" s="3091" t="s">
        <v>2654</v>
      </c>
      <c r="D73" s="3091" t="s">
        <v>2655</v>
      </c>
      <c r="E73" s="3117">
        <v>0.2</v>
      </c>
      <c r="F73" s="3117">
        <v>25</v>
      </c>
    </row>
    <row r="74" spans="1:7" ht="24">
      <c r="A74" s="3117">
        <v>2</v>
      </c>
      <c r="B74" s="3765"/>
      <c r="C74" s="3091" t="s">
        <v>2656</v>
      </c>
      <c r="D74" s="3091" t="s">
        <v>2657</v>
      </c>
      <c r="E74" s="3117">
        <v>0.2</v>
      </c>
      <c r="F74" s="3117">
        <v>25</v>
      </c>
    </row>
    <row r="75" spans="1:7" ht="24">
      <c r="A75" s="3117">
        <v>3</v>
      </c>
      <c r="B75" s="3765"/>
      <c r="C75" s="3091" t="s">
        <v>2658</v>
      </c>
      <c r="D75" s="3091" t="s">
        <v>2659</v>
      </c>
      <c r="E75" s="3117">
        <v>0.2</v>
      </c>
      <c r="F75" s="3117">
        <v>25</v>
      </c>
    </row>
    <row r="76" spans="1:7" ht="14.4">
      <c r="A76" s="3117">
        <v>4</v>
      </c>
      <c r="B76" s="3765"/>
      <c r="C76" s="3091" t="s">
        <v>2660</v>
      </c>
      <c r="D76" s="3091" t="s">
        <v>2661</v>
      </c>
      <c r="E76" s="3117">
        <v>0.15</v>
      </c>
      <c r="F76" s="3117">
        <v>20</v>
      </c>
    </row>
    <row r="77" spans="1:7" ht="24">
      <c r="A77" s="3117">
        <v>5</v>
      </c>
      <c r="B77" s="3765"/>
      <c r="C77" s="3091" t="s">
        <v>2662</v>
      </c>
      <c r="D77" s="3091" t="s">
        <v>2663</v>
      </c>
      <c r="E77" s="3117">
        <v>0.15</v>
      </c>
      <c r="F77" s="3117">
        <v>20</v>
      </c>
    </row>
    <row r="78" spans="1:7" ht="24">
      <c r="A78" s="3117">
        <v>6</v>
      </c>
      <c r="B78" s="3765"/>
      <c r="C78" s="3091" t="s">
        <v>2664</v>
      </c>
      <c r="D78" s="3091" t="s">
        <v>2665</v>
      </c>
      <c r="E78" s="3117">
        <v>0.15</v>
      </c>
      <c r="F78" s="3117">
        <v>20</v>
      </c>
    </row>
    <row r="79" spans="1:7" ht="24">
      <c r="A79" s="3117">
        <v>7</v>
      </c>
      <c r="B79" s="3765"/>
      <c r="C79" s="3091" t="s">
        <v>2666</v>
      </c>
      <c r="D79" s="3091" t="s">
        <v>2667</v>
      </c>
      <c r="E79" s="3117">
        <v>0.15</v>
      </c>
      <c r="F79" s="3117">
        <v>20</v>
      </c>
    </row>
    <row r="80" spans="1:7" ht="24">
      <c r="A80" s="3117">
        <v>8</v>
      </c>
      <c r="B80" s="3765"/>
      <c r="C80" s="3091" t="s">
        <v>2668</v>
      </c>
      <c r="D80" s="3091" t="s">
        <v>2669</v>
      </c>
      <c r="E80" s="3117">
        <v>0.1</v>
      </c>
      <c r="F80" s="3117">
        <v>15</v>
      </c>
    </row>
    <row r="81" spans="1:6" ht="24">
      <c r="A81" s="3117">
        <v>9</v>
      </c>
      <c r="B81" s="3765"/>
      <c r="C81" s="3091" t="s">
        <v>2670</v>
      </c>
      <c r="D81" s="3091" t="s">
        <v>2671</v>
      </c>
      <c r="E81" s="3117">
        <v>0.1</v>
      </c>
      <c r="F81" s="3117">
        <v>15</v>
      </c>
    </row>
    <row r="82" spans="1:6" ht="24">
      <c r="A82" s="3117">
        <v>10</v>
      </c>
      <c r="B82" s="3765"/>
      <c r="C82" s="3091" t="s">
        <v>2672</v>
      </c>
      <c r="D82" s="3091" t="s">
        <v>2673</v>
      </c>
      <c r="E82" s="3117">
        <v>0.1</v>
      </c>
      <c r="F82" s="3117">
        <v>15</v>
      </c>
    </row>
    <row r="83" spans="1:6" ht="24">
      <c r="A83" s="3117">
        <v>11</v>
      </c>
      <c r="B83" s="3765"/>
      <c r="C83" s="3091" t="s">
        <v>2674</v>
      </c>
      <c r="D83" s="3091" t="s">
        <v>2675</v>
      </c>
      <c r="E83" s="3117">
        <v>0.1</v>
      </c>
      <c r="F83" s="3117">
        <v>15</v>
      </c>
    </row>
    <row r="84" spans="1:6" ht="24">
      <c r="A84" s="3117">
        <v>12</v>
      </c>
      <c r="B84" s="3765"/>
      <c r="C84" s="3091" t="s">
        <v>2676</v>
      </c>
      <c r="D84" s="3091" t="s">
        <v>2677</v>
      </c>
      <c r="E84" s="3117">
        <v>0.1</v>
      </c>
      <c r="F84" s="3117">
        <v>15</v>
      </c>
    </row>
    <row r="85" spans="1:6" ht="24">
      <c r="A85" s="3117">
        <v>13</v>
      </c>
      <c r="B85" s="3765"/>
      <c r="C85" s="3091" t="s">
        <v>2678</v>
      </c>
      <c r="D85" s="3091" t="s">
        <v>2679</v>
      </c>
      <c r="E85" s="3117">
        <v>0.1</v>
      </c>
      <c r="F85" s="3117">
        <v>15</v>
      </c>
    </row>
    <row r="86" spans="1:6" ht="24">
      <c r="A86" s="3117">
        <v>14</v>
      </c>
      <c r="B86" s="3765"/>
      <c r="C86" s="3091" t="s">
        <v>2680</v>
      </c>
      <c r="D86" s="3091" t="s">
        <v>2681</v>
      </c>
      <c r="E86" s="3117">
        <v>0.1</v>
      </c>
      <c r="F86" s="3117">
        <v>15</v>
      </c>
    </row>
    <row r="87" spans="1:6" ht="24">
      <c r="A87" s="3117">
        <v>15</v>
      </c>
      <c r="B87" s="3765"/>
      <c r="C87" s="3091" t="s">
        <v>2682</v>
      </c>
      <c r="D87" s="3091" t="s">
        <v>2683</v>
      </c>
      <c r="E87" s="3117">
        <v>0.1</v>
      </c>
      <c r="F87" s="3117">
        <v>15</v>
      </c>
    </row>
    <row r="88" spans="1:6" ht="24">
      <c r="A88" s="3117">
        <v>16</v>
      </c>
      <c r="B88" s="3765"/>
      <c r="C88" s="3091" t="s">
        <v>2684</v>
      </c>
      <c r="D88" s="3091" t="s">
        <v>2685</v>
      </c>
      <c r="E88" s="3117">
        <v>0.1</v>
      </c>
      <c r="F88" s="3117">
        <v>15</v>
      </c>
    </row>
    <row r="89" spans="1:6" ht="24">
      <c r="A89" s="3117">
        <v>17</v>
      </c>
      <c r="B89" s="3764"/>
      <c r="C89" s="3091" t="s">
        <v>2686</v>
      </c>
      <c r="D89" s="3091" t="s">
        <v>2687</v>
      </c>
      <c r="E89" s="3117">
        <v>0.1</v>
      </c>
      <c r="F89" s="3117">
        <v>15</v>
      </c>
    </row>
    <row r="90" spans="1:6" ht="14.4">
      <c r="A90" s="3117">
        <v>18</v>
      </c>
      <c r="B90" s="3763" t="s">
        <v>2688</v>
      </c>
      <c r="C90" s="3091" t="s">
        <v>2689</v>
      </c>
      <c r="D90" s="3091" t="s">
        <v>2690</v>
      </c>
      <c r="E90" s="3117">
        <v>0.2</v>
      </c>
      <c r="F90" s="3117">
        <v>25</v>
      </c>
    </row>
    <row r="91" spans="1:6" ht="24">
      <c r="A91" s="3117">
        <v>19</v>
      </c>
      <c r="B91" s="3765"/>
      <c r="C91" s="3091" t="s">
        <v>2691</v>
      </c>
      <c r="D91" s="3091" t="s">
        <v>2692</v>
      </c>
      <c r="E91" s="3117">
        <v>0.2</v>
      </c>
      <c r="F91" s="3117">
        <v>25</v>
      </c>
    </row>
    <row r="92" spans="1:6" ht="14.4">
      <c r="A92" s="3117">
        <v>20</v>
      </c>
      <c r="B92" s="3765"/>
      <c r="C92" s="3091" t="s">
        <v>2693</v>
      </c>
      <c r="D92" s="3091" t="s">
        <v>2694</v>
      </c>
      <c r="E92" s="3117">
        <v>0.15</v>
      </c>
      <c r="F92" s="3117">
        <v>20</v>
      </c>
    </row>
    <row r="93" spans="1:6" ht="24">
      <c r="A93" s="3117">
        <v>21</v>
      </c>
      <c r="B93" s="3765"/>
      <c r="C93" s="3091" t="s">
        <v>2695</v>
      </c>
      <c r="D93" s="3091" t="s">
        <v>2696</v>
      </c>
      <c r="E93" s="3117">
        <v>0.15</v>
      </c>
      <c r="F93" s="3117">
        <v>20</v>
      </c>
    </row>
    <row r="94" spans="1:6" ht="24">
      <c r="A94" s="3117">
        <v>22</v>
      </c>
      <c r="B94" s="3765"/>
      <c r="C94" s="3091" t="s">
        <v>2697</v>
      </c>
      <c r="D94" s="3091" t="s">
        <v>2698</v>
      </c>
      <c r="E94" s="3117">
        <v>0.15</v>
      </c>
      <c r="F94" s="3117">
        <v>20</v>
      </c>
    </row>
    <row r="95" spans="1:6" ht="36">
      <c r="A95" s="3117">
        <v>23</v>
      </c>
      <c r="B95" s="3765"/>
      <c r="C95" s="3091" t="s">
        <v>2699</v>
      </c>
      <c r="D95" s="3091" t="s">
        <v>2700</v>
      </c>
      <c r="E95" s="3117">
        <v>0.15</v>
      </c>
      <c r="F95" s="3117">
        <v>20</v>
      </c>
    </row>
    <row r="96" spans="1:6" ht="24">
      <c r="A96" s="3117">
        <v>24</v>
      </c>
      <c r="B96" s="3765"/>
      <c r="C96" s="3091" t="s">
        <v>2701</v>
      </c>
      <c r="D96" s="3091" t="s">
        <v>2702</v>
      </c>
      <c r="E96" s="3117">
        <v>0.1</v>
      </c>
      <c r="F96" s="3117">
        <v>15</v>
      </c>
    </row>
    <row r="97" spans="1:6" ht="24">
      <c r="A97" s="3117">
        <v>25</v>
      </c>
      <c r="B97" s="3765"/>
      <c r="C97" s="3091" t="s">
        <v>2703</v>
      </c>
      <c r="D97" s="3091" t="s">
        <v>2704</v>
      </c>
      <c r="E97" s="3117">
        <v>0.1</v>
      </c>
      <c r="F97" s="3117">
        <v>15</v>
      </c>
    </row>
    <row r="98" spans="1:6" ht="24">
      <c r="A98" s="3117">
        <v>26</v>
      </c>
      <c r="B98" s="3765"/>
      <c r="C98" s="3091" t="s">
        <v>2705</v>
      </c>
      <c r="D98" s="3091" t="s">
        <v>2706</v>
      </c>
      <c r="E98" s="3117">
        <v>0.1</v>
      </c>
      <c r="F98" s="3117">
        <v>15</v>
      </c>
    </row>
    <row r="99" spans="1:6" ht="24">
      <c r="A99" s="3117">
        <v>27</v>
      </c>
      <c r="B99" s="3765"/>
      <c r="C99" s="3091" t="s">
        <v>2707</v>
      </c>
      <c r="D99" s="3091" t="s">
        <v>2708</v>
      </c>
      <c r="E99" s="3117">
        <v>0.1</v>
      </c>
      <c r="F99" s="3117">
        <v>15</v>
      </c>
    </row>
    <row r="100" spans="1:6" ht="24">
      <c r="A100" s="3117">
        <v>28</v>
      </c>
      <c r="B100" s="3765"/>
      <c r="C100" s="3091" t="s">
        <v>2709</v>
      </c>
      <c r="D100" s="3091" t="s">
        <v>2710</v>
      </c>
      <c r="E100" s="3117">
        <v>0.1</v>
      </c>
      <c r="F100" s="3117">
        <v>15</v>
      </c>
    </row>
    <row r="101" spans="1:6" ht="24">
      <c r="A101" s="3117">
        <v>29</v>
      </c>
      <c r="B101" s="3765"/>
      <c r="C101" s="3091" t="s">
        <v>2711</v>
      </c>
      <c r="D101" s="3091" t="s">
        <v>2712</v>
      </c>
      <c r="E101" s="3117">
        <v>0.1</v>
      </c>
      <c r="F101" s="3117">
        <v>15</v>
      </c>
    </row>
    <row r="102" spans="1:6" ht="24">
      <c r="A102" s="3117">
        <v>30</v>
      </c>
      <c r="B102" s="3765"/>
      <c r="C102" s="3091" t="s">
        <v>2713</v>
      </c>
      <c r="D102" s="3091" t="s">
        <v>2714</v>
      </c>
      <c r="E102" s="3117">
        <v>0.1</v>
      </c>
      <c r="F102" s="3117">
        <v>15</v>
      </c>
    </row>
    <row r="103" spans="1:6" ht="24">
      <c r="A103" s="3117">
        <v>31</v>
      </c>
      <c r="B103" s="3765"/>
      <c r="C103" s="3091" t="s">
        <v>2715</v>
      </c>
      <c r="D103" s="3091" t="s">
        <v>2716</v>
      </c>
      <c r="E103" s="3117">
        <v>0.1</v>
      </c>
      <c r="F103" s="3117">
        <v>15</v>
      </c>
    </row>
    <row r="104" spans="1:6" ht="24">
      <c r="A104" s="3117">
        <v>32</v>
      </c>
      <c r="B104" s="3765"/>
      <c r="C104" s="3091" t="s">
        <v>2717</v>
      </c>
      <c r="D104" s="3091" t="s">
        <v>2718</v>
      </c>
      <c r="E104" s="3117">
        <v>0.1</v>
      </c>
      <c r="F104" s="3117">
        <v>15</v>
      </c>
    </row>
    <row r="105" spans="1:6" ht="24">
      <c r="A105" s="3117">
        <v>33</v>
      </c>
      <c r="B105" s="3765"/>
      <c r="C105" s="3091" t="s">
        <v>2719</v>
      </c>
      <c r="D105" s="3091" t="s">
        <v>2720</v>
      </c>
      <c r="E105" s="3117">
        <v>0.1</v>
      </c>
      <c r="F105" s="3117">
        <v>15</v>
      </c>
    </row>
    <row r="106" spans="1:6" ht="24">
      <c r="A106" s="3117">
        <v>34</v>
      </c>
      <c r="B106" s="3764"/>
      <c r="C106" s="3091" t="s">
        <v>2721</v>
      </c>
      <c r="D106" s="3091" t="s">
        <v>2722</v>
      </c>
      <c r="E106" s="3117">
        <v>0.1</v>
      </c>
      <c r="F106" s="3117">
        <v>15</v>
      </c>
    </row>
    <row r="107" spans="1:6" ht="36">
      <c r="A107" s="3117">
        <v>35</v>
      </c>
      <c r="B107" s="3763" t="s">
        <v>2723</v>
      </c>
      <c r="C107" s="3117" t="s">
        <v>2724</v>
      </c>
      <c r="D107" s="3091" t="s">
        <v>2725</v>
      </c>
      <c r="E107" s="3117">
        <v>0.15</v>
      </c>
      <c r="F107" s="3117">
        <v>20</v>
      </c>
    </row>
    <row r="108" spans="1:6" ht="24">
      <c r="A108" s="3117">
        <v>36</v>
      </c>
      <c r="B108" s="3765"/>
      <c r="C108" s="3117" t="s">
        <v>2726</v>
      </c>
      <c r="D108" s="3091" t="s">
        <v>2727</v>
      </c>
      <c r="E108" s="3117">
        <v>0.15</v>
      </c>
      <c r="F108" s="3117">
        <v>20</v>
      </c>
    </row>
    <row r="109" spans="1:6" ht="24">
      <c r="A109" s="3117">
        <v>37</v>
      </c>
      <c r="B109" s="3765"/>
      <c r="C109" s="3117" t="s">
        <v>2728</v>
      </c>
      <c r="D109" s="3091" t="s">
        <v>2729</v>
      </c>
      <c r="E109" s="3117">
        <v>0.15</v>
      </c>
      <c r="F109" s="3117">
        <v>20</v>
      </c>
    </row>
    <row r="110" spans="1:6" ht="24">
      <c r="A110" s="3117">
        <v>38</v>
      </c>
      <c r="B110" s="3765"/>
      <c r="C110" s="3117" t="s">
        <v>2730</v>
      </c>
      <c r="D110" s="3091" t="s">
        <v>2731</v>
      </c>
      <c r="E110" s="3117">
        <v>0.1</v>
      </c>
      <c r="F110" s="3117">
        <v>15</v>
      </c>
    </row>
    <row r="111" spans="1:6" ht="24">
      <c r="A111" s="3117">
        <v>39</v>
      </c>
      <c r="B111" s="3765"/>
      <c r="C111" s="3117" t="s">
        <v>2732</v>
      </c>
      <c r="D111" s="3091" t="s">
        <v>2733</v>
      </c>
      <c r="E111" s="3117">
        <v>0.1</v>
      </c>
      <c r="F111" s="3117">
        <v>15</v>
      </c>
    </row>
    <row r="112" spans="1:6" ht="24">
      <c r="A112" s="3117">
        <v>40</v>
      </c>
      <c r="B112" s="3764"/>
      <c r="C112" s="3117" t="s">
        <v>2734</v>
      </c>
      <c r="D112" s="3091" t="s">
        <v>2735</v>
      </c>
      <c r="E112" s="3117">
        <v>0.1</v>
      </c>
      <c r="F112" s="3117">
        <v>15</v>
      </c>
    </row>
    <row r="113" spans="1:6" ht="24">
      <c r="A113" s="3117">
        <v>41</v>
      </c>
      <c r="B113" s="3762" t="s">
        <v>2736</v>
      </c>
      <c r="C113" s="3117" t="s">
        <v>2737</v>
      </c>
      <c r="D113" s="3091" t="s">
        <v>2738</v>
      </c>
      <c r="E113" s="3117">
        <v>0.1</v>
      </c>
      <c r="F113" s="3117">
        <v>15</v>
      </c>
    </row>
    <row r="114" spans="1:6" ht="24">
      <c r="A114" s="3117">
        <v>42</v>
      </c>
      <c r="B114" s="3762"/>
      <c r="C114" s="3117" t="s">
        <v>2739</v>
      </c>
      <c r="D114" s="3091" t="s">
        <v>2740</v>
      </c>
      <c r="E114" s="3117">
        <v>0.1</v>
      </c>
      <c r="F114" s="3117">
        <v>15</v>
      </c>
    </row>
    <row r="115" spans="1:6" ht="24">
      <c r="A115" s="3117">
        <v>43</v>
      </c>
      <c r="B115" s="3762"/>
      <c r="C115" s="3117" t="s">
        <v>2741</v>
      </c>
      <c r="D115" s="3091" t="s">
        <v>2742</v>
      </c>
      <c r="E115" s="3117">
        <v>0.1</v>
      </c>
      <c r="F115" s="3117">
        <v>15</v>
      </c>
    </row>
    <row r="116" spans="1:6" ht="24">
      <c r="A116" s="3117">
        <v>44</v>
      </c>
      <c r="B116" s="3763" t="s">
        <v>2743</v>
      </c>
      <c r="C116" s="3117" t="s">
        <v>2744</v>
      </c>
      <c r="D116" s="3091" t="s">
        <v>2745</v>
      </c>
      <c r="E116" s="3117">
        <v>0.1</v>
      </c>
      <c r="F116" s="3117">
        <v>15</v>
      </c>
    </row>
    <row r="117" spans="1:6" ht="24">
      <c r="A117" s="3117">
        <v>45</v>
      </c>
      <c r="B117" s="3764"/>
      <c r="C117" s="3091" t="s">
        <v>2746</v>
      </c>
      <c r="D117" s="3091" t="s">
        <v>2747</v>
      </c>
      <c r="E117" s="3117">
        <v>0.1</v>
      </c>
      <c r="F117" s="3117">
        <v>15</v>
      </c>
    </row>
    <row r="118" spans="1:6" ht="24">
      <c r="A118" s="3117">
        <v>46</v>
      </c>
      <c r="B118" s="3763" t="s">
        <v>2748</v>
      </c>
      <c r="C118" s="3117" t="s">
        <v>2749</v>
      </c>
      <c r="D118" s="3091" t="s">
        <v>2750</v>
      </c>
      <c r="E118" s="3117">
        <v>0.1</v>
      </c>
      <c r="F118" s="3117">
        <v>15</v>
      </c>
    </row>
    <row r="119" spans="1:6" ht="24">
      <c r="A119" s="3117">
        <v>47</v>
      </c>
      <c r="B119" s="3764"/>
      <c r="C119" s="3117" t="s">
        <v>2751</v>
      </c>
      <c r="D119" s="3091" t="s">
        <v>2752</v>
      </c>
      <c r="E119" s="3117">
        <v>0.1</v>
      </c>
      <c r="F119" s="3117">
        <v>15</v>
      </c>
    </row>
    <row r="120" spans="1:6" ht="24">
      <c r="A120" s="3117">
        <v>48</v>
      </c>
      <c r="B120" s="3763" t="s">
        <v>2753</v>
      </c>
      <c r="C120" s="3117" t="s">
        <v>2754</v>
      </c>
      <c r="D120" s="3091" t="s">
        <v>2755</v>
      </c>
      <c r="E120" s="3117">
        <v>0.1</v>
      </c>
      <c r="F120" s="3117">
        <v>15</v>
      </c>
    </row>
    <row r="121" spans="1:6" ht="24">
      <c r="A121" s="3117">
        <v>49</v>
      </c>
      <c r="B121" s="3764"/>
      <c r="C121" s="3117" t="s">
        <v>2756</v>
      </c>
      <c r="D121" s="3091" t="s">
        <v>2757</v>
      </c>
      <c r="E121" s="3117">
        <v>0.1</v>
      </c>
      <c r="F121" s="3117">
        <v>15</v>
      </c>
    </row>
    <row r="122" spans="1:6" ht="24">
      <c r="A122" s="3117">
        <v>50</v>
      </c>
      <c r="B122" s="3762" t="s">
        <v>2758</v>
      </c>
      <c r="C122" s="3117" t="s">
        <v>2759</v>
      </c>
      <c r="D122" s="3091" t="s">
        <v>2760</v>
      </c>
      <c r="E122" s="3117">
        <v>0.1</v>
      </c>
      <c r="F122" s="3117">
        <v>15</v>
      </c>
    </row>
    <row r="123" spans="1:6" ht="24">
      <c r="A123" s="3117">
        <v>51</v>
      </c>
      <c r="B123" s="3762"/>
      <c r="C123" s="3117" t="s">
        <v>2761</v>
      </c>
      <c r="D123" s="3091" t="s">
        <v>2762</v>
      </c>
      <c r="E123" s="3117">
        <v>0.1</v>
      </c>
      <c r="F123" s="3117">
        <v>15</v>
      </c>
    </row>
    <row r="124" spans="1:6" ht="24">
      <c r="A124" s="3117">
        <v>52</v>
      </c>
      <c r="B124" s="3762" t="s">
        <v>2763</v>
      </c>
      <c r="C124" s="3117" t="s">
        <v>2764</v>
      </c>
      <c r="D124" s="3091" t="s">
        <v>2765</v>
      </c>
      <c r="E124" s="3117">
        <v>0.1</v>
      </c>
      <c r="F124" s="3117">
        <v>15</v>
      </c>
    </row>
    <row r="125" spans="1:6" ht="24">
      <c r="A125" s="3117">
        <v>53</v>
      </c>
      <c r="B125" s="3762"/>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62" t="s">
        <v>2771</v>
      </c>
      <c r="C127" s="3117" t="s">
        <v>2772</v>
      </c>
      <c r="D127" s="3091" t="s">
        <v>2773</v>
      </c>
      <c r="E127" s="3117">
        <v>0.1</v>
      </c>
      <c r="F127" s="3117">
        <v>15</v>
      </c>
    </row>
    <row r="128" spans="1:6" ht="24">
      <c r="A128" s="3117">
        <v>56</v>
      </c>
      <c r="B128" s="3762"/>
      <c r="C128" s="3117" t="s">
        <v>2774</v>
      </c>
      <c r="D128" s="3091" t="s">
        <v>2775</v>
      </c>
      <c r="E128" s="3117">
        <v>0.1</v>
      </c>
      <c r="F128" s="3117">
        <v>15</v>
      </c>
    </row>
    <row r="129" spans="1:6" ht="24">
      <c r="A129" s="3117">
        <v>57</v>
      </c>
      <c r="B129" s="3762"/>
      <c r="C129" s="3117" t="s">
        <v>2776</v>
      </c>
      <c r="D129" s="3091" t="s">
        <v>2777</v>
      </c>
      <c r="E129" s="3117">
        <v>0.1</v>
      </c>
      <c r="F129" s="3117">
        <v>15</v>
      </c>
    </row>
    <row r="130" spans="1:6" ht="24">
      <c r="A130" s="3117">
        <v>58</v>
      </c>
      <c r="B130" s="3762" t="s">
        <v>2778</v>
      </c>
      <c r="C130" s="3117" t="s">
        <v>2779</v>
      </c>
      <c r="D130" s="3091" t="s">
        <v>2780</v>
      </c>
      <c r="E130" s="3117">
        <v>0.1</v>
      </c>
      <c r="F130" s="3117">
        <v>15</v>
      </c>
    </row>
    <row r="131" spans="1:6" ht="24">
      <c r="A131" s="3117">
        <v>59</v>
      </c>
      <c r="B131" s="3762"/>
      <c r="C131" s="3117" t="s">
        <v>2781</v>
      </c>
      <c r="D131" s="3091" t="s">
        <v>2782</v>
      </c>
      <c r="E131" s="3117">
        <v>0.1</v>
      </c>
      <c r="F131" s="3117">
        <v>15</v>
      </c>
    </row>
    <row r="132" spans="1:6" ht="24">
      <c r="A132" s="3117">
        <v>60</v>
      </c>
      <c r="B132" s="3763" t="s">
        <v>2783</v>
      </c>
      <c r="C132" s="3117" t="s">
        <v>2784</v>
      </c>
      <c r="D132" s="3091" t="s">
        <v>2785</v>
      </c>
      <c r="E132" s="3117">
        <v>0.1</v>
      </c>
      <c r="F132" s="3117">
        <v>15</v>
      </c>
    </row>
    <row r="133" spans="1:6" ht="24">
      <c r="A133" s="3117">
        <v>61</v>
      </c>
      <c r="B133" s="3764"/>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62" t="s">
        <v>2791</v>
      </c>
      <c r="C135" s="3117" t="s">
        <v>2792</v>
      </c>
      <c r="D135" s="3091" t="s">
        <v>2793</v>
      </c>
      <c r="E135" s="3117">
        <v>0.1</v>
      </c>
      <c r="F135" s="3117">
        <v>15</v>
      </c>
    </row>
    <row r="136" spans="1:6" ht="24">
      <c r="A136" s="3117">
        <v>64</v>
      </c>
      <c r="B136" s="3762"/>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27734</v>
      </c>
      <c r="C2" s="2" t="s">
        <v>106</v>
      </c>
      <c r="D2" s="199"/>
      <c r="E2" s="199"/>
      <c r="F2" s="199"/>
      <c r="G2" s="199"/>
    </row>
    <row r="3" spans="1:7" s="200" customFormat="1" ht="18" customHeight="1" thickBot="1">
      <c r="A3" s="203" t="s">
        <v>58</v>
      </c>
      <c r="B3" s="204">
        <f ca="1">ROUND(B2*10000/'数据-汇总表'!E3,0)</f>
        <v>1422038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195.03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195.03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195.03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6.9999999999999999E-4</v>
      </c>
      <c r="D44" s="238"/>
      <c r="E44" s="238"/>
      <c r="F44" s="239"/>
      <c r="G44" s="3640"/>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127</v>
      </c>
      <c r="D49" s="232"/>
      <c r="E49" s="232"/>
      <c r="F49" s="264"/>
      <c r="G49" s="234" t="s">
        <v>435</v>
      </c>
    </row>
    <row r="50" spans="1:7" s="258" customFormat="1" ht="24">
      <c r="A50" s="777" t="s">
        <v>344</v>
      </c>
      <c r="B50" s="210" t="s">
        <v>97</v>
      </c>
      <c r="C50" s="232"/>
      <c r="D50" s="232"/>
      <c r="E50" s="232"/>
      <c r="F50" s="264">
        <f>IF('数据-取费表'!B24=0,'数据-取费表'!N16,1)</f>
        <v>0</v>
      </c>
      <c r="G50" s="247" t="s">
        <v>98</v>
      </c>
    </row>
    <row r="51" spans="1:7" ht="16.5" customHeight="1">
      <c r="A51" s="777" t="s">
        <v>345</v>
      </c>
      <c r="B51" s="210" t="s">
        <v>105</v>
      </c>
      <c r="C51" s="232">
        <f ca="1">ROUND(C49*F50,0)</f>
        <v>0</v>
      </c>
      <c r="D51" s="232"/>
      <c r="E51" s="232"/>
      <c r="F51" s="264"/>
      <c r="G51" s="234" t="s">
        <v>37</v>
      </c>
    </row>
    <row r="52" spans="1:7" s="208" customFormat="1" ht="16.8" thickBot="1">
      <c r="A52" s="265" t="s">
        <v>38</v>
      </c>
      <c r="B52" s="266"/>
      <c r="C52" s="267">
        <f ca="1">C31+C51</f>
        <v>27734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7.399999999999999">
      <c r="A3" s="3461" t="str">
        <f>IF(项目基本情况!B9="房地产市场价值","估价结果一览表（市场价值不需“结果表-1”）","估价结果一览表")</f>
        <v>估价结果一览表</v>
      </c>
      <c r="B3" s="3461"/>
      <c r="C3" s="3461"/>
      <c r="D3" s="3461"/>
      <c r="E3" s="3461"/>
    </row>
    <row r="4" spans="1:5" ht="18" thickBot="1">
      <c r="A4" s="1493"/>
      <c r="B4" s="3459" t="s">
        <v>917</v>
      </c>
      <c r="C4" s="3459"/>
      <c r="D4" s="3459"/>
      <c r="E4" s="1493"/>
    </row>
    <row r="5" spans="1:5" ht="16.2" thickTop="1">
      <c r="A5" s="1491"/>
      <c r="B5" s="3457" t="s">
        <v>909</v>
      </c>
      <c r="C5" s="1494" t="s">
        <v>910</v>
      </c>
      <c r="D5" s="850" t="e">
        <f ca="1">结果表!H101</f>
        <v>#REF!</v>
      </c>
      <c r="E5" s="1491"/>
    </row>
    <row r="6" spans="1:5" ht="15.6">
      <c r="A6" s="1491"/>
      <c r="B6" s="3457"/>
      <c r="C6" s="1494" t="s">
        <v>911</v>
      </c>
      <c r="D6" s="850" t="e">
        <f ca="1">NUMBERSTRING(INT(D5*10000),2)&amp;"元整"</f>
        <v>#REF!</v>
      </c>
      <c r="E6" s="1491"/>
    </row>
    <row r="7" spans="1:5" ht="15.6">
      <c r="A7" s="1491"/>
      <c r="B7" s="3462"/>
      <c r="C7" s="1495" t="s">
        <v>912</v>
      </c>
      <c r="D7" s="851" t="e">
        <f ca="1">结果表!H102</f>
        <v>#REF!</v>
      </c>
      <c r="E7" s="1491"/>
    </row>
    <row r="8" spans="1:5" ht="15.6">
      <c r="A8" s="1491"/>
      <c r="B8" s="3463" t="str">
        <f>结果表!E103</f>
        <v>2.估价师知悉的法定优先受偿款</v>
      </c>
      <c r="C8" s="1496" t="s">
        <v>913</v>
      </c>
      <c r="D8" s="851">
        <f>结果表!H103</f>
        <v>0</v>
      </c>
      <c r="E8" s="1491"/>
    </row>
    <row r="9" spans="1:5" ht="15.6">
      <c r="A9" s="1491"/>
      <c r="B9" s="346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6" t="str">
        <f>结果表!E107</f>
        <v>3.房地产抵押价值</v>
      </c>
      <c r="C13" s="1499" t="s">
        <v>910</v>
      </c>
      <c r="D13" s="853" t="e">
        <f ca="1">结果表!H107</f>
        <v>#REF!</v>
      </c>
      <c r="E13" s="1491"/>
    </row>
    <row r="14" spans="1:5" ht="15.6">
      <c r="A14" s="1491"/>
      <c r="B14" s="3457"/>
      <c r="C14" s="1494" t="s">
        <v>911</v>
      </c>
      <c r="D14" s="850" t="e">
        <f ca="1">NUMBERSTRING(INT(D13*10000),2)&amp;"元整"</f>
        <v>#REF!</v>
      </c>
      <c r="E14" s="1491"/>
    </row>
    <row r="15" spans="1:5" ht="15.6">
      <c r="A15" s="1491"/>
      <c r="B15" s="3462"/>
      <c r="C15" s="1495" t="s">
        <v>921</v>
      </c>
      <c r="D15" s="859" t="e">
        <f ca="1">结果表!H108</f>
        <v>#REF!</v>
      </c>
      <c r="E15" s="1491"/>
    </row>
    <row r="16" spans="1:5" ht="15.6">
      <c r="A16" s="1491"/>
      <c r="B16" s="3463" t="str">
        <f>结果表!E109</f>
        <v>——</v>
      </c>
      <c r="C16" s="1499" t="s">
        <v>922</v>
      </c>
      <c r="D16" s="1500" t="str">
        <f>结果表!H109</f>
        <v>——</v>
      </c>
      <c r="E16" s="1491"/>
    </row>
    <row r="17" spans="1:5" ht="15.6">
      <c r="A17" s="1491"/>
      <c r="B17" s="3464"/>
      <c r="C17" s="1494" t="s">
        <v>923</v>
      </c>
      <c r="D17" s="850" t="e">
        <f>NUMBERSTRING(INT(D16*10000),2)&amp;"元整"</f>
        <v>#VALUE!</v>
      </c>
      <c r="E17" s="1491"/>
    </row>
    <row r="18" spans="1:5" ht="15.6">
      <c r="A18" s="1491"/>
      <c r="B18" s="3465"/>
      <c r="C18" s="1495" t="s">
        <v>912</v>
      </c>
      <c r="D18" s="859" t="str">
        <f>结果表!H110</f>
        <v>——</v>
      </c>
      <c r="E18" s="1491"/>
    </row>
    <row r="19" spans="1:5" ht="15.6">
      <c r="A19" s="1491"/>
      <c r="B19" s="3456" t="str">
        <f>结果表!E111</f>
        <v>——</v>
      </c>
      <c r="C19" s="1499" t="s">
        <v>910</v>
      </c>
      <c r="D19" s="851" t="str">
        <f>结果表!H111</f>
        <v>——</v>
      </c>
      <c r="E19" s="1491"/>
    </row>
    <row r="20" spans="1:5" ht="15.6">
      <c r="A20" s="1491"/>
      <c r="B20" s="3457"/>
      <c r="C20" s="1494" t="s">
        <v>923</v>
      </c>
      <c r="D20" s="850" t="e">
        <f>NUMBERSTRING(INT(D19*10000),2)&amp;"元整"</f>
        <v>#VALUE!</v>
      </c>
      <c r="E20" s="1491"/>
    </row>
    <row r="21" spans="1:5" ht="16.2" thickBot="1">
      <c r="A21" s="1491"/>
      <c r="B21" s="345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6" t="s">
        <v>2841</v>
      </c>
      <c r="B1" s="3776"/>
      <c r="C1" s="3776"/>
      <c r="D1" s="3776"/>
      <c r="E1" s="3776"/>
      <c r="F1" s="3776"/>
      <c r="G1" s="3777"/>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4"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75"/>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8" t="s">
        <v>3183</v>
      </c>
      <c r="B1" s="3778"/>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79" t="s">
        <v>3234</v>
      </c>
      <c r="B1" s="3779"/>
      <c r="C1" s="3779"/>
      <c r="D1" s="3779"/>
      <c r="E1" s="3779"/>
      <c r="F1" s="3780"/>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45539</v>
      </c>
      <c r="B1" s="3209" t="s">
        <v>3373</v>
      </c>
      <c r="C1" s="3210"/>
      <c r="D1" s="3210"/>
      <c r="E1" s="3210"/>
      <c r="F1" s="3210"/>
      <c r="G1" s="3210"/>
      <c r="H1" s="3210"/>
      <c r="I1" s="3210"/>
      <c r="J1" s="3164"/>
      <c r="K1" s="3210" t="s">
        <v>454</v>
      </c>
      <c r="L1" s="3210"/>
      <c r="M1" s="3210"/>
      <c r="N1" s="3210"/>
      <c r="O1" s="3210"/>
      <c r="P1" s="3210"/>
      <c r="Q1" s="3164"/>
      <c r="R1" s="3781" t="s">
        <v>456</v>
      </c>
      <c r="S1" s="3782"/>
      <c r="T1" s="3782"/>
      <c r="U1" s="3782"/>
      <c r="V1" s="3782"/>
      <c r="W1" s="3782"/>
      <c r="X1" s="3164"/>
      <c r="Y1" s="3781" t="s">
        <v>457</v>
      </c>
      <c r="Z1" s="3782"/>
      <c r="AA1" s="3782"/>
      <c r="AB1" s="3782"/>
      <c r="AC1" s="3782"/>
      <c r="AD1" s="3782"/>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3368</v>
      </c>
    </row>
    <row r="22" spans="1:30" s="3008" customFormat="1">
      <c r="I22" s="3207" t="s">
        <v>2827</v>
      </c>
    </row>
    <row r="23" spans="1:30" s="3008" customFormat="1"/>
    <row r="24" spans="1:30" s="3208" customFormat="1" ht="13.2">
      <c r="B24" s="3209" t="s">
        <v>3374</v>
      </c>
      <c r="C24" s="3210"/>
      <c r="D24" s="3210"/>
      <c r="E24" s="3210"/>
      <c r="F24" s="3210"/>
      <c r="G24" s="3210"/>
      <c r="H24" s="3210"/>
      <c r="I24" s="3210"/>
      <c r="J24" s="3164"/>
      <c r="K24" s="3210" t="s">
        <v>2828</v>
      </c>
      <c r="L24" s="3210"/>
      <c r="M24" s="3210"/>
      <c r="N24" s="3210"/>
      <c r="O24" s="3210"/>
      <c r="P24" s="3210"/>
      <c r="Q24" s="3164"/>
      <c r="R24" s="3781" t="s">
        <v>2829</v>
      </c>
      <c r="S24" s="3782"/>
      <c r="T24" s="3782"/>
      <c r="U24" s="3782"/>
      <c r="V24" s="3782"/>
      <c r="W24" s="3782"/>
      <c r="X24" s="3164"/>
      <c r="Y24" s="3781" t="s">
        <v>2830</v>
      </c>
      <c r="Z24" s="3782"/>
      <c r="AA24" s="3782"/>
      <c r="AB24" s="3782"/>
      <c r="AC24" s="3782"/>
      <c r="AD24" s="3782"/>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6">
      <c r="A3" s="3469"/>
      <c r="B3" s="3469"/>
      <c r="C3" s="3469"/>
      <c r="D3" s="854" t="s">
        <v>925</v>
      </c>
      <c r="E3" s="854" t="s">
        <v>931</v>
      </c>
      <c r="F3" s="854" t="s">
        <v>925</v>
      </c>
      <c r="G3" s="854" t="s">
        <v>926</v>
      </c>
      <c r="H3" s="854" t="s">
        <v>925</v>
      </c>
      <c r="I3" s="854" t="s">
        <v>926</v>
      </c>
    </row>
    <row r="4" spans="1:9" ht="30">
      <c r="A4" s="1505" t="str">
        <f>项目基本情况!S2</f>
        <v>北京市东城区南竹杆胡同2号房地产</v>
      </c>
      <c r="B4" s="854">
        <f>项目基本情况!C17</f>
        <v>195.03</v>
      </c>
      <c r="C4" s="854">
        <f>项目基本情况!C18</f>
        <v>0</v>
      </c>
      <c r="D4" s="854">
        <f>结果表!D118</f>
        <v>0</v>
      </c>
      <c r="E4" s="854">
        <f>结果表!E118</f>
        <v>0</v>
      </c>
      <c r="F4" s="854">
        <f>结果表!F118</f>
        <v>0</v>
      </c>
      <c r="G4" s="854">
        <f>结果表!G118</f>
        <v>0</v>
      </c>
      <c r="H4" s="854" t="e">
        <f ca="1">结果表!H118</f>
        <v>#REF!</v>
      </c>
      <c r="I4" s="854" t="e">
        <f ca="1">结果表!I118</f>
        <v>#REF!</v>
      </c>
    </row>
    <row r="5" spans="1:9" ht="30" customHeight="1">
      <c r="A5" s="3469" t="s">
        <v>927</v>
      </c>
      <c r="B5" s="3469"/>
      <c r="C5" s="3469"/>
      <c r="D5" s="3469" t="str">
        <f>结果表!D119</f>
        <v>零元整</v>
      </c>
      <c r="E5" s="3469"/>
      <c r="F5" s="3469" t="str">
        <f>结果表!F119</f>
        <v>零元整</v>
      </c>
      <c r="G5" s="3469"/>
      <c r="H5" s="3469" t="e">
        <f ca="1">结果表!H119</f>
        <v>#REF!</v>
      </c>
      <c r="I5" s="3469"/>
    </row>
    <row r="6" spans="1:9" ht="15.6">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6">
      <c r="A8" s="3468" t="str">
        <f>结果表!A122</f>
        <v>房地产抵押价值</v>
      </c>
      <c r="B8" s="3468"/>
      <c r="C8" s="3468"/>
      <c r="D8" s="3468" t="e">
        <f ca="1">结果表!D122</f>
        <v>#REF!</v>
      </c>
      <c r="E8" s="3468"/>
      <c r="F8" s="3468"/>
      <c r="G8" s="3468"/>
      <c r="H8" s="3468"/>
      <c r="I8" s="3468"/>
    </row>
    <row r="9" spans="1:9" ht="15">
      <c r="A9" s="3469" t="s">
        <v>927</v>
      </c>
      <c r="B9" s="3469"/>
      <c r="C9" s="3469"/>
      <c r="D9" s="3469" t="e">
        <f ca="1">结果表!D123</f>
        <v>#REF!</v>
      </c>
      <c r="E9" s="3469"/>
      <c r="F9" s="3469"/>
      <c r="G9" s="3469"/>
      <c r="H9" s="3469"/>
      <c r="I9" s="3469"/>
    </row>
    <row r="10" spans="1:9" ht="15.6">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6">
      <c r="A12" s="3468" t="str">
        <f>结果表!A126</f>
        <v/>
      </c>
      <c r="B12" s="3468"/>
      <c r="C12" s="3468"/>
      <c r="D12" s="3468" t="str">
        <f>结果表!D126</f>
        <v>——</v>
      </c>
      <c r="E12" s="3468"/>
      <c r="F12" s="3468"/>
      <c r="G12" s="3468"/>
      <c r="H12" s="3468"/>
      <c r="I12" s="3468"/>
    </row>
    <row r="13" spans="1:9" ht="15.6" thickBot="1">
      <c r="A13" s="3466" t="s">
        <v>927</v>
      </c>
      <c r="B13" s="3466"/>
      <c r="C13" s="3466"/>
      <c r="D13" s="3466" t="e">
        <f>结果表!D127</f>
        <v>#VALUE!</v>
      </c>
      <c r="E13" s="3466"/>
      <c r="F13" s="3466"/>
      <c r="G13" s="3466"/>
      <c r="H13" s="3466"/>
      <c r="I13" s="3466"/>
    </row>
    <row r="14" spans="1:9" ht="14.4" thickTop="1">
      <c r="A14" s="3467" t="s">
        <v>932</v>
      </c>
      <c r="B14" s="3467"/>
      <c r="C14" s="3467"/>
      <c r="D14" s="3467"/>
      <c r="E14" s="3467"/>
      <c r="F14" s="3467"/>
      <c r="G14" s="3467"/>
      <c r="H14" s="3467"/>
      <c r="I14" s="346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1" t="s">
        <v>949</v>
      </c>
      <c r="B1" s="3481"/>
      <c r="C1" s="3481"/>
      <c r="D1" s="3481"/>
    </row>
    <row r="2" spans="1:4" ht="17.399999999999999">
      <c r="A2" s="3482" t="s">
        <v>933</v>
      </c>
      <c r="B2" s="3482"/>
      <c r="C2" s="3482"/>
      <c r="D2" s="348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2" t="s">
        <v>939</v>
      </c>
      <c r="B6" s="3482"/>
      <c r="C6" s="3482"/>
      <c r="D6" s="348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3" t="s">
        <v>942</v>
      </c>
      <c r="B11" s="3475"/>
      <c r="C11" s="3475"/>
      <c r="D11" s="3475"/>
    </row>
    <row r="12" spans="1:4" ht="15.6">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9" t="s">
        <v>956</v>
      </c>
      <c r="B15" s="3484" t="s">
        <v>109</v>
      </c>
      <c r="C15" s="3485"/>
    </row>
    <row r="16" spans="1:7" ht="14.4">
      <c r="A16" s="3490"/>
      <c r="B16" s="3484" t="s">
        <v>42</v>
      </c>
      <c r="C16" s="3485"/>
    </row>
    <row r="17" spans="1:3" ht="14.4">
      <c r="A17" s="3490"/>
      <c r="B17" s="3487" t="s">
        <v>957</v>
      </c>
      <c r="C17" s="1532" t="s">
        <v>956</v>
      </c>
    </row>
    <row r="18" spans="1:3" ht="14.4">
      <c r="A18" s="3490"/>
      <c r="B18" s="3487"/>
      <c r="C18" s="1532" t="s">
        <v>958</v>
      </c>
    </row>
    <row r="19" spans="1:3" ht="14.4">
      <c r="A19" s="3490"/>
      <c r="B19" s="3487"/>
      <c r="C19" s="1532" t="s">
        <v>959</v>
      </c>
    </row>
    <row r="20" spans="1:3" ht="14.4">
      <c r="A20" s="3491"/>
      <c r="B20" s="3486" t="s">
        <v>960</v>
      </c>
      <c r="C20" s="3485"/>
    </row>
    <row r="21" spans="1:3" ht="14.4">
      <c r="A21" s="1533" t="s">
        <v>961</v>
      </c>
      <c r="B21" s="1534"/>
      <c r="C21" s="1535"/>
    </row>
    <row r="22" spans="1:3" ht="14.4">
      <c r="A22" s="3488" t="s">
        <v>962</v>
      </c>
      <c r="B22" s="3486" t="s">
        <v>963</v>
      </c>
      <c r="C22" s="3485"/>
    </row>
    <row r="23" spans="1:3" ht="14.4">
      <c r="A23" s="3488"/>
      <c r="B23" s="3486" t="s">
        <v>964</v>
      </c>
      <c r="C23" s="3485"/>
    </row>
    <row r="24" spans="1:3" ht="14.4">
      <c r="A24" s="3488"/>
      <c r="B24" s="3486" t="s">
        <v>965</v>
      </c>
      <c r="C24" s="3485"/>
    </row>
    <row r="25" spans="1:3" ht="14.4">
      <c r="A25" s="3488"/>
      <c r="B25" s="3487" t="s">
        <v>966</v>
      </c>
      <c r="C25" s="1532" t="s">
        <v>967</v>
      </c>
    </row>
    <row r="26" spans="1:3" ht="14.4">
      <c r="A26" s="3488"/>
      <c r="B26" s="3487"/>
      <c r="C26" s="1532" t="s">
        <v>968</v>
      </c>
    </row>
    <row r="27" spans="1:3" ht="14.4">
      <c r="A27" s="3488"/>
      <c r="B27" s="3487"/>
      <c r="C27" s="1532" t="s">
        <v>969</v>
      </c>
    </row>
    <row r="28" spans="1:3" ht="14.4">
      <c r="A28" s="3488"/>
      <c r="B28" s="3487"/>
      <c r="C28" s="1532" t="s">
        <v>970</v>
      </c>
    </row>
    <row r="29" spans="1:3" ht="14.4">
      <c r="A29" s="3488"/>
      <c r="B29" s="3487"/>
      <c r="C29" s="1532" t="s">
        <v>971</v>
      </c>
    </row>
    <row r="30" spans="1:3" ht="14.4">
      <c r="A30" s="3488"/>
      <c r="B30" s="3487"/>
      <c r="C30" s="1532" t="s">
        <v>972</v>
      </c>
    </row>
    <row r="31" spans="1:3" ht="14.4">
      <c r="A31" s="3488"/>
      <c r="B31" s="3487"/>
      <c r="C31" s="1532" t="s">
        <v>973</v>
      </c>
    </row>
    <row r="32" spans="1:3" ht="14.4">
      <c r="A32" s="3488"/>
      <c r="B32" s="3487"/>
      <c r="C32" s="1532" t="s">
        <v>974</v>
      </c>
    </row>
    <row r="33" spans="1:3" ht="14.4">
      <c r="A33" s="3488"/>
      <c r="B33" s="348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2024-09-04T05:05:28Z</dcterms:modified>
</cp:coreProperties>
</file>