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7" i="76"/>
  <c r="C76" i="67"/>
  <c r="F7" i="15"/>
  <c r="F38" i="15"/>
  <c r="B8" i="76"/>
  <c r="AO13" i="1"/>
  <c r="M26" i="15"/>
  <c r="M8" i="15"/>
  <c r="M24" i="67"/>
  <c r="B12" i="76"/>
  <c r="F13" i="67"/>
  <c r="F6" i="15"/>
  <c r="F7" i="73"/>
  <c r="M28" i="67"/>
  <c r="D6" i="73"/>
  <c r="F16" i="67"/>
  <c r="F40" i="67"/>
  <c r="F13" i="15"/>
  <c r="L47" i="15"/>
  <c r="J15" i="67"/>
  <c r="M22" i="67"/>
  <c r="F36" i="15"/>
  <c r="F5" i="73"/>
  <c r="F43" i="15"/>
  <c r="D20" i="9"/>
  <c r="E9" i="76"/>
  <c r="F37" i="15"/>
  <c r="L48" i="67"/>
  <c r="B9" i="76"/>
  <c r="M26" i="67"/>
  <c r="F26" i="15"/>
  <c r="E12" i="76"/>
  <c r="F9" i="15"/>
  <c r="M23" i="15"/>
  <c r="M6" i="67"/>
  <c r="C19" i="9"/>
  <c r="M9" i="67"/>
  <c r="F4" i="73"/>
  <c r="M8" i="67"/>
  <c r="E13" i="76"/>
  <c r="E2" i="68"/>
  <c r="B13" i="76"/>
  <c r="E2" i="69"/>
  <c r="F16" i="15"/>
  <c r="F3" i="73"/>
  <c r="F42" i="15"/>
  <c r="M29" i="67"/>
  <c r="F26" i="67"/>
  <c r="F9" i="67"/>
  <c r="E10" i="76"/>
  <c r="B11" i="76"/>
  <c r="F42" i="67"/>
  <c r="F43" i="67"/>
  <c r="F38" i="67"/>
  <c r="M29" i="15"/>
  <c r="E8" i="76"/>
  <c r="L48" i="15"/>
  <c r="F6" i="67"/>
  <c r="M9" i="15"/>
  <c r="F6" i="73"/>
  <c r="M24" i="15"/>
  <c r="E11" i="76"/>
  <c r="M6" i="15"/>
  <c r="B10" i="76"/>
  <c r="F8" i="15"/>
  <c r="M28" i="15"/>
  <c r="F20" i="31"/>
  <c r="F7" i="67"/>
  <c r="F37" i="67"/>
  <c r="F40" i="15"/>
  <c r="L47" i="67"/>
  <c r="M23" i="67"/>
  <c r="J15" i="15"/>
  <c r="F8" i="67"/>
  <c r="M22" i="15"/>
  <c r="F36" i="67"/>
  <c r="D19" i="9"/>
  <c r="C76" i="15"/>
  <c r="C20" i="9"/>
  <c r="E7" i="76"/>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D7" i="73"/>
  <c r="D3" i="73"/>
  <c r="C16" i="15"/>
  <c r="C16" i="67"/>
  <c r="D5" i="73"/>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9" i="1"/>
  <c r="AO11" i="1"/>
  <c r="AO6"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<sst xmlns="http://schemas.openxmlformats.org/spreadsheetml/2006/main" count="7789" uniqueCount="3400">
  <si>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</si>
  <si>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</si>
  <si>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</si>
  <si>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</si>
  <si>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</si>
  <si>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</si>
  <si>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</si>
  <si>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</si>
  <si>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</si>
  <si>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</si>
  <si>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</si>
  <si>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</si>
  <si>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</si>
  <si>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</si>
  <si>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</si>
  <si>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</si>
  <si>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</si>
  <si>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</si>
  <si>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</si>
  <si>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</si>
  <si>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</si>
  <si>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</si>
  <si>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</si>
  <si>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</si>
  <si>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</si>
  <si>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</si>
  <si>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</si>
  <si>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</si>
  <si>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</si>
  <si>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</si>
  <si>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</si>
  <si>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</si>
  <si>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</si>
  <si>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</si>
  <si>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</si>
  <si>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</si>
  <si>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</si>
  <si>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</si>
  <si>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</si>
  <si>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</si>
  <si>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</si>
  <si>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</si>
  <si>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</si>
  <si>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</si>
  <si>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</si>
  <si>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</si>
  <si>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</si>
  <si>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</si>
  <si>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</si>
  <si>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</si>
  <si>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</si>
  <si>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</si>
  <si>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</si>
  <si>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</si>
  <si>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</si>
  <si>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</si>
  <si>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</si>
  <si>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</si>
  <si>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</si>
  <si>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</si>
  <si>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</si>
  <si>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</si>
  <si>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</si>
  <si>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</si>
  <si>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</si>
  <si>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</si>
  <si>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</si>
  <si>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</si>
  <si>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</si>
  <si>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</si>
  <si>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</si>
  <si>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</si>
  <si>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</si>
  <si>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</si>
  <si>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</si>
  <si>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</si>
  <si>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</si>
  <si>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</si>
  <si>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</si>
  <si>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</si>
  <si>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</si>
  <si>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</si>
  <si>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</si>
  <si>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</si>
  <si>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</si>
  <si>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</si>
  <si>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</si>
  <si>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</si>
  <si>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</si>
  <si>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</si>
  <si>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</si>
  <si>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</si>
  <si>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</si>
  <si>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</si>
  <si>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</si>
  <si>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</si>
  <si>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</si>
  <si>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</si>
  <si>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</si>
  <si>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</si>
  <si>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</si>
  <si>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</si>
  <si>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</si>
  <si>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</si>
  <si>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</si>
  <si>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</si>
  <si>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</si>
  <si>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</si>
  <si>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</si>
  <si>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</si>
  <si>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</si>
  <si>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</si>
  <si>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</si>
  <si>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</si>
  <si>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</si>
  <si>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</si>
  <si>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</si>
  <si>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</si>
  <si>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</si>
  <si>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</si>
  <si>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</si>
  <si>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</si>
  <si>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</si>
  <si>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</si>
  <si>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</si>
  <si>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</si>
  <si>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</si>
  <si>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</si>
  <si>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</si>
  <si>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</si>
  <si>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</si>
  <si>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</si>
  <si>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</si>
  <si>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</si>
  <si>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</si>
  <si>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</si>
  <si>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</si>
  <si>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</si>
  <si>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</si>
  <si>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</si>
  <si>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</si>
  <si>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</si>
  <si>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</si>
  <si>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</si>
  <si>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</si>
  <si>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</si>
  <si>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</si>
  <si>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</si>
  <si>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</si>
  <si>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</si>
  <si>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</si>
  <si>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</si>
  <si>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</si>
  <si>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</si>
  <si>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</si>
  <si>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</si>
  <si>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</si>
  <si>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</si>
  <si>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</si>
  <si>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</si>
  <si>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</si>
  <si>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</si>
  <si>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</si>
  <si>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</si>
  <si>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</si>
  <si>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</si>
  <si>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</si>
  <si>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</si>
  <si>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</si>
  <si>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</si>
  <si>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</si>
  <si>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</si>
  <si>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</si>
  <si>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</si>
  <si>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</si>
  <si>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</si>
  <si>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</si>
  <si>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</si>
  <si>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</si>
  <si>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</si>
  <si>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</si>
  <si>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</si>
  <si>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</si>
  <si>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</si>
  <si>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</si>
  <si>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</si>
  <si>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</si>
  <si>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</si>
  <si>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</si>
  <si>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</si>
  <si>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</si>
  <si>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</si>
  <si>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</si>
  <si>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</si>
  <si>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</si>
  <si>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</si>
  <si>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</si>
  <si>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</si>
  <si>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</si>
  <si>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</si>
  <si>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</si>
  <si>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</si>
  <si>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</si>
  <si>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</si>
  <si>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</si>
  <si>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</si>
  <si>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</si>
  <si>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</si>
  <si>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</si>
  <si>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</si>
  <si>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</si>
  <si>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</si>
  <si>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</si>
  <si>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</si>
  <si>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</si>
  <si>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</si>
  <si>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</si>
  <si>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</si>
  <si>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</si>
  <si>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</si>
  <si>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</si>
  <si>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</si>
  <si>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</si>
  <si>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</si>
  <si>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</si>
  <si>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</si>
  <si>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</si>
  <si>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</si>
  <si>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</si>
  <si>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</si>
  <si>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</si>
  <si>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</si>
  <si>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</si>
  <si>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</si>
  <si>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</si>
  <si>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</si>
  <si>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</si>
  <si>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</si>
  <si>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</si>
  <si>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</si>
  <si>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</si>
  <si>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</si>
  <si>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</si>
  <si>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</si>
  <si>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</si>
  <si>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</si>
  <si>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</si>
  <si>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</si>
  <si>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</si>
  <si>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</si>
  <si>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</si>
  <si>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</si>
  <si>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</si>
  <si>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</si>
  <si>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</si>
  <si>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</si>
  <si>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</si>
  <si>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</si>
  <si>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</si>
  <si>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</si>
  <si>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</si>
  <si>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</si>
  <si>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</si>
  <si>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</si>
  <si>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</si>
  <si>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</si>
  <si>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</si>
  <si>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</si>
  <si>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</si>
  <si>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</si>
  <si>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</si>
  <si>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</si>
  <si>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</si>
  <si>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</si>
  <si>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</si>
  <si>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</si>
  <si>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</si>
  <si>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</si>
  <si>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</si>
  <si>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</si>
  <si>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</si>
  <si>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</si>
  <si>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</si>
  <si>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</si>
  <si>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</si>
  <si>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</si>
  <si>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</si>
  <si>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</si>
  <si>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</si>
  <si>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</si>
  <si>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</si>
  <si>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</si>
  <si>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</si>
  <si>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</si>
  <si>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</si>
  <si>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</si>
  <si>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</si>
  <si>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</si>
  <si>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</si>
  <si>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</si>
  <si>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</si>
  <si>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</si>
  <si>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</si>
  <si>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</si>
  <si>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</si>
  <si>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</si>
  <si>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</si>
  <si>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</si>
  <si>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</si>
  <si>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</si>
  <si>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</si>
  <si>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</si>
  <si>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</si>
  <si>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</si>
  <si>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</si>
  <si>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</si>
  <si>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</si>
  <si>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</si>
  <si>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</si>
  <si>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</si>
  <si>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</si>
  <si>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</si>
  <si>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</si>
  <si>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</si>
  <si>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</si>
  <si>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</si>
  <si>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</si>
  <si>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</si>
  <si>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</si>
  <si>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</si>
  <si>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</si>
  <si>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</si>
  <si>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</si>
  <si>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</si>
  <si>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</si>
  <si>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</si>
  <si>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</si>
  <si>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</si>
  <si>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</si>
  <si>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</si>
  <si>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</si>
  <si>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</si>
  <si>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</si>
  <si>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</si>
  <si>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</si>
  <si>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</si>
  <si>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</si>
  <si>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</si>
  <si>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</si>
  <si>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</si>
  <si>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</si>
  <si>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</si>
  <si>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</si>
  <si>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</si>
  <si>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</si>
  <si>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</si>
  <si>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</si>
  <si>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</si>
  <si>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</si>
  <si>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</si>
  <si>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</si>
  <si>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</si>
  <si>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</si>
  <si>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</si>
  <si>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</si>
  <si>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</si>
  <si>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</si>
  <si>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</si>
  <si>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</si>
  <si>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</si>
  <si>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</si>
  <si>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</si>
  <si>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</si>
  <si>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</si>
  <si>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</si>
  <si>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</si>
  <si>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</si>
  <si>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</si>
  <si>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</si>
  <si>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</si>
  <si>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</si>
  <si>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</si>
  <si>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</si>
  <si>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</si>
  <si>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</si>
  <si>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</si>
  <si>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</si>
  <si>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</si>
  <si>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</si>
  <si>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</si>
  <si>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</si>
  <si>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</si>
  <si>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</si>
  <si>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</si>
  <si>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</si>
  <si>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</si>
  <si>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</si>
  <si>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</si>
  <si>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</si>
  <si>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</si>
  <si>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</si>
  <si>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</si>
  <si>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</si>
  <si>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</si>
  <si>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</si>
  <si>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</si>
  <si>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</si>
  <si>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</si>
  <si>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</si>
  <si>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</si>
  <si>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</si>
  <si>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</si>
  <si>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</si>
  <si>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</si>
  <si>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</si>
  <si>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</si>
  <si>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</si>
  <si>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</si>
  <si>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</si>
  <si>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</si>
  <si>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</si>
  <si>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</si>
  <si>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</si>
  <si>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</si>
  <si>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</si>
  <si>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</si>
  <si>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</si>
  <si>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</si>
  <si>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</si>
  <si>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</si>
  <si>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</si>
  <si>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</si>
  <si>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</si>
  <si>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</si>
  <si>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</si>
  <si>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</si>
  <si>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</si>
  <si>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</si>
  <si>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</si>
  <si>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</si>
  <si>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</si>
  <si>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</si>
  <si>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</si>
  <si>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</si>
  <si>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</si>
  <si>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</si>
  <si>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</si>
  <si>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</si>
  <si>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</si>
  <si>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</si>
  <si>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</si>
  <si>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</si>
  <si>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</si>
  <si>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</si>
  <si>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</si>
  <si>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</si>
  <si>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</si>
  <si>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</si>
  <si>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</si>
  <si>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</si>
  <si>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</si>
  <si>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</si>
  <si>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</si>
  <si>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</si>
  <si>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</si>
  <si>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</si>
  <si>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</si>
  <si>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</si>
  <si>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</si>
  <si>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</si>
  <si>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</si>
  <si>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</si>
  <si>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</si>
  <si>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</si>
  <si>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</si>
  <si>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</si>
  <si>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</si>
  <si>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</si>
  <si>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</si>
  <si>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</si>
  <si>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</si>
  <si>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</si>
  <si>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</si>
  <si>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</si>
  <si>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</si>
  <si>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</si>
  <si>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</si>
  <si>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</si>
  <si>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</si>
  <si>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</si>
  <si>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</si>
  <si>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</si>
  <si>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</si>
  <si>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</si>
  <si>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</si>
  <si>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</si>
  <si>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</si>
  <si>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</si>
  <si>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</si>
  <si>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</si>
  <si>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</si>
  <si>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</si>
  <si>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</si>
  <si>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</si>
  <si>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</si>
  <si>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</si>
  <si>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</si>
  <si>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</si>
  <si>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</si>
  <si>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</si>
  <si>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</si>
  <si>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</si>
  <si>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</si>
  <si>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</si>
  <si>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</si>
  <si>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</si>
  <si>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</si>
  <si>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</si>
  <si>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</si>
  <si>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</si>
  <si>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</si>
  <si>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</si>
  <si>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</si>
  <si>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</si>
  <si>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</si>
  <si>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</si>
  <si>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</si>
  <si>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</si>
  <si>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</si>
  <si>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</si>
  <si>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</si>
  <si>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</si>
  <si>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</si>
  <si>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</si>
  <si>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</si>
  <si>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</si>
  <si>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</si>
  <si>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</si>
  <si>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</si>
  <si>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</si>
  <si>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</si>
  <si>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</si>
  <si>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</si>
  <si>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</si>
  <si>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</si>
  <si>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</si>
  <si>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</si>
  <si>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</si>
  <si>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</si>
  <si>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</si>
  <si>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</si>
  <si>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</si>
  <si>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</si>
  <si>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</si>
  <si>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</si>
  <si>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</si>
  <si>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</si>
  <si>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</si>
  <si>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</si>
  <si>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</si>
  <si>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</si>
  <si>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</si>
  <si>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</si>
  <si>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</si>
  <si>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</si>
  <si>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</si>
  <si>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</si>
  <si>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</si>
  <si>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</si>
  <si>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</si>
  <si>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</si>
  <si>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</si>
  <si>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</si>
  <si>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</si>
  <si>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</si>
  <si>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</si>
  <si>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</si>
  <si>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</si>
  <si>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</si>
  <si>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</si>
  <si>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</si>
  <si>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</si>
  <si>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</si>
  <si>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</si>
  <si>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</si>
  <si>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</si>
  <si>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</si>
  <si>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</si>
  <si>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</si>
  <si>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</si>
  <si>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</si>
  <si>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</si>
  <si>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</si>
  <si>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</si>
  <si>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</si>
  <si>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</si>
  <si>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</si>
  <si>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</si>
  <si>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</si>
  <si>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</si>
  <si>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</si>
  <si>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</si>
  <si>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</si>
  <si>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</si>
  <si>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</si>
  <si>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</si>
  <si>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</si>
  <si>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</si>
  <si>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</si>
  <si>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</si>
  <si>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</si>
  <si>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</si>
  <si>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</si>
  <si>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</si>
  <si>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</si>
  <si>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</si>
  <si>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</si>
  <si>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</si>
  <si>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</si>
  <si>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</si>
  <si>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</si>
  <si>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</si>
  <si>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</si>
  <si>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</si>
  <si>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</si>
  <si>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</si>
  <si>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</si>
  <si>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</si>
  <si>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</si>
  <si>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</si>
  <si>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</si>
  <si>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</si>
  <si>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</si>
  <si>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</si>
  <si>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</si>
  <si>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</si>
  <si>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</si>
  <si>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</si>
  <si>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</si>
  <si>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</si>
  <si>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</si>
  <si>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</si>
  <si>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</si>
  <si>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</si>
  <si>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</si>
  <si>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</si>
  <si>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</si>
  <si>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</si>
  <si>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</si>
  <si>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</si>
  <si>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</si>
  <si>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</si>
  <si>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</si>
  <si>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</si>
  <si>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</si>
  <si>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</si>
  <si>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</si>
  <si>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</si>
  <si>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</si>
  <si>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</si>
  <si>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</si>
  <si>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</si>
  <si>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</si>
  <si>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</si>
  <si>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</si>
  <si>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</si>
  <si>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</si>
  <si>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</si>
  <si>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</si>
  <si>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</si>
  <si>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</si>
  <si>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</si>
  <si>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</si>
  <si>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</si>
  <si>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</si>
  <si>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</si>
  <si>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</si>
  <si>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</si>
  <si>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</si>
  <si>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</si>
  <si>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</si>
  <si>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</si>
  <si>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</si>
  <si>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</si>
  <si>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</si>
  <si>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</si>
  <si>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</si>
  <si>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</si>
  <si>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</si>
  <si>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</si>
  <si>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</si>
  <si>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</si>
  <si>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</si>
  <si>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</si>
  <si>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</si>
  <si>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</si>
  <si>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</si>
  <si>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</si>
  <si>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</si>
  <si>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</si>
  <si>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</si>
  <si>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</si>
  <si>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</si>
  <si>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</si>
  <si>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</si>
  <si>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</si>
  <si>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</si>
  <si>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</si>
  <si>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</si>
  <si>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</si>
  <si>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</si>
  <si>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</si>
  <si>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</si>
  <si>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</si>
  <si>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</si>
  <si>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</si>
  <si>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</si>
  <si>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</si>
  <si>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</si>
  <si>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</si>
  <si>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</si>
  <si>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</si>
  <si>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</si>
  <si>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</si>
  <si>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</si>
  <si>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</si>
  <si>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</si>
  <si>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</si>
  <si>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</si>
  <si>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</si>
  <si>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</si>
  <si>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</si>
  <si>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</si>
  <si>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</si>
  <si>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</si>
  <si>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</si>
  <si>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</si>
  <si>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</si>
  <si>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</si>
  <si>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</si>
  <si>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</si>
  <si>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</si>
  <si>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</si>
  <si>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</si>
  <si>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</si>
  <si>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</si>
  <si>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</si>
  <si>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</si>
  <si>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</si>
  <si>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</si>
  <si>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</si>
  <si>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</si>
  <si>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</si>
  <si>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</si>
  <si>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</si>
  <si>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</si>
  <si>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</si>
  <si>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</si>
  <si>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</si>
  <si>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</si>
  <si>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</si>
  <si>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</si>
  <si>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</si>
  <si>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</si>
  <si>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</si>
  <si>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</si>
  <si>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</si>
  <si>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</si>
  <si>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</si>
  <si>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</si>
  <si>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</si>
  <si>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</si>
  <si>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</si>
  <si>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</si>
  <si>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</si>
  <si>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</si>
  <si>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</si>
  <si>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</si>
  <si>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</si>
  <si>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</si>
  <si>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</si>
  <si>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</si>
  <si>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</si>
  <si>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</si>
  <si>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</si>
  <si>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</si>
  <si>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</si>
  <si>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</si>
  <si>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</si>
  <si>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</si>
  <si>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</si>
  <si>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</si>
  <si>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</si>
  <si>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</si>
  <si>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</si>
  <si>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</si>
  <si>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</si>
  <si>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</si>
  <si>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</si>
  <si>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</si>
  <si>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</si>
  <si>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</si>
  <si>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</si>
  <si>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</si>
  <si>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</si>
  <si>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</si>
  <si>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</si>
  <si>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</si>
  <si>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</si>
  <si>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</si>
  <si>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</si>
  <si>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</si>
  <si>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</si>
  <si>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</si>
  <si>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</si>
  <si>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</si>
  <si>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</si>
  <si>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</si>
  <si>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</si>
  <si>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</si>
  <si>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</si>
  <si>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</si>
  <si>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</si>
  <si>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</si>
  <si>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</si>
  <si>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</si>
  <si>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</si>
  <si>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</si>
  <si>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</si>
  <si>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</si>
  <si>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</si>
  <si>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</si>
  <si>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</si>
  <si>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</si>
  <si>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</si>
  <si>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</si>
  <si>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</si>
  <si>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</si>
  <si>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</si>
  <si>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</si>
  <si>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</si>
  <si>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</si>
  <si>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</si>
  <si>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</si>
  <si>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</si>
  <si>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</si>
  <si>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</si>
  <si>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</si>
  <si>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</si>
  <si>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</si>
  <si>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</si>
  <si>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</si>
  <si>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</si>
  <si>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</si>
  <si>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</si>
  <si>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</si>
  <si>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</si>
  <si>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</si>
  <si>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</si>
  <si>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</si>
  <si>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</si>
  <si>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</si>
  <si>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</si>
  <si>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</si>
  <si>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</si>
  <si>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</si>
  <si>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</si>
  <si>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</si>
  <si>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</si>
  <si>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</si>
  <si>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</si>
  <si>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</si>
  <si>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</si>
  <si>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</si>
  <si>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</si>
  <si>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</si>
  <si>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</si>
  <si>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</si>
  <si>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</si>
  <si>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</si>
  <si>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</si>
  <si>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</si>
  <si>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</si>
  <si>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</si>
  <si>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</si>
  <si>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</si>
  <si>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</si>
  <si>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</si>
  <si>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</si>
  <si>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</si>
  <si>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</si>
  <si>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</si>
  <si>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</si>
  <si>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</si>
  <si>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</si>
  <si>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</si>
  <si>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</si>
  <si>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</si>
  <si>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</si>
  <si>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</si>
  <si>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</si>
  <si>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</si>
  <si>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</si>
  <si>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</si>
  <si>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</si>
  <si>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</si>
  <si>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</si>
  <si>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</si>
  <si>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</si>
  <si>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</si>
  <si>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</si>
  <si>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</si>
  <si>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</si>
  <si>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</si>
  <si>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</si>
  <si>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</si>
  <si>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</si>
  <si>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</si>
  <si>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</si>
  <si>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</si>
  <si>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</si>
  <si>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</si>
  <si>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</si>
  <si>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</si>
  <si>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</si>
  <si>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</si>
  <si>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</si>
  <si>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</si>
  <si>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</si>
  <si>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</si>
  <si>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</si>
  <si>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</si>
  <si>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</si>
  <si>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</si>
  <si>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</si>
  <si>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</si>
  <si>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</si>
  <si>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</si>
  <si>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</si>
  <si>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</si>
  <si>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</si>
  <si>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</si>
  <si>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</si>
  <si>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</si>
  <si>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</si>
  <si>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</si>
  <si>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</si>
  <si>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</si>
  <si>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</si>
  <si>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</si>
  <si>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</si>
  <si>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</si>
  <si>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</si>
  <si>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</si>
  <si>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</si>
  <si>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</si>
  <si>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</si>
  <si>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</si>
  <si>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</si>
  <si>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</si>
  <si>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</si>
  <si>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</si>
  <si>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</si>
  <si>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</si>
  <si>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</si>
  <si>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</si>
  <si>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</si>
  <si>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</si>
  <si>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</si>
  <si>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</si>
  <si>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</si>
  <si>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</si>
  <si>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</si>
  <si>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</si>
  <si>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</si>
  <si>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</si>
  <si>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</si>
  <si>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</si>
  <si>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</si>
  <si>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</si>
  <si>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</si>
  <si>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</si>
  <si>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</si>
  <si>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</si>
  <si>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</si>
  <si>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</si>
  <si>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</si>
  <si>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</si>
  <si>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</si>
  <si>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</si>
  <si>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</si>
  <si>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</si>
  <si>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</si>
  <si>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</si>
  <si>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</si>
  <si>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</si>
  <si>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</si>
  <si>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</si>
  <si>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</si>
  <si>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</si>
  <si>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</si>
  <si>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</si>
  <si>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</si>
  <si>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</si>
  <si>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</si>
  <si>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</si>
  <si>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</si>
  <si>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</si>
  <si>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</si>
  <si>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</si>
  <si>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</si>
  <si>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</si>
  <si>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</si>
  <si>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</si>
  <si>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</si>
  <si>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</si>
  <si>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</si>
  <si>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</si>
  <si>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</si>
  <si>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</si>
  <si>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</si>
  <si>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</si>
  <si>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</si>
  <si>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</si>
  <si>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</si>
  <si>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</si>
  <si>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</si>
  <si>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</si>
  <si>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</si>
  <si>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</si>
  <si>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</si>
  <si>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</si>
  <si>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</si>
  <si>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</si>
  <si>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</si>
  <si>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</si>
  <si>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</si>
  <si>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</si>
  <si>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</si>
  <si>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</si>
  <si>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</si>
  <si>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</si>
  <si>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</si>
  <si>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</si>
  <si>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</si>
  <si>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</si>
  <si>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</si>
  <si>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</si>
  <si>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</si>
  <si>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</si>
  <si>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</si>
  <si>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</si>
  <si>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</si>
  <si>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</si>
  <si>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</si>
  <si>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</si>
  <si>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</si>
  <si>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</si>
  <si>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</si>
  <si>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</si>
  <si>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</si>
  <si>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</si>
  <si>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</si>
  <si>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</si>
  <si>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</si>
  <si>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</si>
  <si>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</si>
  <si>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</si>
  <si>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</si>
  <si>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</si>
  <si>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</si>
  <si>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</si>
  <si>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</si>
  <si>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</si>
  <si>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</si>
  <si>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</si>
  <si>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</si>
  <si>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</si>
  <si>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</si>
  <si>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</si>
  <si>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</si>
  <si>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</si>
  <si>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</si>
  <si>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</si>
  <si>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</si>
  <si>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</si>
  <si>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</si>
  <si>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</si>
  <si>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</si>
  <si>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</si>
  <si>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</si>
  <si>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</si>
  <si>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</si>
  <si>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</si>
  <si>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</si>
  <si>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</si>
  <si>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</si>
  <si>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</si>
  <si>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</si>
  <si>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</si>
  <si>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</si>
  <si>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</si>
  <si>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</si>
  <si>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</si>
  <si>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</si>
  <si>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</si>
  <si>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</si>
  <si>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</si>
  <si>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</si>
  <si>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</si>
  <si>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</si>
  <si>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</si>
  <si>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</si>
  <si>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</si>
  <si>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</si>
  <si>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</si>
  <si>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</si>
  <si>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</si>
  <si>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</si>
  <si>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</si>
  <si>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</si>
  <si>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</si>
  <si>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</si>
  <si>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</si>
  <si>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</si>
  <si>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</si>
  <si>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</si>
  <si>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</si>
  <si>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</si>
  <si>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</si>
  <si>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</si>
  <si>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</si>
  <si>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</si>
  <si>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</si>
  <si>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</si>
  <si>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</si>
  <si>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</si>
  <si>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</si>
  <si>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</si>
  <si>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</si>
  <si>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</si>
  <si>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</si>
  <si>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</si>
  <si>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</si>
  <si>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</si>
  <si>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</si>
  <si>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</si>
  <si>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</si>
  <si>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</si>
  <si>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</si>
  <si>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</si>
  <si>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</si>
  <si>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</si>
  <si>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</si>
  <si>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</si>
  <si>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</si>
  <si>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</si>
  <si>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</si>
  <si>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</si>
  <si>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</si>
  <si>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</si>
  <si>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</si>
  <si>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</si>
  <si>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</si>
  <si>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</si>
  <si>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</si>
  <si>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</si>
  <si>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</si>
  <si>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</si>
  <si>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</si>
  <si>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</si>
  <si>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</si>
  <si>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</si>
  <si>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</si>
  <si>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</si>
  <si>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</si>
  <si>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</si>
  <si>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</si>
  <si>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</si>
  <si>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</si>
  <si>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</si>
  <si>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</si>
  <si>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</si>
  <si>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</si>
  <si>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</si>
  <si>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</si>
  <si>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</si>
  <si>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</si>
  <si>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</si>
  <si>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</si>
  <si>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</si>
  <si>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</si>
  <si>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</si>
  <si>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</si>
  <si>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</si>
  <si>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</si>
  <si>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</si>
  <si>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</si>
  <si>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</si>
  <si>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</si>
  <si>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</si>
  <si>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</si>
  <si>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</si>
  <si>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</si>
  <si>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</si>
  <si>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</si>
  <si>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</si>
  <si>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</si>
  <si>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</si>
  <si>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</si>
  <si>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</si>
  <si>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</si>
  <si>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</si>
  <si>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</si>
  <si>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</si>
  <si>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</si>
  <si>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</si>
  <si>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</si>
  <si>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</si>
  <si>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</si>
  <si>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</si>
  <si>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</si>
  <si>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</si>
  <si>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</si>
  <si>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</si>
  <si>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</si>
  <si>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</si>
  <si>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</si>
  <si>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</si>
  <si>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</si>
  <si>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</si>
  <si>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</si>
  <si>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</si>
  <si>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</si>
  <si>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</si>
  <si>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</si>
  <si>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</si>
  <si>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</si>
  <si>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</si>
  <si>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</si>
  <si>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</si>
  <si>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</si>
  <si>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</si>
  <si>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</si>
  <si>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</si>
  <si>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</si>
  <si>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</si>
  <si>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</si>
  <si>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</si>
  <si>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</si>
  <si>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</si>
  <si>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</si>
  <si>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</si>
  <si>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</si>
  <si>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</si>
  <si>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</si>
  <si>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</si>
  <si>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</si>
  <si>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</si>
  <si>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</si>
  <si>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</si>
  <si>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</si>
  <si>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</si>
  <si>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</si>
  <si>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</si>
  <si>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</si>
  <si>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</si>
  <si>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</si>
  <si>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</si>
  <si>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</si>
  <si>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</si>
  <si>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</si>
  <si>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</si>
  <si>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</si>
  <si>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</si>
  <si>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</si>
  <si>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</si>
  <si>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</si>
  <si>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</si>
  <si>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</si>
  <si>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</si>
  <si>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</si>
  <si>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</si>
  <si>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</si>
  <si>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</si>
  <si>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</si>
  <si>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</si>
  <si>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</si>
  <si>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</si>
  <si>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</si>
  <si>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</si>
  <si>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</si>
  <si>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</si>
  <si>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</si>
  <si>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</si>
  <si>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</si>
  <si>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</si>
  <si>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</si>
  <si>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</si>
  <si>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</si>
  <si>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</si>
  <si>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</si>
  <si>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</si>
  <si>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</si>
  <si>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</si>
  <si>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</si>
  <si>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</si>
  <si>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</si>
  <si>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</si>
  <si>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</si>
  <si>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</si>
  <si>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</si>
  <si>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</si>
  <si>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</si>
  <si>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</si>
  <si>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</si>
  <si>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</si>
  <si>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</si>
  <si>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</si>
  <si>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</si>
  <si>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</si>
  <si>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</si>
  <si>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</si>
  <si>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</si>
  <si>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</si>
  <si>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</si>
  <si>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</si>
  <si>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</si>
  <si>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</si>
  <si>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</si>
  <si>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</si>
  <si>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</si>
  <si>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</si>
  <si>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</si>
  <si>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</si>
  <si>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</si>
  <si>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</si>
  <si>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</si>
  <si>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</si>
  <si>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</si>
  <si>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</si>
  <si>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</si>
  <si>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</si>
  <si>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</si>
  <si>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</si>
  <si>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</si>
  <si>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</si>
  <si>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</si>
  <si>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</si>
  <si>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</si>
  <si>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</si>
  <si>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</si>
  <si>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</si>
  <si>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</si>
  <si>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</si>
  <si>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</si>
  <si>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</si>
  <si>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</si>
  <si>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</si>
  <si>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</si>
  <si>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</si>
  <si>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</si>
  <si>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</si>
  <si>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</si>
  <si>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</si>
  <si>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</si>
  <si>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</si>
  <si>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</si>
  <si>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</si>
  <si>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</si>
  <si>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</si>
  <si>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</si>
  <si>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</si>
  <si>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</si>
  <si>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</si>
  <si>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</si>
  <si>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</si>
  <si>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</si>
  <si>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</si>
  <si>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</si>
  <si>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</si>
  <si>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</si>
  <si>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</si>
  <si>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</si>
  <si>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</si>
  <si>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</si>
  <si>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</si>
  <si>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</si>
  <si>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</si>
  <si>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</si>
  <si>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</si>
  <si>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</si>
  <si>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</si>
  <si>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</si>
  <si>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</si>
  <si>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</si>
  <si>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</si>
  <si>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</si>
  <si>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</si>
  <si>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</si>
  <si>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</si>
  <si>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</si>
  <si>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</si>
  <si>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</si>
  <si>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</si>
  <si>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</si>
  <si>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</si>
  <si>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</si>
  <si>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</si>
  <si>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</si>
  <si>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</si>
  <si>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</si>
  <si>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</si>
  <si>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</si>
  <si>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</si>
  <si>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</si>
  <si>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</si>
  <si>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</si>
  <si>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</si>
  <si>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</si>
  <si>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</si>
  <si>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</si>
  <si>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</si>
  <si>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</si>
  <si>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</si>
  <si>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</si>
  <si>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</si>
  <si>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</si>
  <si>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</si>
  <si>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</si>
  <si>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</si>
  <si>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</si>
  <si>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</si>
  <si>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</si>
  <si>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</si>
  <si>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</si>
  <si>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</si>
  <si>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</si>
  <si>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</si>
  <si>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</si>
  <si>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</si>
  <si>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</si>
  <si>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</si>
  <si>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</si>
  <si>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</si>
  <si>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</si>
  <si>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</si>
  <si>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</si>
  <si>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</si>
  <si>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</si>
  <si>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</si>
  <si>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</si>
  <si>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</si>
  <si>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</si>
  <si>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</si>
  <si>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</si>
  <si>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</si>
  <si>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</si>
  <si>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</si>
  <si>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</si>
  <si>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</si>
  <si>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</si>
  <si>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</si>
  <si>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</si>
  <si>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</si>
  <si>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</si>
  <si>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</si>
  <si>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</si>
  <si>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</si>
  <si>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</si>
  <si>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</si>
  <si>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</si>
  <si>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</si>
  <si>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</si>
  <si>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</si>
  <si>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</si>
  <si>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</si>
  <si>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</si>
  <si>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</si>
  <si>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</si>
  <si>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</si>
  <si>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</si>
  <si>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</si>
  <si>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</si>
  <si>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</si>
  <si>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</si>
  <si>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</si>
  <si>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</si>
  <si>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</si>
  <si>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</si>
  <si>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</si>
  <si>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</si>
  <si>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</si>
  <si>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</si>
  <si>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</si>
  <si>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</si>
  <si>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</si>
  <si>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</si>
  <si>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</si>
  <si>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</si>
  <si>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</si>
  <si>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</si>
  <si>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</si>
  <si>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</si>
  <si>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</si>
  <si>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</si>
  <si>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</si>
  <si>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</si>
  <si>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</si>
  <si>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</si>
  <si>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</si>
  <si>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</si>
  <si>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</si>
  <si>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</si>
  <si>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</si>
  <si>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</si>
  <si>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</si>
  <si>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</si>
  <si>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</si>
  <si>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</si>
  <si>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</si>
  <si>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</si>
  <si>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</si>
  <si>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</si>
  <si>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</si>
  <si>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</si>
  <si>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</si>
  <si>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</si>
  <si>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</si>
  <si>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</si>
  <si>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</si>
  <si>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</si>
  <si>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</si>
  <si>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</si>
  <si>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</si>
  <si>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</si>
  <si>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</si>
  <si>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</si>
  <si>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</si>
  <si>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</si>
  <si>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</si>
  <si>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</si>
  <si>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</si>
  <si>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</si>
  <si>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</si>
  <si>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</si>
  <si>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</si>
  <si>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</si>
  <si>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</si>
  <si>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</si>
  <si>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</si>
  <si>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</si>
  <si>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</si>
  <si>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</si>
  <si>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</si>
  <si>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</si>
  <si>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</si>
  <si>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</si>
  <si>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</si>
  <si>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</si>
  <si>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</si>
  <si>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</si>
  <si>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</si>
  <si>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</si>
  <si>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</si>
  <si>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</si>
  <si>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</si>
  <si>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</si>
  <si>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</si>
  <si>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</si>
  <si>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</si>
  <si>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</si>
  <si>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</si>
  <si>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</si>
  <si>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</si>
  <si>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</si>
  <si>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</si>
  <si>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</si>
  <si>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</si>
  <si>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</si>
  <si>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</si>
  <si>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</si>
  <si>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</si>
  <si>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</si>
  <si>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</si>
  <si>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</si>
  <si>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</si>
  <si>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</si>
  <si>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</si>
  <si>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</si>
  <si>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</si>
  <si>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</si>
  <si>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</si>
  <si>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</si>
  <si>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</si>
  <si>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</si>
  <si>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</si>
  <si>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</si>
  <si>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</si>
  <si>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</si>
  <si>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</si>
  <si>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</si>
  <si>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</si>
  <si>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</si>
  <si>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</si>
  <si>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</si>
  <si>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</si>
  <si>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</si>
  <si>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</si>
  <si>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</si>
  <si>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</si>
  <si>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</si>
  <si>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</si>
  <si>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</si>
  <si>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</si>
  <si>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</si>
  <si>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</si>
  <si>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</si>
  <si>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</si>
  <si>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</si>
  <si>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</si>
  <si>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</si>
  <si>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</si>
  <si>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</si>
  <si>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</si>
  <si>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</si>
  <si>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</si>
  <si>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</si>
  <si>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</si>
  <si>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</si>
  <si>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</si>
  <si>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</si>
  <si>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</si>
  <si>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</si>
  <si>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</si>
  <si>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</si>
  <si>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</si>
  <si>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</si>
  <si>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</si>
  <si>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</si>
  <si>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</si>
  <si>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</si>
  <si>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</si>
  <si>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</si>
  <si>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</si>
  <si>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</si>
  <si>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</si>
  <si>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</si>
  <si>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</si>
  <si>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</si>
  <si>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</si>
  <si>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</si>
  <si>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</si>
  <si>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</si>
  <si>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</si>
  <si>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</si>
  <si>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</si>
  <si>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</si>
  <si>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</si>
  <si>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</si>
  <si>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</si>
  <si>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</si>
  <si>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</si>
  <si>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</si>
  <si>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</si>
  <si>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</si>
  <si>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</si>
  <si>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</si>
  <si>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</si>
  <si>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</si>
  <si>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</si>
  <si>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</si>
  <si>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</si>
  <si>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</si>
  <si>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</si>
  <si>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</si>
  <si>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</si>
  <si>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</si>
  <si>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</si>
  <si>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</si>
  <si>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</si>
  <si>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</si>
  <si>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</si>
  <si>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</si>
  <si>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</si>
  <si>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</si>
  <si>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</si>
  <si>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</si>
  <si>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</si>
  <si>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</si>
  <si>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</si>
  <si>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</si>
  <si>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</si>
  <si>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</si>
  <si>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</si>
  <si>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</si>
  <si>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</si>
  <si>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</si>
  <si>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</si>
  <si>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</si>
  <si>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</si>
  <si>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</si>
  <si>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</si>
  <si>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</si>
  <si>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</si>
  <si>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</si>
  <si>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</si>
  <si>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</si>
  <si>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</si>
  <si>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</si>
  <si>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</si>
  <si>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</si>
  <si>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</si>
  <si>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</si>
  <si>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</si>
  <si>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</si>
  <si>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</si>
  <si>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</si>
  <si>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</si>
  <si>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</si>
  <si>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</si>
  <si>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</si>
  <si>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</si>
  <si>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</si>
  <si>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</si>
  <si>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</si>
  <si>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</si>
  <si>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</si>
  <si>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</si>
  <si>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</si>
  <si>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</si>
  <si>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</si>
  <si>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</si>
  <si>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</si>
  <si>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</si>
  <si>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</si>
  <si>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</si>
  <si>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</si>
  <si>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</si>
  <si>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</si>
  <si>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</si>
  <si>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</si>
  <si>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</si>
  <si>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</si>
  <si>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</si>
  <si>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</si>
  <si>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</si>
  <si>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</si>
  <si>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</si>
  <si>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</si>
  <si>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</si>
  <si>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</si>
  <si>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</si>
  <si>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</si>
  <si>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</si>
  <si>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</si>
  <si>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</si>
  <si>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</si>
  <si>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</si>
  <si>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</si>
  <si>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</si>
  <si>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</si>
  <si>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</si>
  <si>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</si>
  <si>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</si>
  <si>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</si>
  <si>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</si>
  <si>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</si>
  <si>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</si>
  <si>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</si>
  <si>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</si>
  <si>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</si>
  <si>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</si>
  <si>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</si>
  <si>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</si>
  <si>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</si>
  <si>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</si>
  <si>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</si>
  <si>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</si>
  <si>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</si>
  <si>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</si>
  <si>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</si>
  <si>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</si>
  <si>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</si>
  <si>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</si>
  <si>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</si>
  <si>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</si>
  <si>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</si>
  <si>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</si>
  <si>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</si>
  <si>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</si>
  <si>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</si>
  <si>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</si>
  <si>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</si>
  <si>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</si>
  <si>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</si>
  <si>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</si>
  <si>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</si>
  <si>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</si>
  <si>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</si>
  <si>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</si>
  <si>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</si>
  <si>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</si>
  <si>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</si>
  <si>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</si>
  <si>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</si>
  <si>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</si>
  <si>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</si>
  <si>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</si>
  <si>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</si>
  <si>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</si>
  <si>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</si>
  <si>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</si>
  <si>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</si>
  <si>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</si>
  <si>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</si>
  <si>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</si>
  <si>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</si>
  <si>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</si>
  <si>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</si>
  <si>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</si>
  <si>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</si>
  <si>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</si>
  <si>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</si>
  <si>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</si>
  <si>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</si>
  <si>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</si>
  <si>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</si>
  <si>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</si>
  <si>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</si>
  <si>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</si>
  <si>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</si>
  <si>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</si>
  <si>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</si>
  <si>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</si>
  <si>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</si>
  <si>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</si>
  <si>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</si>
  <si>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</si>
  <si>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</si>
  <si>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</si>
  <si>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</si>
  <si>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</si>
  <si>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</si>
  <si>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</si>
  <si>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</si>
  <si>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</si>
  <si>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</si>
  <si>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</si>
  <si>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</si>
  <si>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</si>
  <si>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</si>
  <si>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</si>
  <si>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</si>
  <si>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</si>
  <si>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</si>
  <si>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</si>
  <si>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</si>
  <si>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</si>
  <si>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</si>
  <si>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</si>
  <si>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</si>
  <si>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</si>
  <si>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</si>
  <si>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</si>
  <si>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</si>
  <si>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</si>
  <si>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</si>
  <si>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</si>
  <si>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</si>
  <si>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</si>
  <si>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</si>
  <si>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</si>
  <si>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</si>
  <si>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</si>
  <si>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</si>
  <si>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</si>
  <si>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</si>
  <si>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</si>
  <si>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</si>
  <si>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</si>
  <si>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</si>
  <si>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</si>
  <si>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</si>
  <si>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</si>
  <si>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</si>
  <si>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</si>
  <si>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</si>
  <si>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</si>
  <si>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</si>
  <si>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</si>
  <si>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</si>
  <si>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</si>
  <si>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</si>
  <si>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</si>
  <si>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</si>
  <si>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</si>
  <si>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</si>
  <si>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</si>
  <si>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</si>
  <si>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</si>
  <si>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</si>
  <si>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</si>
  <si>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</si>
  <si>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</si>
  <si>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</si>
  <si>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</si>
  <si>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</si>
  <si>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</si>
  <si>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</si>
  <si>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</si>
  <si>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</si>
  <si>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</si>
  <si>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</si>
  <si>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</si>
  <si>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</si>
  <si>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</si>
  <si>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</si>
  <si>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</si>
  <si>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</si>
  <si>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</si>
  <si>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</si>
  <si>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</si>
  <si>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</si>
  <si>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</si>
  <si>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</si>
  <si>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</si>
  <si>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</si>
  <si>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</si>
  <si>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</si>
  <si>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</si>
  <si>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</si>
  <si>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</si>
  <si>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</si>
  <si>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</si>
  <si>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</si>
  <si>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</si>
  <si>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</si>
  <si>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</si>
  <si>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</si>
  <si>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</si>
  <si>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</si>
  <si>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</si>
  <si>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</si>
  <si>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</si>
  <si>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</si>
  <si>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</si>
  <si>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</si>
  <si>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</si>
  <si>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</si>
  <si>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</si>
  <si>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</si>
  <si>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</si>
  <si>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</si>
  <si>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</si>
  <si>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</si>
  <si>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</si>
  <si>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</si>
  <si>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</si>
  <si>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</si>
  <si>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</si>
  <si>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</si>
  <si>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</si>
  <si>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</si>
  <si>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</si>
  <si>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</si>
  <si>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</si>
  <si>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</si>
  <si>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</si>
  <si>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</si>
  <si>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</si>
  <si>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</si>
  <si>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</si>
  <si>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</si>
  <si>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</si>
  <si>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</si>
  <si>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</si>
  <si>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</si>
  <si>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</si>
  <si>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</si>
  <si>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</si>
  <si>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</si>
  <si>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</si>
  <si>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</si>
  <si>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</si>
  <si>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</si>
  <si>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</si>
  <si>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</si>
  <si>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</si>
  <si>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</si>
  <si>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</si>
  <si>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</si>
  <si>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</si>
  <si>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</si>
  <si>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</si>
  <si>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</si>
  <si>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</si>
  <si>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</si>
  <si>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</si>
  <si>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</si>
  <si>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</si>
  <si>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</si>
  <si>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</si>
  <si>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</si>
  <si>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</si>
  <si>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</si>
  <si>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</si>
  <si>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</si>
  <si>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</si>
  <si>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</si>
  <si>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</si>
  <si>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</si>
  <si>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</si>
  <si>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</si>
  <si>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</si>
  <si>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</si>
  <si>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</si>
  <si>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</si>
  <si>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</si>
  <si>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</si>
  <si>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</si>
  <si>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</si>
  <si>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</si>
  <si>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</si>
  <si>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</si>
  <si>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</si>
  <si>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</si>
  <si>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</si>
  <si>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</si>
  <si>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</si>
  <si>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</si>
  <si>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</si>
  <si>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</si>
  <si>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</si>
  <si>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</si>
  <si>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</si>
  <si>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</si>
  <si>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</si>
  <si>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</si>
  <si>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</si>
  <si>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</si>
  <si>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</si>
  <si>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</si>
  <si>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</si>
  <si>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</si>
  <si>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</si>
  <si>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</si>
  <si>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</si>
  <si>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</si>
  <si>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</si>
  <si>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</si>
  <si>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</si>
  <si>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</si>
  <si>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</si>
  <si>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</si>
  <si>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</si>
  <si>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</si>
  <si>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</si>
  <si>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</si>
  <si>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</si>
  <si>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</si>
  <si>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</si>
  <si>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</si>
  <si>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</si>
  <si>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</si>
  <si>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</si>
  <si>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</si>
  <si>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</si>
  <si>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</si>
  <si>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</si>
  <si>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</si>
  <si>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</si>
  <si>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</si>
  <si>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</si>
  <si>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</si>
  <si>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</si>
  <si>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</si>
  <si>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</si>
  <si>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</si>
  <si>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</si>
  <si>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</si>
  <si>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</si>
  <si>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</si>
  <si>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</si>
  <si>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</si>
  <si>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</si>
  <si>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</si>
  <si>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</si>
  <si>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</si>
  <si>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</si>
  <si>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</si>
  <si>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</si>
  <si>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</si>
  <si>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</si>
  <si>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</si>
  <si>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</si>
  <si>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</si>
  <si>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</si>
  <si>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</si>
  <si>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</si>
  <si>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</si>
  <si>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</si>
  <si>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</si>
  <si>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</si>
  <si>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</si>
  <si>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</si>
  <si>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</si>
  <si>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</si>
  <si>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</si>
  <si>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</si>
  <si>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</si>
  <si>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</si>
  <si>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</si>
  <si>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</si>
  <si>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</si>
  <si>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</si>
  <si>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</si>
  <si>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</si>
  <si>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</si>
  <si>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</si>
  <si>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</si>
  <si>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</si>
  <si>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</si>
  <si>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</si>
  <si>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</si>
  <si>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</si>
  <si>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</si>
  <si>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</si>
  <si>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</si>
  <si>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</si>
  <si>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</si>
  <si>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</si>
  <si>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</si>
  <si>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</si>
  <si>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</si>
  <si>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</si>
  <si>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</si>
  <si>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</si>
  <si>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</si>
  <si>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</si>
  <si>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</si>
  <si>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</si>
  <si>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</si>
  <si>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</si>
  <si>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</si>
  <si>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</si>
  <si>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</si>
  <si>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</si>
  <si>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</si>
  <si>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</si>
  <si>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</si>
  <si>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</si>
  <si>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</si>
  <si>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</si>
  <si>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</si>
  <si>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</si>
  <si>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</si>
  <si>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</si>
  <si>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</si>
  <si>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</si>
  <si>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</si>
  <si>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</si>
  <si>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</si>
  <si>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</si>
  <si>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</si>
  <si>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</si>
  <si>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</si>
  <si>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</si>
  <si>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</si>
  <si>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</si>
  <si>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</si>
  <si>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</si>
  <si>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</si>
  <si>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</si>
  <si>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</si>
  <si>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</si>
  <si>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</si>
  <si>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</si>
  <si>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</si>
  <si>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</si>
  <si>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</si>
  <si>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</si>
  <si>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</si>
  <si>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</si>
  <si>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</si>
  <si>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</si>
  <si>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</si>
  <si>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</si>
  <si>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</si>
  <si>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</si>
  <si>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</si>
  <si>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</si>
  <si>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</si>
  <si>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</si>
  <si>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</si>
  <si>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</si>
  <si>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</si>
  <si>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</si>
  <si>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</si>
  <si>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</si>
  <si>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</si>
  <si>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</si>
  <si>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</si>
  <si>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</si>
  <si>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</si>
  <si>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</si>
  <si>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</si>
  <si>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</si>
  <si>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</si>
  <si>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</si>
  <si>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</si>
  <si>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</si>
  <si>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</si>
  <si>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</si>
  <si>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</si>
  <si>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</si>
  <si>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</si>
  <si>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</si>
  <si>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</si>
  <si>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</si>
  <si>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</si>
  <si>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</si>
  <si>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</si>
  <si>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</si>
  <si>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</si>
  <si>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</si>
  <si>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</si>
  <si>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</si>
  <si>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</si>
  <si>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</si>
  <si>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</si>
  <si>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</si>
  <si>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</si>
  <si>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</si>
  <si>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</si>
  <si>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</si>
  <si>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</si>
  <si>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</si>
  <si>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</si>
  <si>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</si>
  <si>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</si>
  <si>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</si>
  <si>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</si>
  <si>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</si>
  <si>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</si>
  <si>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</si>
  <si>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</si>
  <si>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</si>
  <si>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</si>
  <si>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</si>
  <si>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</si>
  <si>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</si>
  <si>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</si>
  <si>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</si>
  <si>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</si>
  <si>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</si>
  <si>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</si>
  <si>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</si>
  <si>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</si>
  <si>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</si>
  <si>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</si>
  <si>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</si>
  <si>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</si>
  <si>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</si>
  <si>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</si>
  <si>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</si>
  <si>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</si>
  <si>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</si>
  <si>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</si>
  <si>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</si>
  <si>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</si>
  <si>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</si>
  <si>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</si>
  <si>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</si>
  <si>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</si>
  <si>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</si>
  <si>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</si>
  <si>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</si>
  <si>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</si>
  <si>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</si>
  <si>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</si>
  <si>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</si>
  <si>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</si>
  <si>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</si>
  <si>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</si>
  <si>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</si>
  <si>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</si>
  <si>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</si>
  <si>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</si>
  <si>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</si>
  <si>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</si>
  <si>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</si>
  <si>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</si>
  <si>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</si>
  <si>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</si>
  <si>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</si>
  <si>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</si>
  <si>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</si>
  <si>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</si>
  <si>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</si>
  <si>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</si>
  <si>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</si>
  <si>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</si>
  <si>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</si>
  <si>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</si>
  <si>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</si>
  <si>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</si>
  <si>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</si>
  <si>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</si>
  <si>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</si>
  <si>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</si>
  <si>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</si>
  <si>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</si>
  <si>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</si>
  <si>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</si>
  <si>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</si>
  <si>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</si>
  <si>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</si>
  <si>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</si>
  <si>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</si>
  <si>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</si>
  <si>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</si>
  <si>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</si>
  <si>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</si>
  <si>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</si>
  <si>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</si>
  <si>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</si>
  <si>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</si>
  <si>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</si>
  <si>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</si>
  <si>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</si>
  <si>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</si>
  <si>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</si>
  <si>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</si>
  <si>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</si>
  <si>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</si>
  <si>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</si>
  <si>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</si>
  <si>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</si>
  <si>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</si>
  <si>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</si>
  <si>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</si>
  <si>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</si>
  <si>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</si>
  <si>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</si>
  <si>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</si>
  <si>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</si>
  <si>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</si>
  <si>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</si>
  <si>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</si>
  <si>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</si>
  <si>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</si>
  <si>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</si>
  <si>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</si>
  <si>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</si>
  <si>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</si>
  <si>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</si>
  <si>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</si>
  <si>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</si>
  <si>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</si>
  <si>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</si>
  <si>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</si>
  <si>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</si>
  <si>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</si>
  <si>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</si>
  <si>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</si>
  <si>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</si>
  <si>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</si>
  <si>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</si>
  <si>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</si>
  <si>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</si>
  <si>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</si>
  <si>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</si>
  <si>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</si>
  <si>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</si>
  <si>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</si>
  <si>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</si>
  <si>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</si>
  <si>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</si>
  <si>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</si>
  <si>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</si>
  <si>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</si>
  <si>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</si>
  <si>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</si>
  <si>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</si>
  <si>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</si>
  <si>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</si>
  <si>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</si>
  <si>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</si>
  <si>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</si>
  <si>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</si>
  <si>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</si>
  <si>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</si>
  <si>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</si>
  <si>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</si>
  <si>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</si>
  <si>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</si>
  <si>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</si>
  <si>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</si>
  <si>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</si>
  <si>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</si>
  <si>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</si>
  <si>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</si>
  <si>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</si>
  <si>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</si>
  <si>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</si>
  <si>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</si>
  <si>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</si>
  <si>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</si>
  <si>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</si>
  <si>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</si>
  <si>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</si>
  <si>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</si>
  <si>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</si>
  <si>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</si>
  <si>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</si>
  <si>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</si>
  <si>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</si>
  <si>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</si>
  <si>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</si>
  <si>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</si>
  <si>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</si>
  <si>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</si>
  <si>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</si>
  <si>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</si>
  <si>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</si>
  <si>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</si>
  <si>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</si>
  <si>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</si>
  <si>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</si>
  <si>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</si>
  <si>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</si>
  <si>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</si>
  <si>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</si>
  <si>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</si>
  <si>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</si>
  <si>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</si>
  <si>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</si>
  <si>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</si>
  <si>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</si>
  <si>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</si>
  <si>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</si>
  <si>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</si>
  <si>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</si>
  <si>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</si>
  <si>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</si>
  <si>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</si>
  <si>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</si>
  <si>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</si>
  <si>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</si>
  <si>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</si>
  <si>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</si>
  <si>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</si>
  <si>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</si>
  <si>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</si>
  <si>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</si>
  <si>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</si>
  <si>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</si>
  <si>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</si>
  <si>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</si>
  <si>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</si>
  <si>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</si>
  <si>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</si>
  <si>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</si>
  <si>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</si>
  <si>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</si>
  <si>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</si>
  <si>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</si>
  <si>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</si>
  <si>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</si>
  <si>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</si>
  <si>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</si>
  <si>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</si>
  <si>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</si>
  <si>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</si>
  <si>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</si>
  <si>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</si>
  <si>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</si>
  <si>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</si>
  <si>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</si>
  <si>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</si>
  <si>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</si>
  <si>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</si>
  <si>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</si>
  <si>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</si>
  <si>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</si>
  <si>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</si>
  <si>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</si>
  <si>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</si>
  <si>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</si>
  <si>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</si>
  <si>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</si>
  <si>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</si>
  <si>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</si>
  <si>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</si>
  <si>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</si>
  <si>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</si>
  <si>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</si>
  <si>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</si>
  <si>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</si>
  <si>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</si>
  <si>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</si>
  <si>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</si>
  <si>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</si>
  <si>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</si>
  <si>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</si>
  <si>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</si>
  <si>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</si>
  <si>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</si>
  <si>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</si>
  <si>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</si>
  <si>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</si>
  <si>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</si>
  <si>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</si>
  <si>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</si>
  <si>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</si>
  <si>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</si>
  <si>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</si>
  <si>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</si>
  <si>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</si>
  <si>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</si>
  <si>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</si>
  <si>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</si>
  <si>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</si>
  <si>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</si>
  <si>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</si>
  <si>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</si>
  <si>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</si>
  <si>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</si>
  <si>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</si>
  <si>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</si>
  <si>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</si>
  <si>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</si>
  <si>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</si>
  <si>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</si>
  <si>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</si>
  <si>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</si>
  <si>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</si>
  <si>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</si>
  <si>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</si>
  <si>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</si>
  <si>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</si>
  <si>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</si>
  <si>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</si>
  <si>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</si>
  <si>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</si>
  <si>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</si>
  <si>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</si>
  <si>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</si>
  <si>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</si>
  <si>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</si>
  <si>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</si>
  <si>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</si>
  <si>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</si>
  <si>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</si>
  <si>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</si>
  <si>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</si>
  <si>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</si>
  <si>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</si>
  <si>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</si>
  <si>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</si>
  <si>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</si>
  <si>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</si>
  <si>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</si>
  <si>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</si>
  <si>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</si>
  <si>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</si>
  <si>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</si>
  <si>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</si>
  <si>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</si>
  <si>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</si>
  <si>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</si>
  <si>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</si>
  <si>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</si>
  <si>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</si>
  <si>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</si>
  <si>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</si>
  <si>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</si>
  <si>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</si>
  <si>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</si>
  <si>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</si>
  <si>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</si>
  <si>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</si>
  <si>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</si>
  <si>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</si>
  <si>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</si>
  <si>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</si>
  <si>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</si>
  <si>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</si>
  <si>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</si>
  <si>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</si>
  <si>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</si>
  <si>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</si>
  <si>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</si>
  <si>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</si>
  <si>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</si>
  <si>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</si>
  <si>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</si>
  <si>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</si>
  <si>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</si>
  <si>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</si>
  <si>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</si>
  <si>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</si>
  <si>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</si>
  <si>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</si>
  <si>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</si>
  <si>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</si>
  <si>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</si>
  <si>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</si>
  <si>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</si>
  <si>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</si>
  <si>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</si>
  <si>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</si>
  <si>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</si>
  <si>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</si>
  <si>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</si>
  <si>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</si>
  <si>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</si>
  <si>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</si>
  <si>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</si>
  <si>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</si>
  <si>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</si>
  <si>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</si>
  <si>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</si>
  <si>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</si>
  <si>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</si>
  <si>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</si>
  <si>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</si>
  <si>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</si>
  <si>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</si>
  <si>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</si>
  <si>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</si>
  <si>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</si>
  <si>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</si>
  <si>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</si>
  <si>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</si>
  <si>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</si>
  <si>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</si>
  <si>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</si>
  <si>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</si>
  <si>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</si>
  <si>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</si>
  <si>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</si>
  <si>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</si>
  <si>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</si>
  <si>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</si>
  <si>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</si>
  <si>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</si>
  <si>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</si>
  <si>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</si>
  <si>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</si>
  <si>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</si>
  <si>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</si>
  <si>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</si>
  <si>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</si>
  <si>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</si>
  <si>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</si>
  <si>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</si>
  <si>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</si>
  <si>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</si>
  <si>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</si>
  <si>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</si>
  <si>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</si>
  <si>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</si>
  <si>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</si>
  <si>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</si>
  <si>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</si>
  <si>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</si>
  <si>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</si>
  <si>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</si>
  <si>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</si>
  <si>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</si>
  <si>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</si>
  <si>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</si>
  <si>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</si>
  <si>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</si>
  <si>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</si>
  <si>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</si>
  <si>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</si>
  <si>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</si>
  <si>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</si>
  <si>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</si>
  <si>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</si>
  <si>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</si>
  <si>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</si>
  <si>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</si>
  <si>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</si>
  <si>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</si>
  <si>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</si>
  <si>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</si>
  <si>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</si>
  <si>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</si>
  <si>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</si>
  <si>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</si>
  <si>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</si>
  <si>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</si>
  <si>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</si>
  <si>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</si>
  <si>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</si>
  <si>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</si>
  <si>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</si>
  <si>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</si>
  <si>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</si>
  <si>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</si>
  <si>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</si>
  <si>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</si>
  <si>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</si>
  <si>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</si>
  <si>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</si>
  <si>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</si>
  <si>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</si>
  <si>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</si>
  <si>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</si>
  <si>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</si>
  <si>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</si>
  <si>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</si>
  <si>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</si>
  <si>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</si>
  <si>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</si>
  <si>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</si>
  <si>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</si>
  <si>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</si>
  <si>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</si>
  <si>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</si>
  <si>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</si>
  <si>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</si>
  <si>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</si>
  <si>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</si>
  <si>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</si>
  <si>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</si>
  <si>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</si>
  <si>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</si>
  <si>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</si>
  <si>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</si>
  <si>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</si>
  <si>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</si>
  <si>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</si>
  <si>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</si>
  <si>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</si>
  <si>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</si>
  <si>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</si>
  <si>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</si>
  <si>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</si>
  <si>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</si>
  <si>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</si>
  <si>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</si>
  <si>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</si>
  <si>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</si>
  <si>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</si>
  <si>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</si>
  <si>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</si>
  <si>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</si>
  <si>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</si>
  <si>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</si>
  <si>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</si>
  <si>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</si>
  <si>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</si>
  <si>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</si>
  <si>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</si>
  <si>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</si>
  <si>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</si>
  <si>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</si>
  <si>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</si>
  <si>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</si>
  <si>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</si>
  <si>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</si>
  <si>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</si>
  <si>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</si>
  <si>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</si>
  <si>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</si>
  <si>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</si>
  <si>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</si>
  <si>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</si>
  <si>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</si>
  <si>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</si>
  <si>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</si>
  <si>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</si>
  <si>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</si>
  <si>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</si>
  <si>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</si>
  <si>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</si>
  <si>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</si>
  <si>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</si>
  <si>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</si>
  <si>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</si>
  <si>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</si>
  <si>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</si>
  <si>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</si>
  <si>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</si>
  <si>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</si>
  <si>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</si>
  <si>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</si>
  <si>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</si>
  <si>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</si>
  <si>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</si>
  <si>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</si>
  <si>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</si>
  <si>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</si>
  <si>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</si>
  <si>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</si>
  <si>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</si>
  <si>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</si>
  <si>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</si>
  <si>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</si>
  <si>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</si>
  <si>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</si>
  <si>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</si>
  <si>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</si>
  <si>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</si>
  <si>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</si>
  <si>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</si>
  <si>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</si>
  <si>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</si>
  <si>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</si>
  <si>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</si>
  <si>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</si>
  <si>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</si>
  <si>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</si>
  <si>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</si>
  <si>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</si>
  <si>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</si>
  <si>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</si>
  <si>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</si>
  <si>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</si>
  <si>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</si>
  <si>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</si>
  <si>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</si>
  <si>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</si>
  <si>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</si>
  <si>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</si>
  <si>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</si>
  <si>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</si>
  <si>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</si>
  <si>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</si>
  <si>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</si>
  <si>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</si>
  <si>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</si>
  <si>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</si>
  <si>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</si>
  <si>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</si>
  <si>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</si>
  <si>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</si>
  <si>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</si>
  <si>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</si>
  <si>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</si>
  <si>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</si>
  <si>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</si>
  <si>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</si>
  <si>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</si>
  <si>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</si>
  <si>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</si>
  <si>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</si>
  <si>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</si>
  <si>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</si>
  <si>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</si>
  <si>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</si>
  <si>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</si>
  <si>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</si>
  <si>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</si>
  <si>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</si>
  <si>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</si>
  <si>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</si>
  <si>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</si>
  <si>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</si>
  <si>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</si>
  <si>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</si>
  <si>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</si>
  <si>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</si>
  <si>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</si>
  <si>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</si>
  <si>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</si>
  <si>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</si>
  <si>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</si>
  <si>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</si>
  <si>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</si>
  <si>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</si>
  <si>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</si>
  <si>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</si>
  <si>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</si>
  <si>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</si>
  <si>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</si>
  <si>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</si>
  <si>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</si>
  <si>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</si>
  <si>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</si>
  <si>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</si>
  <si>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</si>
  <si>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</si>
  <si>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</si>
  <si>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</si>
  <si>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</si>
  <si>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</si>
  <si>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</si>
  <si>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</si>
  <si>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</si>
  <si>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</si>
  <si>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</si>
  <si>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</si>
  <si>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</si>
  <si>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</si>
  <si>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</si>
  <si>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</si>
  <si>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</si>
  <si>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</si>
  <si>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</si>
  <si>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</si>
  <si>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</si>
  <si>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</si>
  <si>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</si>
  <si>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</si>
  <si>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</si>
  <si>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</si>
  <si>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</si>
  <si>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</si>
  <si>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</si>
  <si>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</si>
  <si>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</si>
  <si>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</si>
  <si>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</si>
  <si>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</si>
  <si>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</si>
  <si>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</si>
  <si>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</si>
  <si>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</si>
  <si>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</si>
  <si>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</si>
  <si>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</si>
  <si>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</si>
  <si>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</si>
  <si>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</si>
  <si>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</si>
  <si>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</si>
  <si>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</si>
  <si>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</si>
  <si>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</si>
  <si>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</si>
  <si>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</si>
  <si>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</si>
  <si>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</si>
  <si>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</si>
  <si>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</si>
  <si>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</si>
  <si>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</si>
  <si>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</si>
  <si>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</si>
  <si>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</si>
  <si>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</si>
  <si>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</si>
  <si>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</si>
  <si>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</si>
  <si>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</si>
  <si>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</si>
  <si>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</si>
  <si>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</si>
  <si>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</si>
  <si>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</si>
  <si>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</si>
  <si>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</si>
  <si>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</si>
  <si>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</si>
  <si>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</si>
  <si>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</si>
  <si>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</si>
  <si>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</si>
  <si>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</si>
  <si>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</si>
  <si>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</si>
  <si>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</si>
  <si>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</si>
  <si>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</si>
  <si>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</si>
  <si>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</si>
  <si>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</si>
  <si>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</si>
  <si>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</si>
  <si>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</si>
  <si>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</si>
  <si>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</si>
  <si>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</si>
  <si>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</si>
  <si>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</si>
  <si>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</si>
  <si>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</si>
  <si>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</si>
  <si>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</si>
  <si>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</si>
  <si>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</si>
  <si>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</si>
  <si>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</si>
  <si>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</si>
  <si>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</si>
  <si>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</si>
  <si>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</si>
  <si>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</si>
  <si>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</si>
  <si>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</si>
  <si>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</si>
  <si>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</si>
  <si>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</si>
  <si>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</si>
  <si>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</si>
  <si>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</si>
  <si>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</si>
  <si>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</si>
  <si>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</si>
  <si>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</si>
  <si>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</si>
  <si>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</si>
  <si>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</si>
  <si>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</si>
  <si>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</si>
  <si>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</si>
  <si>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</si>
  <si>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</si>
  <si>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</si>
  <si>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</si>
  <si>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</si>
  <si>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</si>
  <si>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</si>
  <si>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</si>
  <si>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</si>
  <si>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</si>
  <si>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</si>
  <si>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</si>
  <si>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</si>
  <si>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</si>
  <si>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</si>
  <si>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</si>
  <si>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</si>
  <si>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</si>
  <si>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</si>
  <si>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</si>
  <si>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</si>
  <si>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</si>
  <si>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</si>
  <si>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</si>
  <si>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</si>
  <si>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</si>
  <si>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</si>
  <si>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</si>
  <si>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</si>
  <si>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</si>
  <si>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</si>
  <si>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</si>
  <si>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</si>
  <si>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</si>
  <si>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</si>
  <si>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</si>
  <si>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</si>
  <si>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</si>
  <si>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</si>
  <si>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</si>
  <si>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</si>
  <si>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</si>
  <si>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</si>
  <si>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</si>
  <si>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</si>
  <si>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</si>
  <si>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</si>
  <si>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</si>
  <si>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</si>
  <si>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</si>
  <si>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</si>
  <si>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</si>
  <si>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</si>
  <si>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</si>
  <si>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</si>
  <si>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</si>
  <si>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</si>
  <si>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</si>
  <si>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</si>
  <si>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</si>
  <si>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</si>
  <si>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</si>
  <si>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</si>
  <si>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</si>
  <si>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</si>
  <si>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</si>
  <si>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</si>
  <si>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</si>
  <si>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</si>
  <si>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</si>
  <si>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</si>
  <si>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</si>
  <si>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</si>
  <si>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</si>
  <si>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</si>
  <si>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</si>
  <si>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</si>
  <si>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</si>
  <si>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</si>
  <si>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</si>
  <si>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</si>
  <si>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</si>
  <si>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</si>
  <si>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</si>
  <si>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</si>
  <si>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</si>
  <si>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</si>
  <si>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</si>
  <si>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</si>
  <si>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</si>
  <si>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</si>
  <si>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</si>
  <si>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</si>
  <si>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</si>
  <si>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</si>
  <si>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</si>
  <si>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</si>
  <si>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</si>
  <si>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</si>
  <si>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</si>
  <si>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</si>
  <si>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</si>
  <si>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</si>
  <si>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</si>
  <si>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</si>
  <si>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</si>
  <si>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</si>
  <si>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</si>
  <si>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</si>
  <si>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</si>
  <si>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</si>
  <si>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</si>
  <si>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</si>
  <si>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</si>
  <si>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</si>
  <si>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</si>
  <si>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</si>
  <si>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</si>
  <si>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</si>
  <si>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</si>
  <si>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</si>
  <si>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</si>
  <si>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</si>
  <si>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</si>
  <si>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</si>
  <si>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</si>
  <si>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</si>
  <si>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</si>
  <si>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</si>
  <si>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</si>
  <si>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</si>
  <si>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</si>
  <si>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</si>
  <si>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</si>
  <si>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</si>
  <si>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</si>
  <si>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</si>
  <si>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</si>
  <si>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</si>
  <si>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</si>
  <si>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</si>
  <si>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</si>
  <si>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</si>
  <si>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</si>
  <si>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</si>
  <si>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</si>
  <si>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</si>
  <si>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</si>
  <si>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</si>
  <si>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</si>
  <si>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</si>
  <si>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</si>
  <si>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</si>
  <si>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</si>
  <si>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</si>
  <si>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</si>
  <si>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</si>
  <si>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</si>
  <si>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</si>
  <si>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</si>
  <si>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</si>
  <si>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</si>
  <si>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</si>
  <si>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</si>
  <si>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</si>
  <si>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</si>
  <si>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</si>
  <si>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</si>
  <si>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</si>
  <si>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</si>
  <si>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</si>
  <si>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</si>
  <si>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</si>
  <si>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</si>
  <si>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</si>
  <si>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</si>
  <si>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</si>
  <si>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</si>
  <si>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</si>
  <si>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</si>
  <si>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</si>
  <si>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</si>
  <si>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</si>
  <si>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</si>
  <si>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</si>
  <si>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</si>
  <si>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</si>
  <si>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</si>
  <si>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</si>
  <si>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</si>
  <si>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</si>
  <si>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</si>
  <si>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</si>
  <si>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</si>
  <si>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</si>
  <si>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</si>
  <si>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</si>
  <si>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</si>
  <si>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</si>
  <si>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</si>
  <si>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</si>
  <si>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</si>
  <si>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</si>
  <si>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</si>
  <si>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</si>
  <si>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</si>
  <si>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</si>
  <si>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</si>
  <si>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</si>
  <si>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</si>
  <si>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</si>
  <si>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</si>
  <si>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</si>
  <si>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</si>
  <si>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</si>
  <si>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</si>
  <si>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</si>
  <si>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</si>
  <si>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</si>
  <si>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</si>
  <si>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</si>
  <si>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</si>
  <si>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</si>
  <si>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</si>
  <si>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</si>
  <si>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</si>
  <si>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</si>
  <si>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</si>
  <si>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</si>
  <si>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</si>
  <si>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</si>
  <si>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</si>
  <si>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</si>
  <si>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</si>
  <si>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</si>
  <si>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</si>
  <si>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</si>
  <si>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</si>
  <si>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</si>
  <si>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</si>
  <si>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</si>
  <si>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</si>
  <si>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</si>
  <si>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</si>
  <si>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</si>
  <si>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</si>
  <si>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</si>
  <si>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</si>
  <si>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</si>
  <si>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</si>
  <si>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</si>
  <si>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</si>
  <si>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</si>
  <si>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</si>
  <si>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</si>
  <si>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</si>
  <si>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</si>
  <si>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</si>
  <si>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</si>
  <si>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</si>
  <si>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</si>
  <si>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</si>
  <si>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</si>
  <si>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</si>
  <si>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</si>
  <si>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</si>
  <si>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</si>
  <si>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</si>
  <si>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</si>
  <si>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</si>
  <si>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</si>
  <si>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</si>
  <si>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</si>
  <si>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</si>
  <si>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</si>
  <si>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</si>
  <si>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</si>
  <si>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</si>
  <si>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</si>
  <si>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</si>
  <si>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</si>
  <si>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</si>
  <si>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</si>
  <si>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</si>
  <si>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</si>
  <si>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</si>
  <si>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</si>
  <si>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</si>
  <si>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</si>
  <si>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</si>
  <si>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</si>
  <si>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</si>
  <si>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</si>
  <si>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</si>
  <si>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</si>
  <si>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</si>
  <si>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</si>
  <si>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</si>
  <si>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</si>
  <si>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</si>
  <si>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</si>
  <si>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</si>
  <si>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</si>
  <si>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</si>
  <si>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</si>
  <si>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</si>
  <si>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</si>
  <si>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</si>
  <si>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</si>
  <si>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</si>
  <si>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</si>
  <si>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</si>
  <si>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</si>
  <si>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</si>
  <si>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</si>
  <si>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</si>
  <si>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</si>
  <si>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</si>
  <si>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</si>
  <si>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</si>
  <si>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</si>
  <si>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</si>
  <si>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</si>
  <si>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</si>
  <si>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</si>
  <si>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</si>
  <si>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</si>
  <si>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</si>
  <si>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</si>
  <si>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</si>
  <si>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</si>
  <si>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</si>
  <si>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</si>
  <si>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</si>
  <si>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</si>
  <si>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</si>
  <si>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</si>
  <si>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</si>
  <si>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</si>
  <si>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</si>
  <si>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</si>
  <si>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</si>
  <si>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</si>
  <si>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</si>
  <si>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</si>
  <si>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</si>
  <si>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</si>
  <si>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</si>
  <si>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</si>
  <si>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</si>
  <si>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</si>
  <si>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</si>
  <si>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</si>
  <si>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</si>
  <si>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</si>
  <si>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</si>
  <si>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</si>
  <si>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</si>
  <si>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</si>
  <si>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</si>
  <si>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</si>
  <si>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</si>
  <si>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</si>
  <si>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</si>
  <si>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</si>
  <si>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</si>
  <si>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</si>
  <si>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</si>
  <si>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</si>
  <si>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</si>
  <si>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</si>
  <si>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</si>
  <si>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</si>
  <si>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</si>
  <si>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</si>
  <si>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</si>
  <si>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</si>
  <si>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</si>
  <si>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</si>
  <si>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</si>
  <si>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</si>
  <si>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</si>
  <si>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</si>
  <si>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</si>
  <si>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</si>
  <si>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</si>
  <si>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</si>
  <si>
    <t>35000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</si>
</sst>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789">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77" fillId="7" borderId="54" xfId="0" applyFont="1" applyFill="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49" fontId="160" fillId="6" borderId="1" xfId="12" applyNumberFormat="1" applyFont="1" applyFill="1" applyBorder="1" applyAlignment="1" applyProtection="1">
      <alignment horizontal="left" vertical="center" wrapText="1"/>
    </xf>
    <xf numFmtId="49" fontId="160" fillId="12" borderId="0" xfId="12" applyNumberFormat="1" applyFont="1" applyFill="1" applyBorder="1" applyAlignment="1" applyProtection="1">
      <alignment horizontal="left" vertical="center" wrapText="1"/>
      <protection locked="0"/>
    </xf>
    <xf numFmtId="49" fontId="159" fillId="12" borderId="0" xfId="12" applyNumberFormat="1" applyFill="1" applyBorder="1" applyAlignment="1" applyProtection="1">
      <alignment horizontal="left"/>
      <protection locked="0"/>
    </xf>
    <xf numFmtId="49" fontId="159" fillId="12" borderId="0" xfId="12" applyNumberFormat="1" applyFill="1" applyAlignment="1" applyProtection="1">
      <alignment horizontal="left"/>
      <protection locked="0"/>
    </xf>
    <xf numFmtId="49" fontId="159" fillId="0" borderId="0" xfId="12" applyNumberFormat="1" applyAlignment="1" applyProtection="1">
      <alignment horizontal="left"/>
      <protection locked="0"/>
    </xf>
    <xf numFmtId="49" fontId="160" fillId="0" borderId="1" xfId="12" applyNumberFormat="1" applyFont="1" applyFill="1" applyBorder="1" applyAlignment="1" applyProtection="1">
      <alignment horizontal="left" vertical="center" wrapText="1"/>
      <protection locked="0"/>
    </xf>
    <xf numFmtId="49" fontId="160" fillId="12" borderId="1" xfId="12" applyNumberFormat="1" applyFont="1" applyFill="1" applyBorder="1" applyAlignment="1" applyProtection="1">
      <alignment horizontal="left" vertical="center" wrapText="1"/>
      <protection locked="0"/>
    </xf>
    <xf numFmtId="49" fontId="159" fillId="6" borderId="1" xfId="12" applyNumberFormat="1" applyFill="1" applyBorder="1" applyAlignment="1" applyProtection="1">
      <alignment horizontal="left"/>
    </xf>
    <xf numFmtId="49" fontId="159" fillId="12" borderId="1" xfId="12" applyNumberFormat="1" applyFill="1" applyBorder="1" applyAlignment="1" applyProtection="1">
      <alignment horizontal="left"/>
      <protection locked="0"/>
    </xf>
    <xf numFmtId="49" fontId="159" fillId="6" borderId="1" xfId="12" applyNumberFormat="1" applyFill="1" applyBorder="1" applyAlignment="1" applyProtection="1">
      <alignment horizontal="left" vertical="center"/>
    </xf>
    <xf numFmtId="49" fontId="160" fillId="6" borderId="13" xfId="12" applyNumberFormat="1" applyFont="1" applyFill="1" applyBorder="1" applyAlignment="1" applyProtection="1">
      <alignment horizontal="left" vertical="center" wrapText="1"/>
    </xf>
    <xf numFmtId="49" fontId="95" fillId="0" borderId="1" xfId="12" applyNumberFormat="1" applyFont="1" applyFill="1" applyBorder="1" applyAlignment="1" applyProtection="1">
      <alignment horizontal="left"/>
      <protection locked="0"/>
    </xf>
    <xf numFmtId="49" fontId="160" fillId="0" borderId="13" xfId="12" applyNumberFormat="1" applyFont="1" applyFill="1" applyBorder="1" applyAlignment="1" applyProtection="1">
      <alignment horizontal="left" vertical="center" wrapText="1"/>
      <protection locked="0"/>
    </xf>
    <xf numFmtId="49" fontId="159" fillId="0" borderId="1" xfId="12" applyNumberFormat="1" applyBorder="1" applyAlignment="1" applyProtection="1">
      <alignment horizontal="left"/>
      <protection locked="0"/>
    </xf>
    <xf numFmtId="49" fontId="160" fillId="0" borderId="1" xfId="12" applyNumberFormat="1" applyFont="1" applyBorder="1" applyAlignment="1" applyProtection="1">
      <alignment horizontal="left"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3" t="s">
        <v>385</v>
      </c>
      <c r="C54" s="1550" t="s">
        <v>583</v>
      </c>
    </row>
    <row r="55" spans="1:4">
      <c r="A55" s="3490"/>
      <c r="B55" s="1553" t="s">
        <v>386</v>
      </c>
      <c r="C55" s="1550" t="s">
        <v>584</v>
      </c>
    </row>
    <row r="56" spans="1:4">
      <c r="A56" s="3490"/>
      <c r="B56" s="1553" t="s">
        <v>387</v>
      </c>
      <c r="C56" s="1550" t="s">
        <v>588</v>
      </c>
    </row>
    <row r="57" spans="1:4">
      <c r="A57" s="349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2"/>
    <col min="8" max="8" width="5.44140625" style="3002" customWidth="1"/>
    <col min="9" max="13" width="9.44140625" style="3044" customWidth="1"/>
    <col min="14" max="18" width="9.44140625" style="3002" customWidth="1"/>
    <col min="19" max="16384" width="15.21875" style="3002"/>
  </cols>
  <sheetData>
    <row r="1" spans="1:18">
      <c r="A1" s="2999" t="s">
        <v>2502</v>
      </c>
      <c r="B1" s="3000"/>
      <c r="C1" s="3000"/>
      <c r="D1" s="3000"/>
      <c r="E1" s="3000"/>
      <c r="F1" s="3001"/>
      <c r="I1" s="3423" t="s">
        <v>2595</v>
      </c>
      <c r="J1" s="3212"/>
      <c r="K1" s="3212"/>
      <c r="L1" s="3212"/>
      <c r="M1" s="3212"/>
      <c r="N1" s="3424"/>
      <c r="O1" s="3424"/>
      <c r="P1" s="3424"/>
      <c r="Q1" s="3424"/>
      <c r="R1" s="3424"/>
    </row>
    <row r="2" spans="1:18">
      <c r="A2" s="3003"/>
      <c r="B2" s="3004"/>
      <c r="C2" s="3004"/>
      <c r="D2" s="3004"/>
      <c r="E2" s="3004"/>
      <c r="F2" s="3005"/>
      <c r="I2" s="3491" t="s">
        <v>2582</v>
      </c>
      <c r="J2" s="3491"/>
      <c r="K2" s="3491"/>
      <c r="L2" s="3491"/>
      <c r="M2" s="3491"/>
      <c r="N2" s="3491"/>
      <c r="O2" s="3491"/>
      <c r="P2" s="3491"/>
      <c r="Q2" s="3491"/>
      <c r="R2" s="3491"/>
    </row>
    <row r="3" spans="1:18">
      <c r="A3" s="3006" t="s">
        <v>2503</v>
      </c>
      <c r="B3" s="3007">
        <f>项目基本情况!D3</f>
        <v>45539</v>
      </c>
      <c r="C3" s="3009"/>
      <c r="D3" s="3009"/>
      <c r="E3" s="3009"/>
      <c r="F3" s="3005"/>
      <c r="I3" s="3425"/>
      <c r="J3" s="3425" t="s">
        <v>2586</v>
      </c>
      <c r="K3" s="3425" t="s">
        <v>2587</v>
      </c>
      <c r="L3" s="3425" t="s">
        <v>2588</v>
      </c>
      <c r="M3" s="3425" t="s">
        <v>2589</v>
      </c>
      <c r="N3" s="3426" t="s">
        <v>2590</v>
      </c>
      <c r="O3" s="3426" t="s">
        <v>2591</v>
      </c>
      <c r="P3" s="3426" t="s">
        <v>2592</v>
      </c>
      <c r="Q3" s="3426" t="s">
        <v>2593</v>
      </c>
      <c r="R3" s="3426" t="s">
        <v>2594</v>
      </c>
    </row>
    <row r="4" spans="1:18">
      <c r="A4" s="3006" t="s">
        <v>2504</v>
      </c>
      <c r="B4" s="3009" t="s">
        <v>2505</v>
      </c>
      <c r="C4" s="3009" t="s">
        <v>2506</v>
      </c>
      <c r="D4" s="3009" t="s">
        <v>2507</v>
      </c>
      <c r="E4" s="3009" t="s">
        <v>2508</v>
      </c>
      <c r="F4" s="3005"/>
      <c r="I4" s="3425" t="s">
        <v>2583</v>
      </c>
      <c r="J4" s="3425">
        <v>80</v>
      </c>
      <c r="K4" s="3425">
        <v>70</v>
      </c>
      <c r="L4" s="3425">
        <v>20</v>
      </c>
      <c r="M4" s="3425">
        <v>30</v>
      </c>
      <c r="N4" s="3009">
        <v>45</v>
      </c>
      <c r="O4" s="3009">
        <v>60</v>
      </c>
      <c r="P4" s="3009">
        <v>50</v>
      </c>
      <c r="Q4" s="3009">
        <v>20</v>
      </c>
      <c r="R4" s="3009">
        <v>375</v>
      </c>
    </row>
    <row r="5" spans="1:18">
      <c r="A5" s="3010">
        <v>40</v>
      </c>
      <c r="B5" s="3007">
        <v>46375</v>
      </c>
      <c r="C5" s="3009">
        <f>ROUNDDOWN(MIN((B5-B3)/365,A5),2)</f>
        <v>2.29</v>
      </c>
      <c r="D5" s="3011">
        <f>IF(ISERROR(ROUND(POWER(1+E5,A5-C5)*(POWER(1+E5,C5)-1)/(POWER(1+E5,A5)-1),3)),0,ROUND(POWER(1+E5,A5-C5)*(POWER(1+E5,C5)-1)/(POWER(1+E5,A5)-1),4))</f>
        <v>0.1085</v>
      </c>
      <c r="E5" s="3012">
        <v>0.04</v>
      </c>
      <c r="F5" s="3005"/>
      <c r="I5" s="3425" t="s">
        <v>2584</v>
      </c>
      <c r="J5" s="3425">
        <v>70</v>
      </c>
      <c r="K5" s="3425">
        <v>60</v>
      </c>
      <c r="L5" s="3425">
        <v>15</v>
      </c>
      <c r="M5" s="3425">
        <v>25</v>
      </c>
      <c r="N5" s="3009">
        <v>40</v>
      </c>
      <c r="O5" s="3009">
        <v>50</v>
      </c>
      <c r="P5" s="3009">
        <v>40</v>
      </c>
      <c r="Q5" s="3009">
        <v>15</v>
      </c>
      <c r="R5" s="3009">
        <v>315</v>
      </c>
    </row>
    <row r="6" spans="1:18">
      <c r="A6" s="3010">
        <v>50</v>
      </c>
      <c r="B6" s="3007">
        <v>50028</v>
      </c>
      <c r="C6" s="3009">
        <f>ROUNDDOWN(MIN((B6-B3)/365,A6),2)</f>
        <v>12.29</v>
      </c>
      <c r="D6" s="3011">
        <f>IF(ISERROR(ROUND(POWER(1+E6,A6-C6)*(POWER(1+E6,C6)-1)/(POWER(1+E6,A6)-1),3)),0,ROUND(POWER(1+E6,A6-C6)*(POWER(1+E6,C6)-1)/(POWER(1+E6,A6)-1),4))</f>
        <v>0.4451</v>
      </c>
      <c r="E6" s="3012">
        <v>0.04</v>
      </c>
      <c r="F6" s="3005"/>
      <c r="I6" s="3425" t="s">
        <v>2585</v>
      </c>
      <c r="J6" s="3425">
        <v>60</v>
      </c>
      <c r="K6" s="3425">
        <v>50</v>
      </c>
      <c r="L6" s="3425">
        <v>10</v>
      </c>
      <c r="M6" s="3425">
        <v>20</v>
      </c>
      <c r="N6" s="3009">
        <v>35</v>
      </c>
      <c r="O6" s="3009">
        <v>40</v>
      </c>
      <c r="P6" s="3009">
        <v>30</v>
      </c>
      <c r="Q6" s="3009">
        <v>10</v>
      </c>
      <c r="R6" s="3009">
        <v>255</v>
      </c>
    </row>
    <row r="7" spans="1:18">
      <c r="A7" s="3010">
        <v>70</v>
      </c>
      <c r="B7" s="3007">
        <v>57333</v>
      </c>
      <c r="C7" s="3009">
        <f>ROUNDDOWN(MIN((B7-B3)/365,A7),2)</f>
        <v>32.31</v>
      </c>
      <c r="D7" s="3011">
        <f>IF(ISERROR(ROUND(POWER(1+E7,A7-C7)*(POWER(1+E7,C7)-1)/(POWER(1+E7,A7)-1),3)),0,ROUND(POWER(1+E7,A7-C7)*(POWER(1+E7,C7)-1)/(POWER(1+E7,A7)-1),4))</f>
        <v>0.76770000000000005</v>
      </c>
      <c r="E7" s="3012">
        <v>0.04</v>
      </c>
      <c r="F7" s="3005"/>
    </row>
    <row r="8" spans="1:18">
      <c r="A8" s="3003"/>
      <c r="B8" s="3004"/>
      <c r="C8" s="3004"/>
      <c r="D8" s="3004"/>
      <c r="E8" s="3004"/>
      <c r="F8" s="3005"/>
    </row>
    <row r="9" spans="1:18">
      <c r="A9" s="3006" t="s">
        <v>2509</v>
      </c>
      <c r="B9" s="3009"/>
      <c r="C9" s="3009"/>
      <c r="D9" s="3009"/>
      <c r="E9" s="3009"/>
      <c r="F9" s="3013"/>
    </row>
    <row r="10" spans="1:18">
      <c r="A10" s="3006" t="s">
        <v>2510</v>
      </c>
      <c r="B10" s="3009"/>
      <c r="C10" s="3009"/>
      <c r="D10" s="3009" t="s">
        <v>2508</v>
      </c>
      <c r="E10" s="3009"/>
      <c r="F10" s="3013" t="s">
        <v>2507</v>
      </c>
    </row>
    <row r="11" spans="1:18">
      <c r="A11" s="3006" t="s">
        <v>2511</v>
      </c>
      <c r="B11" s="3014">
        <v>70</v>
      </c>
      <c r="C11" s="3009" t="s">
        <v>2512</v>
      </c>
      <c r="D11" s="3015">
        <v>4.4999999999999998E-2</v>
      </c>
      <c r="E11" s="3009" t="s">
        <v>2513</v>
      </c>
      <c r="F11" s="3016">
        <f>ROUND(1-(1/(POWER(1+D11,B11))),4)</f>
        <v>0.95409999999999995</v>
      </c>
    </row>
    <row r="12" spans="1:18">
      <c r="A12" s="3006" t="s">
        <v>2514</v>
      </c>
      <c r="B12" s="3014">
        <v>40</v>
      </c>
      <c r="C12" s="3009" t="s">
        <v>2515</v>
      </c>
      <c r="D12" s="3015">
        <v>4.4999999999999998E-2</v>
      </c>
      <c r="E12" s="3009" t="s">
        <v>2516</v>
      </c>
      <c r="F12" s="3016">
        <f>ROUND(1-(1/(POWER(1+D12,B12))),4)</f>
        <v>0.82809999999999995</v>
      </c>
    </row>
    <row r="13" spans="1:18">
      <c r="A13" s="3006" t="s">
        <v>2517</v>
      </c>
      <c r="B13" s="3009"/>
      <c r="C13" s="3009"/>
      <c r="D13" s="3004"/>
      <c r="E13" s="3004"/>
      <c r="F13" s="3005"/>
    </row>
    <row r="14" spans="1:18">
      <c r="A14" s="3006" t="s">
        <v>2518</v>
      </c>
      <c r="B14" s="3014">
        <v>5000</v>
      </c>
      <c r="C14" s="3008"/>
      <c r="D14" s="3004"/>
      <c r="E14" s="3004"/>
      <c r="F14" s="3005"/>
    </row>
    <row r="15" spans="1:18">
      <c r="A15" s="3006" t="s">
        <v>2519</v>
      </c>
      <c r="B15" s="3009">
        <f>ROUND(B14*F12/F11,2)</f>
        <v>4339.6899999999996</v>
      </c>
      <c r="C15" s="3009">
        <f>ROUND(F12/F11,4)</f>
        <v>0.8679</v>
      </c>
      <c r="D15" s="3004"/>
      <c r="E15" s="3004"/>
      <c r="F15" s="3005"/>
    </row>
    <row r="16" spans="1:18">
      <c r="A16" s="3006" t="s">
        <v>2520</v>
      </c>
      <c r="B16" s="3009"/>
      <c r="C16" s="3009"/>
      <c r="D16" s="3004"/>
      <c r="E16" s="3004"/>
      <c r="F16" s="3005"/>
    </row>
    <row r="17" spans="1:13">
      <c r="A17" s="3006" t="s">
        <v>2519</v>
      </c>
      <c r="B17" s="3015">
        <v>4810</v>
      </c>
      <c r="C17" s="3008"/>
      <c r="D17" s="3004"/>
      <c r="E17" s="3004"/>
      <c r="F17" s="3005"/>
    </row>
    <row r="18" spans="1:13" ht="15" thickBot="1">
      <c r="A18" s="3017" t="s">
        <v>2518</v>
      </c>
      <c r="B18" s="3018">
        <f>ROUND(B17*F11/F12,2)</f>
        <v>5541.87</v>
      </c>
      <c r="C18" s="3018">
        <f>ROUND(F11/F12,4)</f>
        <v>1.1521999999999999</v>
      </c>
      <c r="D18" s="3019"/>
      <c r="E18" s="3019"/>
      <c r="F18" s="3020"/>
    </row>
    <row r="19" spans="1:13" ht="15" thickBot="1"/>
    <row r="20" spans="1:13" s="3055" customFormat="1" ht="15" thickTop="1">
      <c r="A20" s="3052" t="s">
        <v>2521</v>
      </c>
      <c r="B20" s="3053"/>
      <c r="C20" s="3053"/>
      <c r="D20" s="3053"/>
      <c r="E20" s="3053"/>
      <c r="F20" s="3053"/>
      <c r="G20" s="3054"/>
      <c r="I20" s="3056" t="s">
        <v>2566</v>
      </c>
      <c r="J20" s="3056" t="s">
        <v>2571</v>
      </c>
      <c r="K20" s="3056"/>
      <c r="L20" s="3056"/>
      <c r="M20" s="3056"/>
    </row>
    <row r="21" spans="1:13">
      <c r="A21" s="3021"/>
      <c r="B21" s="3022" t="s">
        <v>2522</v>
      </c>
      <c r="C21" s="3022" t="s">
        <v>2523</v>
      </c>
      <c r="D21" s="3022" t="s">
        <v>2524</v>
      </c>
      <c r="E21" s="3022" t="s">
        <v>2525</v>
      </c>
      <c r="F21" s="3022" t="s">
        <v>2526</v>
      </c>
      <c r="G21" s="3023" t="s">
        <v>2527</v>
      </c>
      <c r="I21" s="3044">
        <v>5</v>
      </c>
      <c r="J21" s="3044">
        <v>54.2</v>
      </c>
    </row>
    <row r="22" spans="1:13">
      <c r="A22" s="3021" t="s">
        <v>2528</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2529</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2569</v>
      </c>
      <c r="M23" s="3044" t="s">
        <v>2570</v>
      </c>
    </row>
    <row r="24" spans="1:13">
      <c r="A24" s="3021" t="s">
        <v>2530</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2568</v>
      </c>
      <c r="M24" s="3044">
        <v>10</v>
      </c>
    </row>
    <row r="25" spans="1:13">
      <c r="A25" s="3021" t="s">
        <v>2531</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2572</v>
      </c>
      <c r="M25" s="3044">
        <v>8</v>
      </c>
    </row>
    <row r="26" spans="1:13">
      <c r="A26" s="3026"/>
      <c r="B26" s="3027"/>
      <c r="C26" s="3027"/>
      <c r="D26" s="3027"/>
      <c r="E26" s="3027"/>
      <c r="F26" s="3027"/>
      <c r="G26" s="3028"/>
      <c r="I26" s="3044">
        <v>30</v>
      </c>
      <c r="J26" s="3044">
        <v>90.5</v>
      </c>
      <c r="K26" s="3044">
        <f t="shared" si="2"/>
        <v>4.2000000000000028</v>
      </c>
      <c r="L26" s="3044" t="s">
        <v>2573</v>
      </c>
      <c r="M26" s="3044">
        <v>5</v>
      </c>
    </row>
    <row r="27" spans="1:13">
      <c r="A27" s="3026" t="s">
        <v>2532</v>
      </c>
      <c r="B27" s="3027"/>
      <c r="C27" s="3027"/>
      <c r="D27" s="3027"/>
      <c r="E27" s="3027"/>
      <c r="F27" s="3027"/>
      <c r="G27" s="3028"/>
      <c r="I27" s="3044">
        <v>35</v>
      </c>
      <c r="J27" s="3044">
        <v>93.8</v>
      </c>
      <c r="K27" s="3044">
        <f t="shared" si="2"/>
        <v>3.2999999999999972</v>
      </c>
      <c r="L27" s="3044" t="s">
        <v>2574</v>
      </c>
      <c r="M27" s="3044">
        <v>3</v>
      </c>
    </row>
    <row r="28" spans="1:13">
      <c r="A28" s="3026" t="s">
        <v>2533</v>
      </c>
      <c r="B28" s="3027"/>
      <c r="C28" s="3027"/>
      <c r="D28" s="3027"/>
      <c r="E28" s="3027"/>
      <c r="F28" s="3027"/>
      <c r="G28" s="3028"/>
      <c r="I28" s="3044">
        <v>40</v>
      </c>
      <c r="J28" s="3044">
        <v>96.4</v>
      </c>
      <c r="K28" s="3044">
        <f t="shared" si="2"/>
        <v>2.6000000000000085</v>
      </c>
      <c r="L28" s="3044" t="s">
        <v>2575</v>
      </c>
      <c r="M28" s="3044">
        <v>2</v>
      </c>
    </row>
    <row r="29" spans="1:13">
      <c r="A29" s="3026" t="s">
        <v>2534</v>
      </c>
      <c r="B29" s="3027"/>
      <c r="C29" s="3027"/>
      <c r="D29" s="3027"/>
      <c r="E29" s="3027"/>
      <c r="F29" s="3027"/>
      <c r="G29" s="3028"/>
      <c r="I29" s="3044">
        <v>45</v>
      </c>
      <c r="J29" s="3044">
        <v>98.4</v>
      </c>
      <c r="K29" s="3044">
        <f t="shared" si="2"/>
        <v>2</v>
      </c>
    </row>
    <row r="30" spans="1:13">
      <c r="A30" s="3026" t="s">
        <v>2535</v>
      </c>
      <c r="B30" s="3027"/>
      <c r="C30" s="3027"/>
      <c r="D30" s="3027"/>
      <c r="E30" s="3027"/>
      <c r="F30" s="3027"/>
      <c r="G30" s="3028"/>
      <c r="I30" s="3044">
        <v>50</v>
      </c>
      <c r="J30" s="3044">
        <v>100</v>
      </c>
      <c r="K30" s="3044">
        <f t="shared" si="2"/>
        <v>1.5999999999999943</v>
      </c>
    </row>
    <row r="31" spans="1:13">
      <c r="A31" s="3026" t="s">
        <v>2536</v>
      </c>
      <c r="B31" s="3027"/>
      <c r="C31" s="3027"/>
      <c r="D31" s="3027"/>
      <c r="E31" s="3027"/>
      <c r="F31" s="3027"/>
      <c r="G31" s="3028"/>
      <c r="I31" s="3044" t="s">
        <v>2567</v>
      </c>
    </row>
    <row r="32" spans="1:13">
      <c r="A32" s="3026" t="s">
        <v>2537</v>
      </c>
      <c r="B32" s="3027"/>
      <c r="C32" s="3027"/>
      <c r="D32" s="3027"/>
      <c r="E32" s="3027"/>
      <c r="F32" s="3027"/>
      <c r="G32" s="3028"/>
    </row>
    <row r="33" spans="1:13">
      <c r="A33" s="3026" t="s">
        <v>2538</v>
      </c>
      <c r="B33" s="3027"/>
      <c r="C33" s="3027"/>
      <c r="D33" s="3027"/>
      <c r="E33" s="3027"/>
      <c r="F33" s="3027"/>
      <c r="G33" s="3028"/>
      <c r="I33" s="3044" t="s">
        <v>2566</v>
      </c>
      <c r="J33" s="3044" t="s">
        <v>2576</v>
      </c>
    </row>
    <row r="34" spans="1:13">
      <c r="A34" s="3026" t="s">
        <v>2539</v>
      </c>
      <c r="B34" s="3027"/>
      <c r="C34" s="3027"/>
      <c r="D34" s="3027"/>
      <c r="E34" s="3027"/>
      <c r="F34" s="3027"/>
      <c r="G34" s="3028"/>
      <c r="I34" s="3044">
        <v>5</v>
      </c>
      <c r="J34" s="3044">
        <v>55.1</v>
      </c>
    </row>
    <row r="35" spans="1:13">
      <c r="A35" s="3026" t="s">
        <v>2540</v>
      </c>
      <c r="B35" s="3027"/>
      <c r="C35" s="3027"/>
      <c r="D35" s="3027"/>
      <c r="E35" s="3027"/>
      <c r="F35" s="3027"/>
      <c r="G35" s="3028"/>
      <c r="I35" s="3044">
        <v>10</v>
      </c>
      <c r="J35" s="3044">
        <v>67</v>
      </c>
      <c r="K35" s="3044">
        <f>J35-J34</f>
        <v>11.899999999999999</v>
      </c>
    </row>
    <row r="36" spans="1:13">
      <c r="A36" s="3026" t="s">
        <v>2541</v>
      </c>
      <c r="B36" s="3027"/>
      <c r="C36" s="3027"/>
      <c r="D36" s="3027"/>
      <c r="E36" s="3027"/>
      <c r="F36" s="3027"/>
      <c r="G36" s="3028"/>
      <c r="I36" s="3044">
        <v>15</v>
      </c>
      <c r="J36" s="3044">
        <v>76.3</v>
      </c>
      <c r="K36" s="3044">
        <f t="shared" ref="K36:K41" si="3">J36-J35</f>
        <v>9.2999999999999972</v>
      </c>
      <c r="L36" s="3044" t="s">
        <v>2569</v>
      </c>
      <c r="M36" s="3044" t="s">
        <v>2570</v>
      </c>
    </row>
    <row r="37" spans="1:13">
      <c r="A37" s="3026" t="s">
        <v>2542</v>
      </c>
      <c r="B37" s="3027"/>
      <c r="C37" s="3027"/>
      <c r="D37" s="3027"/>
      <c r="E37" s="3027"/>
      <c r="F37" s="3027"/>
      <c r="G37" s="3028"/>
      <c r="I37" s="3044">
        <v>20</v>
      </c>
      <c r="J37" s="3044">
        <v>83.6</v>
      </c>
      <c r="K37" s="3044">
        <f t="shared" si="3"/>
        <v>7.2999999999999972</v>
      </c>
      <c r="L37" s="3044" t="s">
        <v>2568</v>
      </c>
      <c r="M37" s="3044">
        <v>10</v>
      </c>
    </row>
    <row r="38" spans="1:13">
      <c r="A38" s="3026" t="s">
        <v>2543</v>
      </c>
      <c r="B38" s="3027"/>
      <c r="C38" s="3027"/>
      <c r="D38" s="3027"/>
      <c r="E38" s="3027"/>
      <c r="F38" s="3027"/>
      <c r="G38" s="3028"/>
      <c r="I38" s="3044">
        <v>25</v>
      </c>
      <c r="J38" s="3044">
        <v>89.3</v>
      </c>
      <c r="K38" s="3044">
        <f t="shared" si="3"/>
        <v>5.7000000000000028</v>
      </c>
      <c r="L38" s="3044" t="s">
        <v>2572</v>
      </c>
      <c r="M38" s="3044">
        <v>8</v>
      </c>
    </row>
    <row r="39" spans="1:13">
      <c r="A39" s="3026"/>
      <c r="B39" s="3027"/>
      <c r="C39" s="3027"/>
      <c r="D39" s="3027"/>
      <c r="E39" s="3027"/>
      <c r="F39" s="3027"/>
      <c r="G39" s="3028"/>
      <c r="I39" s="3044">
        <v>30</v>
      </c>
      <c r="J39" s="3044">
        <v>93.8</v>
      </c>
      <c r="K39" s="3044">
        <f t="shared" si="3"/>
        <v>4.5</v>
      </c>
      <c r="L39" s="3044" t="s">
        <v>2573</v>
      </c>
      <c r="M39" s="3044">
        <v>6</v>
      </c>
    </row>
    <row r="40" spans="1:13">
      <c r="A40" s="3029" t="s">
        <v>2544</v>
      </c>
      <c r="B40" s="3030"/>
      <c r="C40" s="3030"/>
      <c r="D40" s="3030"/>
      <c r="E40" s="3030"/>
      <c r="F40" s="3030"/>
      <c r="G40" s="3031"/>
      <c r="I40" s="3044">
        <v>35</v>
      </c>
      <c r="J40" s="3044">
        <v>97.2</v>
      </c>
      <c r="K40" s="3044">
        <f t="shared" si="3"/>
        <v>3.4000000000000057</v>
      </c>
      <c r="L40" s="3044" t="s">
        <v>2574</v>
      </c>
      <c r="M40" s="3044">
        <v>3</v>
      </c>
    </row>
    <row r="41" spans="1:13">
      <c r="A41" s="3032" t="s">
        <v>2545</v>
      </c>
      <c r="B41" s="3033" t="s">
        <v>2546</v>
      </c>
      <c r="C41" s="3034" t="s">
        <v>2547</v>
      </c>
      <c r="D41" s="3034" t="s">
        <v>2548</v>
      </c>
      <c r="E41" s="3035"/>
      <c r="F41" s="3036"/>
      <c r="G41" s="3037"/>
      <c r="I41" s="3044">
        <v>40</v>
      </c>
      <c r="J41" s="3044">
        <v>100</v>
      </c>
      <c r="K41" s="3044">
        <f t="shared" si="3"/>
        <v>2.7999999999999972</v>
      </c>
    </row>
    <row r="42" spans="1:13">
      <c r="A42" s="3032" t="s">
        <v>2549</v>
      </c>
      <c r="B42" s="3033" t="s">
        <v>2550</v>
      </c>
      <c r="C42" s="3034" t="s">
        <v>2551</v>
      </c>
      <c r="D42" s="3038" t="s">
        <v>2552</v>
      </c>
      <c r="E42" s="3030" t="s">
        <v>2553</v>
      </c>
      <c r="F42" s="3030"/>
      <c r="G42" s="3031"/>
    </row>
    <row r="43" spans="1:13">
      <c r="A43" s="3032" t="s">
        <v>2554</v>
      </c>
      <c r="B43" s="3033" t="s">
        <v>2555</v>
      </c>
      <c r="C43" s="3034" t="s">
        <v>2556</v>
      </c>
      <c r="D43" s="3034" t="s">
        <v>2557</v>
      </c>
      <c r="E43" s="3035" t="s">
        <v>2558</v>
      </c>
      <c r="F43" s="3036"/>
      <c r="G43" s="3037"/>
      <c r="I43" s="3044" t="s">
        <v>2566</v>
      </c>
      <c r="J43" s="3044" t="s">
        <v>2577</v>
      </c>
    </row>
    <row r="44" spans="1:13">
      <c r="A44" s="3032" t="s">
        <v>2559</v>
      </c>
      <c r="B44" s="3033" t="s">
        <v>2560</v>
      </c>
      <c r="C44" s="3034" t="s">
        <v>2561</v>
      </c>
      <c r="D44" s="3038">
        <v>0.5</v>
      </c>
      <c r="E44" s="3035" t="s">
        <v>2562</v>
      </c>
      <c r="F44" s="3036"/>
      <c r="G44" s="3037"/>
      <c r="I44" s="3044">
        <v>30</v>
      </c>
      <c r="J44" s="3044">
        <v>81.7</v>
      </c>
    </row>
    <row r="45" spans="1:13" ht="15" thickBot="1">
      <c r="A45" s="3039" t="s">
        <v>2563</v>
      </c>
      <c r="B45" s="3040" t="s">
        <v>2550</v>
      </c>
      <c r="C45" s="3041" t="s">
        <v>2550</v>
      </c>
      <c r="D45" s="3041" t="s">
        <v>2564</v>
      </c>
      <c r="E45" s="3042" t="s">
        <v>2565</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17" customWidth="1"/>
    <col min="12" max="13" width="10" style="261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00" t="str">
        <f>IF(B10="北京市","北京市",C10)&amp;F10&amp;IF(结果表!G1="在建","出让国有建设用地使用权及在建建筑物",IF(结果表!G1="土地","出让国有建设用地使用权",))&amp;B9&amp;"预评估"</f>
        <v>北京市东城区南竹杆胡同2号房地产抵押价值预评估</v>
      </c>
      <c r="C1" s="3501"/>
      <c r="D1" s="3501"/>
      <c r="E1" s="3501"/>
      <c r="F1" s="3501"/>
      <c r="G1" s="3501"/>
      <c r="H1" s="3501"/>
      <c r="I1" s="3502"/>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北京市东城区南竹杆胡同2号房地产抵押价值</v>
      </c>
      <c r="T1" s="1744"/>
      <c r="U1" s="1744"/>
      <c r="V1" s="1744"/>
      <c r="W1" s="1744"/>
      <c r="X1" s="1744"/>
      <c r="Y1" s="1744"/>
      <c r="Z1" s="1744"/>
      <c r="AA1" s="1744"/>
      <c r="AB1" s="1744"/>
    </row>
    <row r="2" spans="1:30">
      <c r="A2" s="2366" t="s">
        <v>2169</v>
      </c>
      <c r="B2" s="2370"/>
      <c r="C2" s="2371"/>
      <c r="D2" s="2659"/>
      <c r="E2" s="2651"/>
      <c r="F2" s="2651"/>
      <c r="G2" s="2652"/>
      <c r="H2" s="2652"/>
      <c r="I2" s="2652"/>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北京市东城区南竹杆胡同2号房地产</v>
      </c>
      <c r="T2" s="1744"/>
      <c r="U2" s="1744"/>
      <c r="V2" s="1744"/>
      <c r="W2" s="1744"/>
      <c r="X2" s="1744"/>
      <c r="Y2" s="1744"/>
      <c r="Z2" s="1744"/>
      <c r="AA2" s="1744"/>
      <c r="AB2" s="1744"/>
    </row>
    <row r="3" spans="1:30">
      <c r="A3" s="302" t="s">
        <v>2170</v>
      </c>
      <c r="B3" s="2372"/>
      <c r="C3" s="2373" t="s">
        <v>2171</v>
      </c>
      <c r="D3" s="2372">
        <v>45539</v>
      </c>
      <c r="E3" s="2652"/>
      <c r="F3" s="2652"/>
      <c r="G3" s="2652"/>
      <c r="H3" s="2652"/>
      <c r="I3" s="2652"/>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53"/>
      <c r="F5" s="2653"/>
      <c r="G5" s="2653"/>
      <c r="H5" s="2653"/>
      <c r="I5" s="2653"/>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1"/>
      <c r="F6" s="2653"/>
      <c r="G6" s="2653"/>
      <c r="H6" s="2653"/>
      <c r="I6" s="2653"/>
      <c r="J6" s="2437"/>
      <c r="K6" s="2604" t="str">
        <f>IF(COUNTIF(B6,"*上海银行*"),"上海银行","")</f>
        <v/>
      </c>
      <c r="L6" s="2602"/>
      <c r="M6" s="2602"/>
      <c r="N6" s="2437"/>
      <c r="O6" s="2448"/>
      <c r="P6" s="2437"/>
      <c r="Q6" s="2437"/>
      <c r="R6" s="2437"/>
    </row>
    <row r="7" spans="1:30">
      <c r="A7" s="2382" t="s">
        <v>2175</v>
      </c>
      <c r="B7" s="2386"/>
      <c r="C7" s="2384"/>
      <c r="D7" s="2385"/>
      <c r="E7" s="2651"/>
      <c r="F7" s="2653"/>
      <c r="G7" s="2653"/>
      <c r="H7" s="2653"/>
      <c r="I7" s="2653"/>
      <c r="J7" s="2437"/>
      <c r="K7" s="2605"/>
      <c r="L7" s="2602"/>
      <c r="M7" s="2602"/>
      <c r="N7" s="2437"/>
      <c r="O7" s="2448"/>
      <c r="P7" s="2437"/>
      <c r="Q7" s="2437"/>
      <c r="R7" s="2437"/>
    </row>
    <row r="8" spans="1:30">
      <c r="A8" s="2387" t="s">
        <v>2176</v>
      </c>
      <c r="B8" s="2388" t="s">
        <v>3385</v>
      </c>
      <c r="C8" s="2389"/>
      <c r="D8" s="3503" t="s">
        <v>2177</v>
      </c>
      <c r="E8" s="2390" t="s">
        <v>3386</v>
      </c>
      <c r="F8" s="2391"/>
      <c r="G8" s="2652"/>
      <c r="H8" s="2652"/>
      <c r="I8" s="2652"/>
      <c r="J8" s="2437"/>
      <c r="K8" s="2603"/>
      <c r="L8" s="2602"/>
      <c r="M8" s="2602"/>
      <c r="N8" s="2437"/>
      <c r="O8" s="2448"/>
      <c r="P8" s="2437"/>
      <c r="Q8" s="2437"/>
      <c r="R8" s="2437"/>
    </row>
    <row r="9" spans="1:30" ht="13.8" thickBot="1">
      <c r="A9" s="2392" t="s">
        <v>2178</v>
      </c>
      <c r="B9" s="2393" t="s">
        <v>3386</v>
      </c>
      <c r="C9" s="2394"/>
      <c r="D9" s="3504"/>
      <c r="E9" s="2393"/>
      <c r="F9" s="2395"/>
      <c r="G9" s="2654"/>
      <c r="H9" s="2654"/>
      <c r="I9" s="2654"/>
      <c r="J9" s="2437"/>
      <c r="K9" s="2605"/>
      <c r="L9" s="2602"/>
      <c r="M9" s="2602"/>
      <c r="N9" s="2437"/>
      <c r="O9" s="2448"/>
      <c r="P9" s="2437"/>
      <c r="Q9" s="2437"/>
      <c r="R9" s="2437"/>
    </row>
    <row r="10" spans="1:30" ht="13.8" thickTop="1">
      <c r="A10" s="2396" t="s">
        <v>2179</v>
      </c>
      <c r="B10" s="2397" t="s">
        <v>3387</v>
      </c>
      <c r="C10" s="2398"/>
      <c r="D10" s="2381"/>
      <c r="E10" s="2399" t="s">
        <v>2180</v>
      </c>
      <c r="F10" s="2655" t="s">
        <v>3390</v>
      </c>
      <c r="G10" s="2656"/>
      <c r="H10" s="2657"/>
      <c r="I10" s="2658"/>
      <c r="J10" s="2437"/>
      <c r="K10" s="2605"/>
      <c r="L10" s="2602"/>
      <c r="M10" s="2602"/>
      <c r="N10" s="2437"/>
      <c r="O10" s="2448"/>
      <c r="P10" s="2437"/>
      <c r="Q10" s="2437"/>
      <c r="R10" s="2437"/>
    </row>
    <row r="11" spans="1:30">
      <c r="A11" s="2400" t="s">
        <v>2181</v>
      </c>
      <c r="B11" s="2401" t="s">
        <v>3388</v>
      </c>
      <c r="C11" s="3432" t="s">
        <v>3389</v>
      </c>
      <c r="D11" s="2402"/>
      <c r="E11" s="2369"/>
      <c r="F11" s="2369"/>
      <c r="G11" s="2369"/>
      <c r="H11" s="2369"/>
      <c r="I11" s="2369"/>
      <c r="J11" s="3047"/>
      <c r="K11" s="3046"/>
      <c r="L11" s="2602"/>
      <c r="M11" s="2602"/>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45" t="s">
        <v>2578</v>
      </c>
      <c r="J12" s="3048"/>
      <c r="K12" s="2602"/>
      <c r="L12" s="2602"/>
      <c r="M12" s="2437"/>
      <c r="N12" s="2448"/>
      <c r="O12" s="2437"/>
      <c r="P12" s="2437"/>
      <c r="Q12" s="2437"/>
      <c r="AD12" s="1744"/>
    </row>
    <row r="13" spans="1:30">
      <c r="A13" s="3409" t="s">
        <v>3334</v>
      </c>
      <c r="B13" s="2405" t="s">
        <v>2190</v>
      </c>
      <c r="C13" s="856"/>
      <c r="D13" s="856"/>
      <c r="E13" s="856"/>
      <c r="F13" s="856"/>
      <c r="G13" s="856"/>
      <c r="H13" s="856"/>
      <c r="I13" s="856"/>
      <c r="J13" s="3048"/>
      <c r="K13" s="2602"/>
      <c r="L13" s="2602"/>
      <c r="M13" s="2437"/>
      <c r="N13" s="2448"/>
      <c r="O13" s="2437"/>
      <c r="P13" s="2437"/>
      <c r="Q13" s="2437"/>
      <c r="AD13" s="1744"/>
    </row>
    <row r="14" spans="1:30">
      <c r="A14" s="1081"/>
      <c r="B14" s="2405" t="s">
        <v>2191</v>
      </c>
      <c r="C14" s="2406"/>
      <c r="D14" s="2406"/>
      <c r="E14" s="2406"/>
      <c r="F14" s="2406"/>
      <c r="G14" s="2406"/>
      <c r="H14" s="2406"/>
      <c r="I14" s="2406"/>
      <c r="J14" s="3049"/>
      <c r="K14" s="2602"/>
      <c r="L14" s="2602"/>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0"/>
      <c r="K15" s="2449"/>
      <c r="L15" s="2449"/>
      <c r="M15" s="2507"/>
      <c r="N15" s="2449"/>
      <c r="O15" s="2507"/>
      <c r="P15" s="2437"/>
      <c r="Q15" s="2437"/>
      <c r="AD15" s="1744"/>
    </row>
    <row r="16" spans="1:30">
      <c r="A16" s="2399" t="s">
        <v>2193</v>
      </c>
      <c r="B16" s="3510"/>
      <c r="C16" s="3511"/>
      <c r="D16" s="3512"/>
      <c r="E16" s="2411" t="s">
        <v>2194</v>
      </c>
      <c r="F16" s="3513"/>
      <c r="G16" s="3514"/>
      <c r="H16" s="3514"/>
      <c r="I16" s="3515"/>
      <c r="J16" s="2437"/>
      <c r="K16" s="2606"/>
      <c r="L16" s="2449"/>
      <c r="M16" s="2449"/>
      <c r="N16" s="2507"/>
      <c r="O16" s="2449"/>
      <c r="P16" s="2507"/>
      <c r="Q16" s="2437"/>
      <c r="R16" s="2437"/>
    </row>
    <row r="17" spans="1:28">
      <c r="A17" s="313" t="s">
        <v>2195</v>
      </c>
      <c r="B17" s="302" t="s">
        <v>2196</v>
      </c>
      <c r="C17" s="8">
        <f>'数据-汇总表'!E3</f>
        <v>195.03</v>
      </c>
      <c r="D17" s="2321" t="s">
        <v>2197</v>
      </c>
      <c r="E17" s="3516" t="s">
        <v>2198</v>
      </c>
      <c r="F17" s="3517"/>
      <c r="G17" s="3517"/>
      <c r="H17" s="3517"/>
      <c r="I17" s="3518"/>
      <c r="J17" s="2437"/>
      <c r="K17" s="2607"/>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519" t="s">
        <v>2202</v>
      </c>
      <c r="F18" s="3520"/>
      <c r="G18" s="3520"/>
      <c r="H18" s="3520"/>
      <c r="I18" s="3521"/>
      <c r="J18" s="2437"/>
      <c r="K18" s="2607"/>
      <c r="L18" s="2449"/>
      <c r="M18" s="2449"/>
      <c r="N18" s="2507"/>
      <c r="O18" s="2449"/>
      <c r="P18" s="2507"/>
      <c r="Q18" s="2437"/>
      <c r="R18" s="2437"/>
      <c r="S18" s="2437"/>
      <c r="T18" s="2437"/>
      <c r="U18" s="2437"/>
      <c r="V18" s="2437"/>
    </row>
    <row r="19" spans="1:28" ht="37.200000000000003" thickTop="1" thickBot="1">
      <c r="A19" s="327" t="s">
        <v>1055</v>
      </c>
      <c r="B19" s="307" t="s">
        <v>2203</v>
      </c>
      <c r="C19" s="1562"/>
      <c r="D19" s="1563" t="s">
        <v>2204</v>
      </c>
      <c r="E19" s="1564"/>
      <c r="F19" s="1565" t="str">
        <f>IF(AND(C19="是",E19="否"),"是否提供他项权证或相关说明","")</f>
        <v/>
      </c>
      <c r="G19" s="1566"/>
      <c r="H19" s="2653"/>
      <c r="I19" s="2653"/>
      <c r="J19" s="2437"/>
      <c r="K19" s="2605"/>
      <c r="L19" s="2602"/>
      <c r="M19" s="2602"/>
      <c r="N19" s="2507"/>
      <c r="O19" s="2449"/>
      <c r="P19" s="2507"/>
      <c r="Q19" s="2437"/>
      <c r="R19" s="2437"/>
      <c r="S19" s="2437"/>
      <c r="T19" s="2437"/>
      <c r="U19" s="2437"/>
      <c r="V19" s="2437"/>
    </row>
    <row r="20" spans="1:28">
      <c r="A20" s="2621" t="s">
        <v>2205</v>
      </c>
      <c r="B20" s="3506" t="s">
        <v>2206</v>
      </c>
      <c r="C20" s="3507"/>
      <c r="D20" s="3508" t="s">
        <v>2207</v>
      </c>
      <c r="E20" s="3509"/>
      <c r="F20" s="2636" t="s">
        <v>1056</v>
      </c>
      <c r="G20" s="2653"/>
      <c r="H20" s="2653"/>
      <c r="I20" s="2653"/>
      <c r="J20" s="2437"/>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1"/>
      <c r="B21" s="2622" t="s">
        <v>2209</v>
      </c>
      <c r="C21" s="2623" t="s">
        <v>1057</v>
      </c>
      <c r="D21" s="1567" t="s">
        <v>2210</v>
      </c>
      <c r="E21" s="2624" t="s">
        <v>1057</v>
      </c>
      <c r="F21" s="2637"/>
      <c r="G21" s="2653"/>
      <c r="H21" s="2653"/>
      <c r="I21" s="2653"/>
      <c r="J21" s="2437"/>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1"/>
      <c r="B22" s="2625" t="s">
        <v>2211</v>
      </c>
      <c r="C22" s="2623" t="s">
        <v>1058</v>
      </c>
      <c r="D22" s="2652"/>
      <c r="E22" s="2652"/>
      <c r="F22" s="2652"/>
      <c r="G22" s="2653"/>
      <c r="H22" s="2653"/>
      <c r="I22" s="2653"/>
      <c r="J22" s="2437"/>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26" t="s">
        <v>2212</v>
      </c>
      <c r="B23" s="2500" t="s">
        <v>2213</v>
      </c>
      <c r="C23" s="2627"/>
      <c r="D23" s="2628" t="s">
        <v>2213</v>
      </c>
      <c r="E23" s="2629"/>
      <c r="F23" s="2652"/>
      <c r="G23" s="2653"/>
      <c r="H23" s="2653"/>
      <c r="I23" s="2653"/>
      <c r="J23" s="2437"/>
      <c r="K23" s="2608"/>
      <c r="L23" s="2473"/>
      <c r="M23" s="2602"/>
      <c r="N23" s="2507"/>
      <c r="O23" s="2449"/>
      <c r="P23" s="2507"/>
      <c r="Q23" s="2437"/>
      <c r="R23" s="2437"/>
      <c r="S23" s="2437"/>
      <c r="T23" s="2437"/>
      <c r="U23" s="2437"/>
      <c r="V23" s="2437"/>
    </row>
    <row r="24" spans="1:28">
      <c r="A24" s="2626"/>
      <c r="B24" s="2500" t="s">
        <v>1059</v>
      </c>
      <c r="C24" s="2630"/>
      <c r="D24" s="2626" t="s">
        <v>1059</v>
      </c>
      <c r="E24" s="2631"/>
      <c r="F24" s="2652"/>
      <c r="G24" s="2653"/>
      <c r="H24" s="2653"/>
      <c r="I24" s="2653"/>
      <c r="J24" s="2437"/>
      <c r="K24" s="2608"/>
      <c r="L24" s="2473"/>
      <c r="M24" s="2602"/>
      <c r="N24" s="2507"/>
      <c r="O24" s="2449"/>
      <c r="P24" s="2507"/>
      <c r="Q24" s="2437"/>
      <c r="R24" s="2437"/>
      <c r="S24" s="2437"/>
      <c r="T24" s="2437"/>
      <c r="U24" s="2437"/>
      <c r="V24" s="2437"/>
    </row>
    <row r="25" spans="1:28">
      <c r="A25" s="2626"/>
      <c r="B25" s="2500" t="s">
        <v>1060</v>
      </c>
      <c r="C25" s="2630"/>
      <c r="D25" s="2626" t="s">
        <v>1060</v>
      </c>
      <c r="E25" s="2631"/>
      <c r="F25" s="2652"/>
      <c r="G25" s="2653"/>
      <c r="H25" s="2653"/>
      <c r="I25" s="2653"/>
      <c r="J25" s="2437"/>
      <c r="K25" s="2605"/>
      <c r="L25" s="2602"/>
      <c r="M25" s="2602"/>
      <c r="N25" s="2507"/>
      <c r="O25" s="2449"/>
      <c r="P25" s="2507"/>
      <c r="Q25" s="2437"/>
      <c r="R25" s="2437"/>
      <c r="S25" s="2437"/>
      <c r="T25" s="2437"/>
      <c r="U25" s="2437"/>
      <c r="V25" s="2437"/>
    </row>
    <row r="26" spans="1:28" ht="13.8" thickBot="1">
      <c r="A26" s="2632"/>
      <c r="B26" s="2633" t="s">
        <v>1061</v>
      </c>
      <c r="C26" s="2634"/>
      <c r="D26" s="2632" t="s">
        <v>1061</v>
      </c>
      <c r="E26" s="2635"/>
      <c r="F26" s="2654"/>
      <c r="G26" s="2654"/>
      <c r="H26" s="2654"/>
      <c r="I26" s="2654"/>
      <c r="J26" s="2437"/>
      <c r="K26" s="2605"/>
      <c r="L26" s="2602"/>
      <c r="M26" s="2602"/>
      <c r="N26" s="2507"/>
      <c r="O26" s="2449"/>
      <c r="P26" s="2507"/>
      <c r="Q26" s="2437"/>
      <c r="R26" s="2437"/>
      <c r="S26" s="2437"/>
      <c r="T26" s="2437"/>
      <c r="U26" s="2437"/>
      <c r="V26" s="2437"/>
    </row>
    <row r="27" spans="1:28" ht="13.8" thickTop="1">
      <c r="A27" s="3493" t="s">
        <v>2214</v>
      </c>
      <c r="B27" s="320" t="s">
        <v>2215</v>
      </c>
      <c r="C27" s="2414" t="s">
        <v>3396</v>
      </c>
      <c r="D27" s="2415"/>
      <c r="E27" s="2653"/>
      <c r="F27" s="2653"/>
      <c r="G27" s="2653"/>
      <c r="H27" s="2653"/>
      <c r="I27" s="2653"/>
      <c r="J27" s="2437"/>
      <c r="K27" s="2606"/>
      <c r="L27" s="2449"/>
      <c r="M27" s="2449"/>
      <c r="N27" s="2507"/>
      <c r="O27" s="2449"/>
      <c r="P27" s="2507"/>
      <c r="Q27" s="2437"/>
      <c r="R27" s="2437"/>
      <c r="S27" s="2437"/>
      <c r="T27" s="2437"/>
      <c r="U27" s="2437"/>
      <c r="V27" s="2437"/>
    </row>
    <row r="28" spans="1:28">
      <c r="A28" s="3493"/>
      <c r="B28" s="302" t="s">
        <v>2216</v>
      </c>
      <c r="C28" s="2416"/>
      <c r="D28" s="2417"/>
      <c r="E28" s="2653"/>
      <c r="F28" s="2653"/>
      <c r="G28" s="2653"/>
      <c r="H28" s="2653"/>
      <c r="I28" s="2653"/>
      <c r="J28" s="2437"/>
      <c r="K28" s="2605"/>
      <c r="L28" s="2602"/>
      <c r="M28" s="2602"/>
      <c r="N28" s="2437"/>
      <c r="O28" s="2448"/>
      <c r="P28" s="2437"/>
      <c r="Q28" s="2437"/>
      <c r="R28" s="2437"/>
      <c r="S28" s="2437"/>
      <c r="T28" s="2437"/>
      <c r="U28" s="2437"/>
      <c r="V28" s="2437"/>
    </row>
    <row r="29" spans="1:28">
      <c r="A29" s="3493"/>
      <c r="B29" s="302" t="s">
        <v>2217</v>
      </c>
      <c r="C29" s="2418"/>
      <c r="D29" s="2419"/>
      <c r="E29" s="2653"/>
      <c r="F29" s="2653"/>
      <c r="G29" s="2653"/>
      <c r="H29" s="2653"/>
      <c r="I29" s="2653"/>
      <c r="J29" s="2437"/>
      <c r="K29" s="2605"/>
      <c r="L29" s="2602"/>
      <c r="M29" s="2602"/>
      <c r="N29" s="2437"/>
      <c r="O29" s="2448"/>
      <c r="P29" s="2437"/>
      <c r="Q29" s="2437"/>
      <c r="R29" s="2437"/>
      <c r="S29" s="2437"/>
      <c r="T29" s="2437"/>
      <c r="U29" s="2437"/>
      <c r="V29" s="2437"/>
    </row>
    <row r="30" spans="1:28">
      <c r="A30" s="3494"/>
      <c r="B30" s="302" t="s">
        <v>2218</v>
      </c>
      <c r="C30" s="3495"/>
      <c r="D30" s="3496"/>
      <c r="E30" s="2653"/>
      <c r="F30" s="2653"/>
      <c r="G30" s="2653"/>
      <c r="H30" s="2653"/>
      <c r="I30" s="2653"/>
      <c r="J30" s="2437"/>
      <c r="K30" s="2605"/>
      <c r="L30" s="2602"/>
      <c r="M30" s="2602"/>
      <c r="N30" s="2437"/>
      <c r="O30" s="2448"/>
      <c r="P30" s="2437"/>
      <c r="Q30" s="2437"/>
      <c r="R30" s="2437"/>
      <c r="S30" s="2437"/>
      <c r="T30" s="2437"/>
      <c r="U30" s="2437"/>
      <c r="V30" s="2437"/>
    </row>
    <row r="31" spans="1:28">
      <c r="A31" s="3497" t="s">
        <v>2219</v>
      </c>
      <c r="B31" s="2420" t="s">
        <v>3395</v>
      </c>
      <c r="C31" s="2322" t="str">
        <f>IF(B31="现房","成新及维护状况正常否",IF(B31="在建","工程状态是否正常",IF(B31="土地","是否闲置","-")))</f>
        <v>成新及维护状况正常否</v>
      </c>
      <c r="D31" s="1372"/>
      <c r="E31" s="2421"/>
      <c r="F31" s="2653"/>
      <c r="G31" s="2653"/>
      <c r="H31" s="2653"/>
      <c r="I31" s="2653"/>
      <c r="J31" s="2437"/>
      <c r="K31" s="2604"/>
      <c r="L31" s="2602"/>
      <c r="M31" s="2602"/>
      <c r="N31" s="2437"/>
      <c r="O31" s="2448"/>
      <c r="P31" s="2437"/>
      <c r="Q31" s="2437"/>
      <c r="R31" s="2437"/>
      <c r="S31" s="2437"/>
      <c r="T31" s="2437"/>
      <c r="U31" s="2437"/>
      <c r="V31" s="2437"/>
    </row>
    <row r="32" spans="1:28">
      <c r="A32" s="3498"/>
      <c r="B32" s="2420"/>
      <c r="C32" s="2322" t="str">
        <f>IF(B32="现房","成新及维护状况是否正常",IF(B32="在建","工程状态是否正常",IF(B32="土地","是否闲置","-")))</f>
        <v>-</v>
      </c>
      <c r="D32" s="1372"/>
      <c r="E32" s="2421"/>
      <c r="F32" s="2653"/>
      <c r="G32" s="2653"/>
      <c r="H32" s="2653"/>
      <c r="I32" s="2653"/>
      <c r="J32" s="2437"/>
      <c r="K32" s="2605"/>
      <c r="L32" s="2602"/>
      <c r="M32" s="2602"/>
      <c r="N32" s="2437"/>
      <c r="O32" s="2448"/>
      <c r="P32" s="2437"/>
      <c r="Q32" s="2437"/>
      <c r="R32" s="2437"/>
      <c r="S32" s="2437"/>
      <c r="T32" s="2437"/>
      <c r="U32" s="2437"/>
      <c r="V32" s="2437"/>
    </row>
    <row r="33" spans="1:30">
      <c r="A33" s="3498"/>
      <c r="B33" s="2423"/>
      <c r="C33" s="1589" t="str">
        <f>IF(B33="现房","成新及维护状况是否正常",IF(B33="在建","工程状态是否正常",IF(B33="土地","是否闲置","-")))</f>
        <v>-</v>
      </c>
      <c r="D33" s="1364"/>
      <c r="E33" s="2424"/>
      <c r="F33" s="2653"/>
      <c r="G33" s="2653"/>
      <c r="H33" s="2653"/>
      <c r="I33" s="2653"/>
      <c r="J33" s="2437"/>
      <c r="K33" s="2605"/>
      <c r="L33" s="2602"/>
      <c r="M33" s="2602"/>
      <c r="N33" s="2437"/>
      <c r="O33" s="2448"/>
      <c r="P33" s="2437"/>
      <c r="Q33" s="2437"/>
      <c r="R33" s="2437"/>
      <c r="S33" s="2437"/>
      <c r="T33" s="2437"/>
      <c r="U33" s="2437"/>
      <c r="V33" s="2437"/>
    </row>
    <row r="34" spans="1:30">
      <c r="A34" s="302" t="s">
        <v>2220</v>
      </c>
      <c r="B34" s="2025"/>
      <c r="C34" s="2025"/>
      <c r="D34" s="2025"/>
      <c r="E34" s="2025"/>
      <c r="F34" s="2025"/>
      <c r="G34" s="2025"/>
      <c r="H34" s="2025"/>
      <c r="I34" s="2653"/>
      <c r="J34" s="2437"/>
      <c r="K34" s="2425">
        <f>COUNTIF(B34:H34,"——")</f>
        <v>0</v>
      </c>
      <c r="L34" s="323" t="s">
        <v>2221</v>
      </c>
      <c r="M34" s="323" t="s">
        <v>2222</v>
      </c>
      <c r="N34" s="323" t="s">
        <v>2223</v>
      </c>
      <c r="O34" s="323" t="s">
        <v>2224</v>
      </c>
      <c r="P34" s="323" t="s">
        <v>2225</v>
      </c>
      <c r="Q34" s="323" t="s">
        <v>2226</v>
      </c>
      <c r="R34" s="323" t="s">
        <v>2227</v>
      </c>
      <c r="S34" s="3492" t="s">
        <v>2228</v>
      </c>
      <c r="T34" s="2426" t="str">
        <f>NUMBERSTRING(7-K34,1)&amp;"通"</f>
        <v>七通</v>
      </c>
      <c r="U34" s="2437"/>
      <c r="V34" s="2437"/>
    </row>
    <row r="35" spans="1:30">
      <c r="A35" s="2427"/>
      <c r="B35" s="3499" t="s">
        <v>2229</v>
      </c>
      <c r="C35" s="3499"/>
      <c r="D35" s="3499"/>
      <c r="E35" s="3499"/>
      <c r="F35" s="664">
        <f>C10</f>
        <v>0</v>
      </c>
      <c r="G35" s="2653"/>
      <c r="H35" s="2653"/>
      <c r="I35" s="2653"/>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51" t="s">
        <v>2581</v>
      </c>
      <c r="G36" s="2653"/>
      <c r="H36" s="2653"/>
      <c r="I36" s="2653"/>
      <c r="J36" s="2437"/>
      <c r="K36" s="2605"/>
      <c r="L36" s="2602"/>
      <c r="M36" s="2602"/>
      <c r="N36" s="2437"/>
      <c r="O36" s="2448"/>
      <c r="P36" s="2437"/>
      <c r="Q36" s="2437"/>
      <c r="R36" s="2437"/>
      <c r="S36" s="2437"/>
      <c r="T36" s="2437"/>
      <c r="U36" s="2437"/>
      <c r="V36" s="2437"/>
    </row>
    <row r="37" spans="1:30">
      <c r="A37" s="2619" t="s">
        <v>2230</v>
      </c>
      <c r="B37" s="2429"/>
      <c r="C37" s="2429" t="s">
        <v>144</v>
      </c>
      <c r="D37" s="2429"/>
      <c r="E37" s="2429"/>
      <c r="F37" s="2429"/>
      <c r="G37" s="2653"/>
      <c r="H37" s="2653"/>
      <c r="I37" s="2653"/>
      <c r="J37" s="2437"/>
      <c r="K37" s="2605"/>
      <c r="L37" s="2602"/>
      <c r="M37" s="2602"/>
      <c r="N37" s="2437"/>
      <c r="O37" s="2448"/>
      <c r="P37" s="2437"/>
      <c r="Q37" s="2437"/>
      <c r="R37" s="2437"/>
      <c r="S37" s="2437"/>
      <c r="T37" s="2437"/>
      <c r="U37" s="2437"/>
      <c r="V37" s="2437"/>
    </row>
    <row r="38" spans="1:30" ht="13.8" thickBot="1">
      <c r="A38" s="2620" t="s">
        <v>2231</v>
      </c>
      <c r="B38" s="2430"/>
      <c r="C38" s="2430" t="s">
        <v>137</v>
      </c>
      <c r="D38" s="2430"/>
      <c r="E38" s="2430"/>
      <c r="F38" s="2430"/>
      <c r="G38" s="2654"/>
      <c r="H38" s="2654"/>
      <c r="I38" s="2654"/>
      <c r="J38" s="2437"/>
      <c r="K38" s="2605"/>
      <c r="L38" s="2602"/>
      <c r="M38" s="2602"/>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9"/>
      <c r="B40" s="2369"/>
      <c r="C40" s="2369"/>
      <c r="D40" s="2369"/>
      <c r="E40" s="2369"/>
      <c r="F40" s="2369"/>
      <c r="G40" s="2369"/>
      <c r="H40" s="2369"/>
      <c r="I40" s="1577"/>
      <c r="J40" s="2507"/>
      <c r="K40" s="2604"/>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05"/>
      <c r="L41" s="2602"/>
      <c r="M41" s="2602"/>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15" t="s">
        <v>2243</v>
      </c>
      <c r="K42" s="2616" t="s">
        <v>2244</v>
      </c>
      <c r="L42" s="2616" t="s">
        <v>2245</v>
      </c>
      <c r="M42" s="2616" t="s">
        <v>2246</v>
      </c>
      <c r="N42" s="2609" t="s">
        <v>2247</v>
      </c>
      <c r="O42" s="2609" t="s">
        <v>2248</v>
      </c>
      <c r="P42" s="2609" t="s">
        <v>2249</v>
      </c>
      <c r="Q42" s="2610" t="s">
        <v>2250</v>
      </c>
      <c r="R42" s="2610"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786.58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3433">
        <v>51017</v>
      </c>
      <c r="D13" s="1624" t="s">
        <v>3392</v>
      </c>
      <c r="E13" s="13">
        <f>IF($C$3="是",ROUND($A$3*G13/$B$3,2),ROUND($A$3*(G13-AT13)/$B$3,2))</f>
        <v>0</v>
      </c>
      <c r="F13" s="29"/>
      <c r="G13" s="30">
        <f>H13+AC13+AT13</f>
        <v>195.03</v>
      </c>
      <c r="H13" s="17">
        <f>SUMIF(I$12:AB$12,"总值",I13:AB13)</f>
        <v>195.03</v>
      </c>
      <c r="I13" s="1625">
        <v>195.03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51017</v>
      </c>
      <c r="AY13" s="1348">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3434">
        <v>51018</v>
      </c>
      <c r="D14" s="1624"/>
      <c r="E14" s="13">
        <f>IF($C$3="是",ROUND($A$3*G14/$B$3,2),ROUND($A$3*(G14-AT14)/$B$3,2))</f>
        <v>0</v>
      </c>
      <c r="F14" s="29"/>
      <c r="G14" s="30">
        <f>H14+AC14+AT14</f>
        <v>197.68</v>
      </c>
      <c r="H14" s="17">
        <f>SUMIF(I$12:AB$12,"总值",I14:AB14)</f>
        <v>197.68</v>
      </c>
      <c r="I14" s="1625">
        <v>197.68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51018</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3434">
        <v>51019</v>
      </c>
      <c r="D15" s="1624"/>
      <c r="E15" s="13">
        <f>IF($C$3="是",ROUND($A$3*G15/$B$3,2),ROUND($A$3*(G15-AT15)/$B$3,2))</f>
        <v>0</v>
      </c>
      <c r="F15" s="29"/>
      <c r="G15" s="30">
        <f>H15+AC15+AT15</f>
        <v>197.38</v>
      </c>
      <c r="H15" s="17">
        <f>SUMIF(I$12:AB$12,"总值",I15:AB15)</f>
        <v>197.38</v>
      </c>
      <c r="I15" s="1625">
        <v>197.38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51019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3434">
        <v>51020</v>
      </c>
      <c r="D16" s="1624"/>
      <c r="E16" s="13">
        <f>IF($C$3="是",ROUND($A$3*G16/$B$3,2),ROUND($A$3*(G16-AT16)/$B$3,2))</f>
        <v>0</v>
      </c>
      <c r="F16" s="29"/>
      <c r="G16" s="30">
        <f>H16+AC16+AT16</f>
        <v>196.49</v>
      </c>
      <c r="H16" s="17">
        <f>SUMIF(I$12:AB$12,"总值",I16:AB16)</f>
        <v>196.49</v>
      </c>
      <c r="I16" s="1625">
        <v>196.49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51020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9"/>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3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31" t="s">
        <v>1131</v>
      </c>
      <c r="B2" s="3531"/>
      <c r="C2" s="3531"/>
      <c r="D2" s="796" t="s">
        <v>1107</v>
      </c>
      <c r="E2" s="1638" t="s">
        <v>1108</v>
      </c>
      <c r="F2" s="2648"/>
      <c r="G2" s="2639"/>
      <c r="H2" s="2640"/>
      <c r="I2" s="2324" t="s">
        <v>1132</v>
      </c>
      <c r="J2" s="2648"/>
      <c r="K2" s="2648"/>
      <c r="L2" s="2648"/>
      <c r="M2" s="2648"/>
      <c r="N2" s="2650"/>
      <c r="O2" s="2648"/>
      <c r="P2" s="2648"/>
    </row>
    <row r="3" spans="1:16" ht="15" thickBot="1">
      <c r="A3" s="3532" t="s">
        <v>1105</v>
      </c>
      <c r="B3" s="3532"/>
      <c r="C3" s="3532"/>
      <c r="D3" s="43">
        <f>'数据-基础表'!AY6</f>
        <v>0</v>
      </c>
      <c r="E3" s="43">
        <f>'数据-基础表'!AZ5</f>
        <v>195.03</v>
      </c>
      <c r="F3" s="2648"/>
      <c r="G3" s="1145"/>
      <c r="H3" s="1026" t="s">
        <v>1106</v>
      </c>
      <c r="I3" s="855" t="e">
        <f>ROUND('数据-基础表'!B3/'数据-基础表'!A3,2)</f>
        <v>#DIV/0!</v>
      </c>
      <c r="J3" s="2648"/>
      <c r="K3" s="2648"/>
      <c r="L3" s="2648"/>
      <c r="M3" s="2648"/>
      <c r="N3" s="2650"/>
      <c r="O3" s="2648"/>
      <c r="P3" s="2648"/>
    </row>
    <row r="4" spans="1:16" ht="14.4">
      <c r="A4" s="3533"/>
      <c r="B4" s="3534"/>
      <c r="C4" s="3535"/>
      <c r="D4" s="1640" t="s">
        <v>1107</v>
      </c>
      <c r="E4" s="1641" t="s">
        <v>1108</v>
      </c>
      <c r="F4" s="2648"/>
      <c r="G4" s="2641" t="s">
        <v>1133</v>
      </c>
      <c r="H4" s="1026" t="s">
        <v>1113</v>
      </c>
      <c r="I4" s="855" t="e">
        <f>ROUND(SUMIF('数据-基础表'!I9:AS9,"地上",'数据-基础表'!I5:AS5)/'数据-基础表'!A3,2)</f>
        <v>#DIV/0!</v>
      </c>
      <c r="J4" s="2648"/>
      <c r="K4" s="2648"/>
      <c r="L4" s="2648"/>
      <c r="M4" s="2648"/>
      <c r="N4" s="2650"/>
      <c r="O4" s="2648"/>
      <c r="P4" s="2648"/>
    </row>
    <row r="5" spans="1:16" ht="14.4">
      <c r="A5" s="44" t="s">
        <v>1109</v>
      </c>
      <c r="B5" s="3536" t="s">
        <v>1110</v>
      </c>
      <c r="C5" s="3536"/>
      <c r="D5" s="45">
        <f>ROUND($D$3*E5/$E$3,2)</f>
        <v>0</v>
      </c>
      <c r="E5" s="46">
        <f>SUMIF('数据-基础表'!$11:$11,"住宅",'数据-基础表'!$5:$5)</f>
        <v>0</v>
      </c>
      <c r="F5" s="2648"/>
      <c r="G5" s="1145"/>
      <c r="H5" s="1026" t="s">
        <v>1106</v>
      </c>
      <c r="I5" s="855" t="e">
        <f>ROUND(E31/D31,2)</f>
        <v>#DIV/0!</v>
      </c>
      <c r="J5" s="2648"/>
      <c r="K5" s="2648"/>
      <c r="L5" s="2648"/>
      <c r="M5" s="2648"/>
      <c r="N5" s="2648"/>
      <c r="O5" s="2648"/>
      <c r="P5" s="2648"/>
    </row>
    <row r="6" spans="1:16" ht="15" thickBot="1">
      <c r="A6" s="1643"/>
      <c r="B6" s="3536" t="s">
        <v>1111</v>
      </c>
      <c r="C6" s="3536"/>
      <c r="D6" s="45">
        <f>ROUND($D$3*E6/$E$3,2)</f>
        <v>0</v>
      </c>
      <c r="E6" s="46">
        <f>E3-E5</f>
        <v>195.03</v>
      </c>
      <c r="F6" s="2648"/>
      <c r="G6" s="2642" t="s">
        <v>1112</v>
      </c>
      <c r="H6" s="1146" t="s">
        <v>1113</v>
      </c>
      <c r="I6" s="2643" t="e">
        <f>ROUND(F31/D31,2)</f>
        <v>#DIV/0!</v>
      </c>
      <c r="J6" s="2648"/>
      <c r="K6" s="2648"/>
      <c r="L6" s="2648"/>
      <c r="M6" s="2648"/>
      <c r="N6" s="2648"/>
      <c r="O6" s="2648"/>
      <c r="P6" s="2648"/>
    </row>
    <row r="7" spans="1:16" ht="15" thickBot="1">
      <c r="A7" s="3528"/>
      <c r="B7" s="3529"/>
      <c r="C7" s="3530"/>
      <c r="D7" s="1640" t="s">
        <v>1107</v>
      </c>
      <c r="E7" s="1644" t="s">
        <v>1114</v>
      </c>
      <c r="F7" s="2648"/>
      <c r="G7" s="2644" t="s">
        <v>1115</v>
      </c>
      <c r="H7" s="2645"/>
      <c r="I7" s="2646"/>
      <c r="J7" s="2648"/>
      <c r="K7" s="2648"/>
      <c r="L7" s="2648"/>
      <c r="M7" s="2648"/>
      <c r="N7" s="2648"/>
      <c r="O7" s="2648"/>
      <c r="P7" s="2648"/>
    </row>
    <row r="8" spans="1:16" ht="14.4">
      <c r="A8" s="44" t="s">
        <v>1116</v>
      </c>
      <c r="B8" s="47" t="s">
        <v>1117</v>
      </c>
      <c r="C8" s="45" t="s">
        <v>1118</v>
      </c>
      <c r="D8" s="45">
        <f t="shared" ref="D8:D15" si="0">ROUND($D$3*E8/$E$3,2)</f>
        <v>0</v>
      </c>
      <c r="E8" s="48">
        <f>SUMIF('数据-基础表'!BB10:BK10,"地上",'数据-基础表'!BB5:BK5)</f>
        <v>195.03</v>
      </c>
      <c r="F8" s="2648"/>
      <c r="G8" s="2649"/>
      <c r="H8" s="2649"/>
      <c r="I8" s="2648"/>
      <c r="J8" s="2648"/>
      <c r="K8" s="2648"/>
      <c r="L8" s="2648"/>
      <c r="M8" s="2648"/>
      <c r="N8" s="2648"/>
      <c r="O8" s="2648"/>
      <c r="P8" s="2648"/>
    </row>
    <row r="9" spans="1:16" ht="14.4">
      <c r="A9" s="1645"/>
      <c r="B9" s="1646"/>
      <c r="C9" s="45" t="s">
        <v>1119</v>
      </c>
      <c r="D9" s="45">
        <f t="shared" si="0"/>
        <v>0</v>
      </c>
      <c r="E9" s="49">
        <v>0</v>
      </c>
      <c r="F9" s="2648"/>
      <c r="G9" s="2649"/>
      <c r="H9" s="2649"/>
      <c r="I9" s="2648"/>
      <c r="J9" s="2648"/>
      <c r="K9" s="2648"/>
      <c r="L9" s="2648"/>
      <c r="M9" s="2648"/>
      <c r="N9" s="2648"/>
      <c r="O9" s="2648"/>
      <c r="P9" s="2648"/>
    </row>
    <row r="10" spans="1:16" ht="14.4">
      <c r="A10" s="1645"/>
      <c r="B10" s="1646"/>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ht="14.4">
      <c r="A11" s="1645"/>
      <c r="B11" s="1646"/>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ht="14.4">
      <c r="A12" s="1645"/>
      <c r="B12" s="1646"/>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ht="14.4">
      <c r="A13" s="1645"/>
      <c r="B13" s="1646"/>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ht="14.4">
      <c r="A14" s="1645"/>
      <c r="B14" s="1646"/>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5"/>
      <c r="B15" s="1646"/>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 thickBot="1">
      <c r="A16" s="1643"/>
      <c r="B16" s="1646"/>
      <c r="C16" s="47" t="s">
        <v>1123</v>
      </c>
      <c r="D16" s="47">
        <f>SUM(D8:D15)</f>
        <v>0</v>
      </c>
      <c r="E16" s="50">
        <f>SUM(E8:E15)</f>
        <v>195.03</v>
      </c>
      <c r="F16" s="2648"/>
      <c r="G16" s="2649"/>
      <c r="H16" s="1647" t="s">
        <v>1135</v>
      </c>
      <c r="I16" s="1648"/>
      <c r="J16" s="1139"/>
      <c r="K16" s="3525" t="s">
        <v>1135</v>
      </c>
      <c r="L16" s="3526"/>
      <c r="M16" s="3526"/>
      <c r="N16" s="3526"/>
      <c r="O16" s="3526"/>
      <c r="P16" s="3527"/>
    </row>
    <row r="17" spans="1:19" ht="14.4">
      <c r="A17" s="1649" t="s">
        <v>1136</v>
      </c>
      <c r="B17" s="1650" t="s">
        <v>1137</v>
      </c>
      <c r="C17" s="1651" t="s">
        <v>1138</v>
      </c>
      <c r="D17" s="1652" t="s">
        <v>1126</v>
      </c>
      <c r="E17" s="1653" t="s">
        <v>1127</v>
      </c>
      <c r="F17" s="1654"/>
      <c r="G17" s="1655"/>
      <c r="H17" s="1656" t="s">
        <v>1139</v>
      </c>
      <c r="I17" s="1657" t="s">
        <v>1124</v>
      </c>
      <c r="J17" s="1139"/>
      <c r="K17" s="3522" t="s">
        <v>1140</v>
      </c>
      <c r="L17" s="3523"/>
      <c r="M17" s="3524"/>
      <c r="N17" s="3522" t="s">
        <v>1141</v>
      </c>
      <c r="O17" s="3523"/>
      <c r="P17" s="3524"/>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03">
        <f>'数据-基础表'!C13</f>
        <v>51017</v>
      </c>
      <c r="D19" s="45">
        <f>ROUND($D$3*E19/$E$3,2)</f>
        <v>0</v>
      </c>
      <c r="E19" s="53">
        <f t="shared" ref="E19:E26" si="1">SUM(F19:G19)</f>
        <v>195.03</v>
      </c>
      <c r="F19" s="2781">
        <f>'数据-基础表'!G13</f>
        <v>195.03</v>
      </c>
      <c r="G19" s="278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195.03</v>
      </c>
    </row>
    <row r="20" spans="1:19" ht="14.4">
      <c r="A20" s="1669"/>
      <c r="B20" s="47" t="s">
        <v>1153</v>
      </c>
      <c r="C20" s="3403"/>
      <c r="D20" s="45">
        <f t="shared" ref="D20:D26" si="6">ROUND($D$3*E20/$E$3,2)</f>
        <v>0</v>
      </c>
      <c r="E20" s="53">
        <f t="shared" si="1"/>
        <v>0</v>
      </c>
      <c r="F20" s="2781"/>
      <c r="G20" s="278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03"/>
      <c r="D21" s="45">
        <f t="shared" si="6"/>
        <v>0</v>
      </c>
      <c r="E21" s="53">
        <f t="shared" si="1"/>
        <v>0</v>
      </c>
      <c r="F21" s="2781"/>
      <c r="G21" s="278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04"/>
      <c r="D22" s="45">
        <f t="shared" si="6"/>
        <v>0</v>
      </c>
      <c r="E22" s="53">
        <f t="shared" si="1"/>
        <v>0</v>
      </c>
      <c r="F22" s="2783"/>
      <c r="G22" s="278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04"/>
      <c r="D23" s="45">
        <f>ROUND($D$3*E23/$E$3,2)</f>
        <v>0</v>
      </c>
      <c r="E23" s="53">
        <f>SUM(F23:G23)</f>
        <v>0</v>
      </c>
      <c r="F23" s="2783"/>
      <c r="G23" s="278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04"/>
      <c r="D24" s="45">
        <f>ROUND($D$3*E24/$E$3,2)</f>
        <v>0</v>
      </c>
      <c r="E24" s="53">
        <f>SUM(F24:G24)</f>
        <v>0</v>
      </c>
      <c r="F24" s="2783"/>
      <c r="G24" s="278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04"/>
      <c r="D25" s="45">
        <f t="shared" si="6"/>
        <v>0</v>
      </c>
      <c r="E25" s="53">
        <f t="shared" si="1"/>
        <v>0</v>
      </c>
      <c r="F25" s="2783"/>
      <c r="G25" s="278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83"/>
      <c r="G26" s="278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69"/>
      <c r="B28" s="47" t="s">
        <v>1155</v>
      </c>
      <c r="C28" s="1038"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ht="14.4">
      <c r="A29" s="1669"/>
      <c r="B29" s="47" t="s">
        <v>1155</v>
      </c>
      <c r="C29" s="1673"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4.4">
      <c r="A30" s="1669"/>
      <c r="B30" s="47"/>
      <c r="C30" s="1674" t="s">
        <v>1154</v>
      </c>
      <c r="D30" s="1140">
        <f>SUM(D28:D29)</f>
        <v>0</v>
      </c>
      <c r="E30" s="1140">
        <f>SUM(E28:E29)</f>
        <v>0</v>
      </c>
      <c r="F30" s="1140">
        <f>SUM(F28:F29)</f>
        <v>0</v>
      </c>
      <c r="G30" s="1142">
        <f>SUM(G28:G29)</f>
        <v>0</v>
      </c>
      <c r="H30" s="2648"/>
      <c r="I30" s="2648"/>
      <c r="J30" s="2648"/>
      <c r="K30" s="2648"/>
      <c r="L30" s="2648"/>
      <c r="M30" s="2648"/>
      <c r="N30" s="2648"/>
      <c r="O30" s="2648"/>
      <c r="P30" s="2648"/>
    </row>
    <row r="31" spans="1:19" ht="15" thickBot="1">
      <c r="A31" s="1675"/>
      <c r="B31" s="1676"/>
      <c r="C31" s="835" t="s">
        <v>1158</v>
      </c>
      <c r="D31" s="676">
        <f>D27+D30</f>
        <v>0</v>
      </c>
      <c r="E31" s="676">
        <f>E27+E30</f>
        <v>195.03</v>
      </c>
      <c r="F31" s="677">
        <f>F27+F30</f>
        <v>195.03</v>
      </c>
      <c r="G31" s="678">
        <f>G27+G30</f>
        <v>0</v>
      </c>
      <c r="H31" s="2648"/>
      <c r="I31" s="2648"/>
      <c r="J31" s="2648"/>
      <c r="K31" s="2648"/>
      <c r="L31" s="2648"/>
      <c r="M31" s="2648"/>
      <c r="N31" s="2648"/>
      <c r="O31" s="2648"/>
      <c r="P31" s="2648"/>
    </row>
    <row r="32" spans="1:19" ht="14.4">
      <c r="A32" s="1642"/>
      <c r="B32" s="1642" t="s">
        <v>1159</v>
      </c>
      <c r="C32" s="1642"/>
      <c r="D32" s="1642"/>
      <c r="E32" s="1053">
        <f>SUMIF(C19:C26,"*住宅*",E19:E26)</f>
        <v>0</v>
      </c>
      <c r="F32" s="1642"/>
      <c r="G32" s="1642"/>
      <c r="H32" s="2648"/>
      <c r="I32" s="2648"/>
      <c r="J32" s="2648"/>
      <c r="K32" s="2648"/>
      <c r="L32" s="2648"/>
      <c r="M32" s="2648"/>
      <c r="N32" s="2648"/>
      <c r="O32" s="2648"/>
      <c r="P32" s="264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0"/>
      <c r="AO1" s="2660"/>
      <c r="AP1" s="2660"/>
      <c r="AQ1" s="2660"/>
      <c r="AR1" s="2660"/>
    </row>
    <row r="2" spans="1:67" s="1558" customFormat="1" ht="15" thickBot="1">
      <c r="A2" s="1682" t="s">
        <v>1161</v>
      </c>
      <c r="B2" s="1045">
        <f>项目基本情况!D3</f>
        <v>45539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2"/>
      <c r="AO2" s="2662"/>
      <c r="AP2" s="2662"/>
      <c r="AQ2" s="2662"/>
      <c r="AR2" s="266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2"/>
      <c r="AO3" s="2662"/>
      <c r="AP3" s="2662"/>
      <c r="AQ3" s="2662"/>
      <c r="AR3" s="266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4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2"/>
      <c r="AO4" s="2662"/>
      <c r="AP4" s="2662"/>
      <c r="AQ4" s="2662"/>
      <c r="AR4" s="266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f>'数据-汇总表'!C19</f>
        <v>51017</v>
      </c>
      <c r="B6" s="1712" t="str">
        <f>IF(A6=0,"","经营性")</f>
        <v>经营性</v>
      </c>
      <c r="C6" s="1713"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14"/>
      <c r="V6" s="70">
        <v>0.02</v>
      </c>
      <c r="W6" s="70">
        <v>0.1</v>
      </c>
      <c r="X6" s="1040"/>
      <c r="Y6" s="71">
        <f>N6</f>
        <v>0</v>
      </c>
      <c r="Z6" s="72"/>
      <c r="AA6" s="66"/>
      <c r="AB6" s="66"/>
      <c r="AC6" s="1040"/>
      <c r="AD6" s="73"/>
      <c r="AE6" s="1041">
        <f ca="1">IF(AN6="",0,SUMIF(INDIRECT("'"&amp;AN6&amp;"'"&amp;"!E:E"),$AE$5,INDIRECT("'"&amp;AN6&amp;"'"&amp;"!F:F")))</f>
        <v>0</v>
      </c>
      <c r="AF6" s="1347"/>
      <c r="AG6" s="138">
        <f>IF(AF6="",0,AE6-AF6)</f>
        <v>0</v>
      </c>
      <c r="AH6" s="74"/>
      <c r="AI6" s="76">
        <v>365</v>
      </c>
      <c r="AJ6" s="77"/>
      <c r="AK6" s="78">
        <v>5.0000000000000001E-3</v>
      </c>
      <c r="AL6" s="79">
        <v>1E-3</v>
      </c>
      <c r="AM6" s="80">
        <v>5.0000000000000001E-3</v>
      </c>
      <c r="AN6" s="1714" t="s">
        <v>3394</v>
      </c>
      <c r="AO6" s="52" t="e">
        <f ca="1">SUMIF(INDIRECT("'"&amp;AN6&amp;"'"&amp;"!A:A"),"总价",INDIRECT("'"&amp;AN6&amp;"'"&amp;"!B:B"))</f>
        <v>#DIV/0!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0"/>
      <c r="AO14" s="2662"/>
      <c r="AP14" s="2662"/>
      <c r="AQ14" s="2662"/>
      <c r="AR14" s="266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0"/>
      <c r="AO15" s="2662"/>
      <c r="AP15" s="2662"/>
      <c r="AQ15" s="2662"/>
      <c r="AR15" s="266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21" t="s">
        <v>1211</v>
      </c>
      <c r="B19" s="103">
        <v>0</v>
      </c>
      <c r="C19" s="2785" t="s">
        <v>2303</v>
      </c>
      <c r="D19" s="2665"/>
      <c r="E19" s="2662"/>
      <c r="F19" s="2662"/>
      <c r="G19" s="2662"/>
      <c r="H19" s="2662"/>
      <c r="I19" s="2662"/>
      <c r="J19" s="2662"/>
      <c r="K19" s="2661"/>
      <c r="L19" s="2661"/>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22" t="s">
        <v>1212</v>
      </c>
      <c r="B20" s="104">
        <v>2</v>
      </c>
      <c r="C20" s="2786" t="s">
        <v>2301</v>
      </c>
      <c r="D20" s="2665"/>
      <c r="E20" s="2662"/>
      <c r="F20" s="2662"/>
      <c r="G20" s="2662"/>
      <c r="H20" s="2662"/>
      <c r="I20" s="2662"/>
      <c r="J20" s="2662"/>
      <c r="K20" s="2661"/>
      <c r="L20" s="2661"/>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23" t="s">
        <v>1213</v>
      </c>
      <c r="B21" s="104">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4">
      <c r="A22" s="1722" t="s">
        <v>1214</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23" t="s">
        <v>1215</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4"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56"/>
      <c r="B25" s="1686"/>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2" t="s">
        <v>1217</v>
      </c>
      <c r="B26" s="1725"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7" customFormat="1" ht="28.8">
      <c r="A27" s="1726" t="s">
        <v>1220</v>
      </c>
      <c r="B27" s="107">
        <v>160</v>
      </c>
      <c r="C27" s="2787" t="s">
        <v>2305</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88" t="s">
        <v>2294</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789" t="s">
        <v>3383</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c r="C34" s="2789" t="s">
        <v>2295</v>
      </c>
      <c r="D34" s="2673" t="s">
        <v>2302</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789" t="s">
        <v>2296</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89" t="s">
        <v>3384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30" t="s">
        <v>1230</v>
      </c>
      <c r="B37" s="115">
        <v>0.02</v>
      </c>
      <c r="C37" s="2789" t="s">
        <v>2297</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28" t="s">
        <v>1231</v>
      </c>
      <c r="B38" s="113">
        <v>0.02</v>
      </c>
      <c r="C38" s="2789" t="s">
        <v>2297</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31" t="s">
        <v>1232</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4.4" thickBot="1">
      <c r="A40" s="2801" t="s">
        <v>2312</v>
      </c>
      <c r="B40" s="1078">
        <f ca="1">IF(A40="利息：取LPR",存贷款利率!G1,存贷款利率!G1+C40)</f>
        <v>3.3500000000000002E-2</v>
      </c>
      <c r="C40" s="2800">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26" t="s">
        <v>1233</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32" t="s">
        <v>1234</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32" t="s">
        <v>1235</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33" t="s">
        <v>1236</v>
      </c>
      <c r="B44" s="119">
        <v>7.0000000000000007E-2</v>
      </c>
      <c r="C44" s="2789" t="s">
        <v>2306</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33" t="s">
        <v>1237</v>
      </c>
      <c r="B45" s="117">
        <v>0.03</v>
      </c>
      <c r="C45" s="2788" t="s">
        <v>2298</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33" t="s">
        <v>1238</v>
      </c>
      <c r="B46" s="117">
        <v>0.02</v>
      </c>
      <c r="C46" s="2788" t="s">
        <v>2299</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4" t="s">
        <v>1239</v>
      </c>
      <c r="B47" s="120"/>
      <c r="C47" s="2791" t="s">
        <v>2307</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35" t="s">
        <v>1240</v>
      </c>
      <c r="B48" s="121">
        <v>0.03</v>
      </c>
      <c r="C48" s="2788" t="s">
        <v>2298</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31" t="s">
        <v>1241</v>
      </c>
      <c r="B49" s="117">
        <v>5.0000000000000001E-4</v>
      </c>
      <c r="C49" s="2788" t="s">
        <v>2300</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36" t="s">
        <v>1242</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9" t="s">
        <v>1243</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36" t="s">
        <v>1244</v>
      </c>
      <c r="B52" s="124">
        <f>SUMIF(A54:A63,B53,B54:B63)</f>
        <v>30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28" t="s">
        <v>1245</v>
      </c>
      <c r="B53" s="1737" t="s">
        <v>144</v>
      </c>
      <c r="C53" s="2650" t="s">
        <v>1246</v>
      </c>
      <c r="D53" s="2790" t="s">
        <v>2304</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38" t="s">
        <v>1247</v>
      </c>
      <c r="B54" s="75">
        <f>C54</f>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38" t="s">
        <v>1248</v>
      </c>
      <c r="B55" s="75"/>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38" t="s">
        <v>1249</v>
      </c>
      <c r="B56" s="75"/>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38" t="s">
        <v>1250</v>
      </c>
      <c r="B57" s="75"/>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38" t="s">
        <v>1251</v>
      </c>
      <c r="B58" s="75"/>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38" t="s">
        <v>1252</v>
      </c>
      <c r="B59" s="75"/>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38"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38"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38"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9" t="s">
        <v>1256</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3"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3"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3"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3"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3"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37" t="s">
        <v>2286</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E15" sqref="E15"/>
    </sheetView>
  </sheetViews>
  <sheetFormatPr defaultColWidth="9" defaultRowHeight="14.4"/>
  <cols>
    <col min="1" max="1" width="25" style="3439" customWidth="1"/>
    <col min="2" max="9" width="15.77734375" style="3439" customWidth="1"/>
    <col min="10" max="16384" width="9" style="3439"/>
  </cols>
  <sheetData>
    <row r="1" spans="1:11" ht="16.2">
      <c r="A1" s="3435" t="s">
        <v>665</v>
      </c>
      <c r="B1" s="3435">
        <f>SUM(B14:B23)</f>
        <v>195.03</v>
      </c>
      <c r="C1" s="3436"/>
      <c r="D1" s="3436"/>
      <c r="E1" s="3436"/>
      <c r="F1" s="3436"/>
      <c r="G1" s="3437"/>
      <c r="H1" s="3438"/>
      <c r="I1" s="3438"/>
      <c r="J1" s="3438"/>
      <c r="K1" s="3438"/>
    </row>
    <row r="2" spans="1:11" ht="16.2">
      <c r="A2" s="3435" t="s">
        <v>653</v>
      </c>
      <c r="B2" s="3435">
        <f>SUM(C14:C23)</f>
        <v>0</v>
      </c>
      <c r="C2" s="3436"/>
      <c r="D2" s="3436"/>
      <c r="E2" s="3436"/>
      <c r="F2" s="3436"/>
      <c r="G2" s="3437"/>
      <c r="H2" s="3438"/>
      <c r="I2" s="3438"/>
      <c r="J2" s="3438"/>
      <c r="K2" s="3438"/>
    </row>
    <row r="3" spans="1:11" ht="15.6">
      <c r="A3" s="3435" t="s">
        <v>662</v>
      </c>
      <c r="B3" s="3435">
        <f>项目基本情况!D3</f>
        <v>45539</v>
      </c>
      <c r="C3" s="3436"/>
      <c r="D3" s="3436"/>
      <c r="E3" s="3436"/>
      <c r="F3" s="3436"/>
      <c r="G3" s="3437"/>
      <c r="H3" s="3438"/>
      <c r="I3" s="3438"/>
      <c r="J3" s="3438"/>
      <c r="K3" s="3438"/>
    </row>
    <row r="4" spans="1:11" ht="31.2">
      <c r="A4" s="3435" t="s">
        <v>661</v>
      </c>
      <c r="B4" s="3435" t="s">
        <v>660</v>
      </c>
      <c r="C4" s="3435" t="s">
        <v>659</v>
      </c>
      <c r="D4" s="3435" t="s">
        <v>658</v>
      </c>
      <c r="E4" s="3436"/>
      <c r="F4" s="3437"/>
      <c r="G4" s="3437"/>
      <c r="H4" s="3438"/>
      <c r="I4" s="3438"/>
      <c r="J4" s="3438"/>
      <c r="K4" s="3438"/>
    </row>
    <row r="5" spans="1:11" ht="15.6">
      <c r="A5" s="3435" t="s">
        <v>657</v>
      </c>
      <c r="B5" s="3435">
        <f>SUM(D14:D23)</f>
        <v>683</v>
      </c>
      <c r="C5" s="3435" t="e">
        <f ca="1">IF(B5=D14,结果表!H102,ROUND(B5*10000/$B$1,0))</f>
        <v>#REF!</v>
      </c>
      <c r="D5" s="3435" t="e">
        <f>ROUND(B5*10000/$B$2,0)</f>
        <v>#DIV/0!</v>
      </c>
      <c r="E5" s="3436"/>
      <c r="F5" s="3437"/>
      <c r="G5" s="3437"/>
      <c r="H5" s="3438"/>
      <c r="I5" s="3438"/>
      <c r="J5" s="3438"/>
      <c r="K5" s="3438"/>
    </row>
    <row r="6" spans="1:11" ht="15.6">
      <c r="A6" s="3435" t="s">
        <v>656</v>
      </c>
      <c r="B6" s="3435">
        <f>SUM(G14:G23)</f>
        <v>0</v>
      </c>
      <c r="C6" s="3435" t="e">
        <f ca="1">IF(B6=G14,结果表!H108,ROUND(B6*10000/$B$1,0))</f>
        <v>#REF!</v>
      </c>
      <c r="D6" s="3435" t="e">
        <f>ROUND(B6*10000/$B$2,0)</f>
        <v>#DIV/0!</v>
      </c>
      <c r="E6" s="3436"/>
      <c r="F6" s="3437"/>
      <c r="G6" s="3437"/>
      <c r="H6" s="3438"/>
      <c r="I6" s="3438"/>
      <c r="J6" s="3438"/>
      <c r="K6" s="3438"/>
    </row>
    <row r="7" spans="1:11" ht="15.6">
      <c r="A7" s="3435" t="s">
        <v>664</v>
      </c>
      <c r="B7" s="3435">
        <f>SUM(H14:H23)</f>
        <v>0</v>
      </c>
      <c r="C7" s="3435" t="str">
        <f>IF(B7=H14,结果表!H110,ROUND(B7*10000/$B$1,0))</f>
        <v>——</v>
      </c>
      <c r="D7" s="3435" t="e">
        <f>ROUND(B7*10000/$B$2,0)</f>
        <v>#DIV/0!</v>
      </c>
      <c r="E7" s="3436"/>
      <c r="F7" s="3437"/>
      <c r="G7" s="3437"/>
      <c r="H7" s="3438"/>
      <c r="I7" s="3438"/>
      <c r="J7" s="3438"/>
      <c r="K7" s="3438"/>
    </row>
    <row r="8" spans="1:11" ht="15.6">
      <c r="A8" s="3435" t="s">
        <v>587</v>
      </c>
      <c r="B8" s="3435">
        <f>SUM(I14:I23)</f>
        <v>0</v>
      </c>
      <c r="C8" s="3435" t="str">
        <f>IF(B8=I14,结果表!H112,ROUND(B8*10000/$B$1,0))</f>
        <v>——</v>
      </c>
      <c r="D8" s="3435" t="e">
        <f>ROUND(B8*10000/$B$2,0)</f>
        <v>#DIV/0!</v>
      </c>
      <c r="E8" s="3436"/>
      <c r="F8" s="3437"/>
      <c r="G8" s="3437"/>
      <c r="H8" s="3438"/>
      <c r="I8" s="3438"/>
      <c r="J8" s="3438"/>
      <c r="K8" s="3438"/>
    </row>
    <row r="9" spans="1:11" ht="15.6">
      <c r="A9" s="3435" t="s">
        <v>655</v>
      </c>
      <c r="B9" s="3440"/>
      <c r="C9" s="3436"/>
      <c r="D9" s="3436"/>
      <c r="E9" s="3436"/>
      <c r="F9" s="3437"/>
      <c r="G9" s="3437"/>
      <c r="H9" s="3438"/>
      <c r="I9" s="3438"/>
      <c r="J9" s="3438"/>
      <c r="K9" s="3438"/>
    </row>
    <row r="10" spans="1:11" ht="15.6">
      <c r="A10" s="3435" t="s">
        <v>654</v>
      </c>
      <c r="B10" s="3435">
        <f>IF(E10="",0,ROUND(B1*(E10*365/G10)/10000,0))</f>
        <v>0</v>
      </c>
      <c r="C10" s="3435" t="s">
        <v>3358</v>
      </c>
      <c r="D10" s="3435" t="s">
        <v>3359</v>
      </c>
      <c r="E10" s="3441"/>
      <c r="F10" s="3442" t="s">
        <v>3360</v>
      </c>
      <c r="G10" s="3443"/>
      <c r="H10" s="3438"/>
      <c r="I10" s="3438"/>
      <c r="J10" s="3438"/>
      <c r="K10" s="3438"/>
    </row>
    <row r="11" spans="1:11" ht="15.6">
      <c r="A11" s="3435" t="s">
        <v>670</v>
      </c>
      <c r="B11" s="3440"/>
      <c r="C11" s="3436"/>
      <c r="D11" s="3436"/>
      <c r="E11" s="3436"/>
      <c r="F11" s="3437"/>
      <c r="G11" s="3437"/>
      <c r="H11" s="3438"/>
      <c r="I11" s="3438"/>
      <c r="J11" s="3438"/>
      <c r="K11" s="3438"/>
    </row>
    <row r="12" spans="1:11" ht="15.6">
      <c r="A12" s="3436"/>
      <c r="B12" s="3436"/>
      <c r="C12" s="3436"/>
      <c r="D12" s="3436"/>
      <c r="E12" s="3436"/>
      <c r="F12" s="3437"/>
      <c r="G12" s="3437"/>
      <c r="H12" s="3438"/>
      <c r="I12" s="3438"/>
      <c r="J12" s="3438"/>
      <c r="K12" s="3438"/>
    </row>
    <row r="13" spans="1:11" ht="31.8">
      <c r="A13" s="3444" t="s">
        <v>669</v>
      </c>
      <c r="B13" s="3445" t="s">
        <v>666</v>
      </c>
      <c r="C13" s="3445" t="s">
        <v>668</v>
      </c>
      <c r="D13" s="3445" t="s">
        <v>667</v>
      </c>
      <c r="E13" s="3435" t="s">
        <v>659</v>
      </c>
      <c r="F13" s="3435" t="s">
        <v>658</v>
      </c>
      <c r="G13" s="3445" t="s">
        <v>652</v>
      </c>
      <c r="H13" s="3445" t="s">
        <v>663</v>
      </c>
      <c r="I13" s="3445" t="s">
        <v>651</v>
      </c>
      <c r="J13" s="3437"/>
      <c r="K13" s="3438"/>
    </row>
    <row r="14" spans="1:11" ht="15.6">
      <c r="A14" s="3446" t="s">
        <v>650</v>
      </c>
      <c r="B14" s="3447">
        <v>195.03</v>
      </c>
      <c r="C14" s="3447"/>
      <c r="D14" s="3447">
        <f>ROUND(E14*B14/10000,0)</f>
        <v>683</v>
      </c>
      <c r="E14" s="3447" t="s">
        <v>3399</v>
      </c>
      <c r="F14" s="3447" t="e">
        <f>ROUND(D14*10000/C14,0)</f>
        <v>#DIV/0!</v>
      </c>
      <c r="G14" s="3447"/>
      <c r="H14" s="3447"/>
      <c r="I14" s="3447"/>
      <c r="J14" s="3437"/>
      <c r="K14" s="3438"/>
    </row>
    <row r="15" spans="1:11" ht="15.6">
      <c r="A15" s="3446" t="s">
        <v>649</v>
      </c>
      <c r="B15" s="3448"/>
      <c r="C15" s="3448"/>
      <c r="D15" s="3448"/>
      <c r="E15" s="3447" t="e">
        <f t="shared" ref="E15:E23" si="0">ROUND(D15*10000/B15,0)</f>
        <v>#DIV/0!</v>
      </c>
      <c r="F15" s="3447" t="e">
        <f t="shared" ref="F15:F23" si="1">ROUND(D15*10000/C15,0)</f>
        <v>#DIV/0!</v>
      </c>
      <c r="G15" s="3449"/>
      <c r="H15" s="3449"/>
      <c r="I15" s="3448"/>
      <c r="J15" s="3437"/>
      <c r="K15" s="3438"/>
    </row>
    <row r="16" spans="1:11" ht="15.6">
      <c r="A16" s="3446" t="s">
        <v>648</v>
      </c>
      <c r="B16" s="3448"/>
      <c r="C16" s="3448"/>
      <c r="D16" s="3448"/>
      <c r="E16" s="3447" t="e">
        <f t="shared" si="0"/>
        <v>#DIV/0!</v>
      </c>
      <c r="F16" s="3447" t="e">
        <f t="shared" si="1"/>
        <v>#DIV/0!</v>
      </c>
      <c r="G16" s="3449"/>
      <c r="H16" s="3449"/>
      <c r="I16" s="3448"/>
      <c r="J16" s="3438"/>
      <c r="K16" s="3438"/>
    </row>
    <row r="17" spans="1:11" ht="15.6">
      <c r="A17" s="3446" t="s">
        <v>647</v>
      </c>
      <c r="B17" s="3448"/>
      <c r="C17" s="3448"/>
      <c r="D17" s="3448"/>
      <c r="E17" s="3447" t="e">
        <f t="shared" si="0"/>
        <v>#DIV/0!</v>
      </c>
      <c r="F17" s="3447" t="e">
        <f t="shared" si="1"/>
        <v>#DIV/0!</v>
      </c>
      <c r="G17" s="3449"/>
      <c r="H17" s="3449"/>
      <c r="I17" s="3448"/>
      <c r="J17" s="3438"/>
      <c r="K17" s="3438"/>
    </row>
    <row r="18" spans="1:11" ht="15.6">
      <c r="A18" s="3446" t="s">
        <v>646</v>
      </c>
      <c r="B18" s="3448"/>
      <c r="C18" s="3448"/>
      <c r="D18" s="3448"/>
      <c r="E18" s="3447" t="e">
        <f t="shared" si="0"/>
        <v>#DIV/0!</v>
      </c>
      <c r="F18" s="3447" t="e">
        <f t="shared" si="1"/>
        <v>#DIV/0!</v>
      </c>
      <c r="G18" s="3448"/>
      <c r="H18" s="3448"/>
      <c r="I18" s="3448"/>
      <c r="J18" s="3438"/>
      <c r="K18" s="3438"/>
    </row>
    <row r="19" spans="1:11" ht="15.6">
      <c r="A19" s="3446" t="s">
        <v>645</v>
      </c>
      <c r="B19" s="3448"/>
      <c r="C19" s="3448"/>
      <c r="D19" s="3448"/>
      <c r="E19" s="3447" t="e">
        <f t="shared" si="0"/>
        <v>#DIV/0!</v>
      </c>
      <c r="F19" s="3447" t="e">
        <f t="shared" si="1"/>
        <v>#DIV/0!</v>
      </c>
      <c r="G19" s="3448"/>
      <c r="H19" s="3448"/>
      <c r="I19" s="3448"/>
      <c r="J19" s="3438"/>
      <c r="K19" s="3438"/>
    </row>
    <row r="20" spans="1:11" ht="15.6">
      <c r="A20" s="3446" t="s">
        <v>644</v>
      </c>
      <c r="B20" s="3448"/>
      <c r="C20" s="3448"/>
      <c r="D20" s="3448"/>
      <c r="E20" s="3447" t="e">
        <f t="shared" si="0"/>
        <v>#DIV/0!</v>
      </c>
      <c r="F20" s="3447" t="e">
        <f t="shared" si="1"/>
        <v>#DIV/0!</v>
      </c>
      <c r="G20" s="3448"/>
      <c r="H20" s="3448"/>
      <c r="I20" s="3448"/>
      <c r="J20" s="3438"/>
      <c r="K20" s="3438"/>
    </row>
    <row r="21" spans="1:11" ht="15.6">
      <c r="A21" s="3446" t="s">
        <v>643</v>
      </c>
      <c r="B21" s="3448"/>
      <c r="C21" s="3448"/>
      <c r="D21" s="3448"/>
      <c r="E21" s="3447" t="e">
        <f t="shared" si="0"/>
        <v>#DIV/0!</v>
      </c>
      <c r="F21" s="3447" t="e">
        <f t="shared" si="1"/>
        <v>#DIV/0!</v>
      </c>
      <c r="G21" s="3448"/>
      <c r="H21" s="3448"/>
      <c r="I21" s="3448"/>
      <c r="J21" s="3438"/>
      <c r="K21" s="3438"/>
    </row>
    <row r="22" spans="1:11" ht="15.6">
      <c r="A22" s="3446" t="s">
        <v>642</v>
      </c>
      <c r="B22" s="3448"/>
      <c r="C22" s="3448"/>
      <c r="D22" s="3448"/>
      <c r="E22" s="3447" t="e">
        <f t="shared" si="0"/>
        <v>#DIV/0!</v>
      </c>
      <c r="F22" s="3447" t="e">
        <f t="shared" si="1"/>
        <v>#DIV/0!</v>
      </c>
      <c r="G22" s="3448"/>
      <c r="H22" s="3448"/>
      <c r="I22" s="3448"/>
      <c r="J22" s="3438"/>
      <c r="K22" s="3438"/>
    </row>
    <row r="23" spans="1:11" ht="15.6">
      <c r="A23" s="3446" t="s">
        <v>641</v>
      </c>
      <c r="B23" s="3448"/>
      <c r="C23" s="3448"/>
      <c r="D23" s="3448"/>
      <c r="E23" s="3440" t="e">
        <f t="shared" si="0"/>
        <v>#DIV/0!</v>
      </c>
      <c r="F23" s="3440" t="e">
        <f t="shared" si="1"/>
        <v>#DIV/0!</v>
      </c>
      <c r="G23" s="3448"/>
      <c r="H23" s="3448"/>
      <c r="I23" s="3448"/>
      <c r="J23" s="3438"/>
      <c r="K23" s="3438"/>
    </row>
    <row r="24" spans="1:11">
      <c r="A24" s="3438"/>
      <c r="B24" s="3438"/>
      <c r="C24" s="3438"/>
      <c r="D24" s="3438"/>
      <c r="E24" s="3438"/>
      <c r="F24" s="3438"/>
      <c r="G24" s="3438"/>
      <c r="H24" s="3438"/>
      <c r="I24" s="3438"/>
      <c r="J24" s="3438"/>
      <c r="K24" s="3438"/>
    </row>
    <row r="25" spans="1:11">
      <c r="A25" s="3438"/>
      <c r="B25" s="3438"/>
      <c r="C25" s="3438"/>
      <c r="D25" s="3438"/>
      <c r="E25" s="3438"/>
      <c r="F25" s="3438"/>
      <c r="G25" s="3438"/>
      <c r="H25" s="3438"/>
      <c r="I25" s="3438"/>
      <c r="J25" s="3438"/>
      <c r="K25" s="3438"/>
    </row>
    <row r="26" spans="1:11">
      <c r="A26" s="3438"/>
      <c r="B26" s="3438"/>
      <c r="C26" s="3438"/>
      <c r="D26" s="3438"/>
      <c r="E26" s="3438"/>
      <c r="F26" s="3438"/>
      <c r="G26" s="3438"/>
      <c r="H26" s="3438"/>
      <c r="I26" s="3438"/>
      <c r="J26" s="3438"/>
      <c r="K26" s="34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3" t="str">
        <f>项目基本情况!S2</f>
        <v>北京市东城区南竹杆胡同2号房地产</v>
      </c>
      <c r="B2" s="3574"/>
      <c r="C2" s="3574"/>
      <c r="D2" s="3574"/>
      <c r="E2" s="3574"/>
      <c r="F2" s="3574"/>
      <c r="G2" s="3574"/>
      <c r="H2" s="3574"/>
      <c r="I2" s="3575"/>
    </row>
    <row r="3" spans="1:12" ht="13.2">
      <c r="A3" s="3577" t="s">
        <v>1264</v>
      </c>
      <c r="B3" s="3578"/>
      <c r="C3" s="3578"/>
      <c r="D3" s="3578"/>
      <c r="E3" s="3578"/>
      <c r="F3" s="3578"/>
      <c r="G3" s="3578"/>
      <c r="H3" s="3578"/>
      <c r="I3" s="3578"/>
    </row>
    <row r="4" spans="1:12" ht="14.4">
      <c r="A4" s="1753" t="s">
        <v>1265</v>
      </c>
      <c r="B4" s="1754" t="s">
        <v>1266</v>
      </c>
      <c r="C4" s="1755"/>
      <c r="D4" s="1755"/>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3" t="s">
        <v>1268</v>
      </c>
      <c r="B5" s="3540">
        <v>25</v>
      </c>
      <c r="C5" s="3556"/>
      <c r="D5" s="3576"/>
      <c r="E5" s="131" t="s">
        <v>1269</v>
      </c>
      <c r="F5" s="1756"/>
      <c r="G5" s="1756"/>
      <c r="H5" s="1756"/>
      <c r="I5" s="1372"/>
    </row>
    <row r="6" spans="1:12" ht="13.2">
      <c r="A6" s="3553"/>
      <c r="B6" s="3540"/>
      <c r="C6" s="3557"/>
      <c r="D6" s="3576"/>
      <c r="E6" s="131" t="s">
        <v>1270</v>
      </c>
      <c r="F6" s="1756"/>
      <c r="G6" s="1756"/>
      <c r="H6" s="1756"/>
      <c r="I6" s="1372"/>
    </row>
    <row r="7" spans="1:12" ht="13.2">
      <c r="A7" s="3553"/>
      <c r="B7" s="3540"/>
      <c r="C7" s="3558"/>
      <c r="D7" s="3576"/>
      <c r="E7" s="131" t="s">
        <v>1271</v>
      </c>
      <c r="F7" s="1756"/>
      <c r="G7" s="1756"/>
      <c r="H7" s="1756"/>
      <c r="I7" s="1372"/>
    </row>
    <row r="8" spans="1:12" ht="13.2">
      <c r="A8" s="3553" t="s">
        <v>1272</v>
      </c>
      <c r="B8" s="3540">
        <v>15</v>
      </c>
      <c r="C8" s="3556"/>
      <c r="D8" s="3576"/>
      <c r="E8" s="131" t="s">
        <v>1273</v>
      </c>
      <c r="F8" s="1756"/>
      <c r="G8" s="1756"/>
      <c r="H8" s="1756"/>
      <c r="I8" s="1372"/>
    </row>
    <row r="9" spans="1:12" ht="13.2">
      <c r="A9" s="3553"/>
      <c r="B9" s="3540"/>
      <c r="C9" s="3558"/>
      <c r="D9" s="3576"/>
      <c r="E9" s="131" t="s">
        <v>1274</v>
      </c>
      <c r="F9" s="1756"/>
      <c r="G9" s="1756"/>
      <c r="H9" s="1756"/>
      <c r="I9" s="1372"/>
    </row>
    <row r="10" spans="1:12" ht="13.2">
      <c r="A10" s="3553" t="s">
        <v>1275</v>
      </c>
      <c r="B10" s="3540">
        <v>15</v>
      </c>
      <c r="C10" s="3556"/>
      <c r="D10" s="3576"/>
      <c r="E10" s="131" t="s">
        <v>1276</v>
      </c>
      <c r="F10" s="1756"/>
      <c r="G10" s="1756"/>
      <c r="H10" s="1756"/>
      <c r="I10" s="1372"/>
    </row>
    <row r="11" spans="1:12" ht="13.2">
      <c r="A11" s="3553"/>
      <c r="B11" s="3540"/>
      <c r="C11" s="3558"/>
      <c r="D11" s="3576"/>
      <c r="E11" s="131" t="s">
        <v>1277</v>
      </c>
      <c r="F11" s="1756"/>
      <c r="G11" s="1756"/>
      <c r="H11" s="1756"/>
      <c r="I11" s="1372"/>
    </row>
    <row r="12" spans="1:12" ht="13.2">
      <c r="A12" s="3553" t="s">
        <v>1278</v>
      </c>
      <c r="B12" s="3540">
        <v>15</v>
      </c>
      <c r="C12" s="3556"/>
      <c r="D12" s="3576"/>
      <c r="E12" s="131" t="s">
        <v>1279</v>
      </c>
      <c r="F12" s="1756"/>
      <c r="G12" s="1756"/>
      <c r="H12" s="1756"/>
      <c r="I12" s="1372"/>
    </row>
    <row r="13" spans="1:12" ht="13.2">
      <c r="A13" s="3553"/>
      <c r="B13" s="3540"/>
      <c r="C13" s="3558"/>
      <c r="D13" s="3576"/>
      <c r="E13" s="131" t="s">
        <v>1280</v>
      </c>
      <c r="F13" s="1756"/>
      <c r="G13" s="1756"/>
      <c r="H13" s="1756"/>
      <c r="I13" s="1372"/>
    </row>
    <row r="14" spans="1:12" ht="13.2">
      <c r="A14" s="3553" t="s">
        <v>1281</v>
      </c>
      <c r="B14" s="3540">
        <v>30</v>
      </c>
      <c r="C14" s="3556"/>
      <c r="D14" s="3576"/>
      <c r="E14" s="131" t="s">
        <v>1282</v>
      </c>
      <c r="F14" s="1756"/>
      <c r="G14" s="1756"/>
      <c r="H14" s="1756"/>
      <c r="I14" s="1372"/>
    </row>
    <row r="15" spans="1:12" ht="13.2">
      <c r="A15" s="3553"/>
      <c r="B15" s="3540"/>
      <c r="C15" s="3557"/>
      <c r="D15" s="3576"/>
      <c r="E15" s="131" t="s">
        <v>1283</v>
      </c>
      <c r="F15" s="1756"/>
      <c r="G15" s="1756"/>
      <c r="H15" s="1756"/>
      <c r="I15" s="1372"/>
    </row>
    <row r="16" spans="1:12" ht="13.2">
      <c r="A16" s="3553"/>
      <c r="B16" s="3540"/>
      <c r="C16" s="3558"/>
      <c r="D16" s="3576"/>
      <c r="E16" s="131" t="s">
        <v>1284</v>
      </c>
      <c r="F16" s="1756"/>
      <c r="G16" s="1756"/>
      <c r="H16" s="1756"/>
      <c r="I16" s="1372"/>
    </row>
    <row r="17" spans="1:36" ht="14.4">
      <c r="A17" s="1757" t="s">
        <v>1285</v>
      </c>
      <c r="B17" s="56"/>
      <c r="C17" s="132">
        <f>SUM(C5:C16)</f>
        <v>0</v>
      </c>
      <c r="D17" s="132">
        <f>SUM(D5:D16)</f>
        <v>0</v>
      </c>
      <c r="E17" s="129"/>
      <c r="F17" s="129"/>
      <c r="G17" s="129"/>
      <c r="H17" s="129"/>
      <c r="I17" s="129"/>
      <c r="K17" s="302"/>
      <c r="L17" s="302" t="s">
        <v>1286</v>
      </c>
      <c r="M17" s="302" t="s">
        <v>1287</v>
      </c>
    </row>
    <row r="18" spans="1:36" ht="31.95" customHeight="1" thickBot="1">
      <c r="A18" s="1758" t="s">
        <v>1288</v>
      </c>
      <c r="B18" s="1759"/>
      <c r="C18" s="133" t="e">
        <f>ROUND(C17/SUM(C17:D17),2)</f>
        <v>#DIV/0!</v>
      </c>
      <c r="D18" s="133" t="e">
        <f>1-C18</f>
        <v>#DIV/0!</v>
      </c>
      <c r="E18" s="3563" t="s">
        <v>2131</v>
      </c>
      <c r="F18" s="3564"/>
      <c r="G18" s="3564"/>
      <c r="H18" s="3564"/>
      <c r="I18" s="3564"/>
      <c r="K18" s="302" t="s">
        <v>1289</v>
      </c>
      <c r="L18" s="302">
        <f>IF(C1="",'数据-汇总表'!E3,SUMIF(项目类型,C1,'数据-汇总表'!E17:E26)+SUMIF(项目类型,C1,'数据-汇总表'!I17:I26))</f>
        <v>195.03</v>
      </c>
      <c r="M18" s="302">
        <f>IF(C1="",'数据-汇总表'!E3,SUMIF(项目类型,C1,'数据-汇总表'!E17:E26))</f>
        <v>195.03</v>
      </c>
    </row>
    <row r="19" spans="1:36" ht="14.4">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t="e">
        <f ca="1">SUMIF(INDIRECT("'"&amp;C4&amp;"'"&amp;"!A:A"),结果表!B20,INDIRECT("'"&amp;C4&amp;"'"&amp;"!B:B"))</f>
        <v>#REF!</v>
      </c>
      <c r="D20" s="138" t="e">
        <f ca="1">SUMIF(INDIRECT("'"&amp;D4&amp;"'"&amp;"!A:A"),结果表!B20,INDIRECT("'"&amp;D4&amp;"'"&amp;"!B:B"))</f>
        <v>#REF!</v>
      </c>
      <c r="E20" s="1763"/>
      <c r="F20" s="1026" t="s">
        <v>1295</v>
      </c>
      <c r="G20" s="139" t="e">
        <f ca="1">ROUND(C20*$C$18+D20*$D$18,0)</f>
        <v>#REF!</v>
      </c>
      <c r="H20" s="808" t="s">
        <v>1296</v>
      </c>
      <c r="I20" s="129"/>
    </row>
    <row r="21" spans="1:36" ht="15" customHeight="1" thickBot="1">
      <c r="A21" s="828"/>
      <c r="B21" s="1764" t="s">
        <v>1297</v>
      </c>
      <c r="C21" s="719" t="e">
        <f ca="1">ROUND(C19*10000/L19,0)</f>
        <v>#REF!</v>
      </c>
      <c r="D21" s="720" t="e">
        <f ca="1">ROUND(D19*10000/L19,0)</f>
        <v>#REF!</v>
      </c>
      <c r="E21" s="828"/>
      <c r="F21" s="1764" t="s">
        <v>1297</v>
      </c>
      <c r="G21" s="140" t="e">
        <f ca="1">ROUND(G19*10000/L19,0)</f>
        <v>#REF!</v>
      </c>
      <c r="H21" s="1765" t="s">
        <v>1296</v>
      </c>
      <c r="I21" s="129"/>
    </row>
    <row r="22" spans="1:36" ht="15" thickBot="1">
      <c r="A22" s="1687" t="s">
        <v>1298</v>
      </c>
      <c r="B22" s="1766"/>
      <c r="C22" s="1767"/>
      <c r="D22" s="721" t="e">
        <f ca="1">IF(C19&lt;D19,D19/C19-1,C19/D19-1)</f>
        <v>#REF!</v>
      </c>
      <c r="E22" s="129"/>
      <c r="F22" s="129"/>
      <c r="G22" s="129"/>
      <c r="H22" s="129"/>
      <c r="I22" s="129"/>
    </row>
    <row r="23" spans="1:36" ht="13.8" thickBot="1">
      <c r="A23" s="1746"/>
      <c r="B23" s="1746"/>
      <c r="C23" s="1746"/>
      <c r="D23" s="1746"/>
      <c r="E23" s="129"/>
      <c r="F23" s="129"/>
      <c r="G23" s="129"/>
      <c r="H23" s="129"/>
      <c r="I23" s="129"/>
    </row>
    <row r="24" spans="1:36" ht="14.4">
      <c r="A24" s="3547" t="s">
        <v>1299</v>
      </c>
      <c r="B24" s="1761" t="s">
        <v>1291</v>
      </c>
      <c r="C24" s="136">
        <f>IF(B30=0,0,D30)</f>
        <v>0</v>
      </c>
      <c r="D24" s="1768"/>
      <c r="E24" s="129"/>
      <c r="F24" s="129"/>
      <c r="G24" s="129"/>
      <c r="H24" s="129"/>
      <c r="I24" s="129"/>
    </row>
    <row r="25" spans="1:36" ht="14.4">
      <c r="A25" s="3548"/>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7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t="e">
        <f ca="1">IF(D32="总价",G19-C24,G20-C25)</f>
        <v>#REF!</v>
      </c>
      <c r="D32" s="1774" t="s">
        <v>3397</v>
      </c>
      <c r="E32" s="129"/>
      <c r="F32" s="129"/>
      <c r="G32" s="129"/>
      <c r="H32" s="129"/>
      <c r="I32" s="129"/>
    </row>
    <row r="33" spans="1:15" ht="14.4">
      <c r="A33" s="786" t="s">
        <v>1306</v>
      </c>
      <c r="B33" s="1775"/>
      <c r="C33" s="1776" t="s">
        <v>3398</v>
      </c>
      <c r="D33" s="1777"/>
      <c r="E33" s="1778" t="s">
        <v>1307</v>
      </c>
      <c r="F33" s="1779" t="str">
        <f>IF(D32="楼面单价","取值（单价）","取值（总价）")</f>
        <v>取值（单价）</v>
      </c>
      <c r="G33" s="129"/>
      <c r="H33" s="129"/>
      <c r="I33" s="129"/>
    </row>
    <row r="34" spans="1:15" ht="14.4">
      <c r="A34" s="1780"/>
      <c r="B34" s="1781" t="s">
        <v>1308</v>
      </c>
      <c r="C34" s="148">
        <f>IF(C33="自定义",F34,C32-C35)</f>
        <v>0</v>
      </c>
      <c r="D34" s="861" t="e">
        <f ca="1">IF(C33="自定义",ROUND(C34/C32,3),IF(C33="收益比率",SUMIF(INDIRECT("'"&amp;D33&amp;"'"&amp;"!b:b"),"土地收益比率",INDIRECT("'"&amp;D33&amp;"'"&amp;"!c:c")),SUMIF(INDIRECT("'"&amp;D33&amp;"'"&amp;"!b:b"),"土地成本比率",INDIRECT("'"&amp;D33&amp;"'"&amp;"!c:c"))))</f>
        <v>#REF!</v>
      </c>
      <c r="E34" s="1782" t="s">
        <v>1309</v>
      </c>
      <c r="F34" s="1330"/>
      <c r="G34" s="129"/>
      <c r="H34" s="129"/>
      <c r="I34" s="129"/>
    </row>
    <row r="35" spans="1:15" ht="15" thickBot="1">
      <c r="A35" s="1783"/>
      <c r="B35" s="1784"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67" t="s">
        <v>1312</v>
      </c>
      <c r="B36" s="1786" t="s">
        <v>1313</v>
      </c>
      <c r="C36" s="145"/>
      <c r="D36" s="1787"/>
      <c r="E36" s="1788"/>
      <c r="F36" s="1789"/>
      <c r="G36" s="129"/>
      <c r="H36" s="129"/>
      <c r="I36" s="129"/>
    </row>
    <row r="37" spans="1:15" ht="15" thickBot="1">
      <c r="A37" s="3568"/>
      <c r="B37" s="1673" t="s">
        <v>1314</v>
      </c>
      <c r="C37" s="147"/>
      <c r="D37" s="1139"/>
      <c r="E37" s="1139"/>
      <c r="F37" s="1789"/>
      <c r="G37" s="129"/>
      <c r="H37" s="129"/>
      <c r="I37" s="129"/>
    </row>
    <row r="38" spans="1:15" ht="15" thickBot="1">
      <c r="A38" s="3569"/>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5"/>
      <c r="I46" s="159"/>
      <c r="J46" s="2512">
        <v>1</v>
      </c>
      <c r="K46" s="3603" t="s">
        <v>1331</v>
      </c>
      <c r="L46" s="3603"/>
      <c r="M46" s="3623"/>
      <c r="N46" s="3623"/>
      <c r="O46" s="3623"/>
    </row>
    <row r="47" spans="1:15" ht="12" customHeight="1">
      <c r="A47" s="160" t="s">
        <v>1332</v>
      </c>
      <c r="B47" s="161"/>
      <c r="C47" s="162"/>
      <c r="D47" s="1087" t="s">
        <v>1333</v>
      </c>
      <c r="E47" s="302" t="s">
        <v>1334</v>
      </c>
      <c r="F47" s="163" t="s">
        <v>1335</v>
      </c>
      <c r="G47" s="2535" t="s">
        <v>1336</v>
      </c>
      <c r="H47" s="2536"/>
      <c r="I47" s="159"/>
      <c r="J47" s="2512">
        <v>2</v>
      </c>
      <c r="K47" s="3603" t="s">
        <v>1337</v>
      </c>
      <c r="L47" s="3603"/>
      <c r="M47" s="3624">
        <f>'数据-取费表'!B2</f>
        <v>45539</v>
      </c>
      <c r="N47" s="3624"/>
      <c r="O47" s="3624"/>
    </row>
    <row r="48" spans="1:15" ht="26.4">
      <c r="A48" s="3572" t="s">
        <v>1338</v>
      </c>
      <c r="B48" s="3555"/>
      <c r="C48" s="3555"/>
      <c r="D48" s="2323" t="b">
        <f>IF(H48="情况1",0,IF(H48="情况2",D52,IF(H48="情况3",D53,IF(H48="情况4",D54))))</f>
        <v>0</v>
      </c>
      <c r="E48" s="2333" t="str">
        <f>IF(H48="情况4","(销售额-原购置价)×税（费）率","销售额×税（费）率")</f>
        <v>销售额×税（费）率</v>
      </c>
      <c r="F48" s="2537">
        <f>IF(H48="情况1","免征",'数据-取费表'!B41)</f>
        <v>5.6000000000000001E-2</v>
      </c>
      <c r="G48" s="2538" t="s">
        <v>1339</v>
      </c>
      <c r="H48" s="2539"/>
      <c r="I48" s="1805"/>
      <c r="J48" s="2512">
        <v>3</v>
      </c>
      <c r="K48" s="3603" t="s">
        <v>1340</v>
      </c>
      <c r="L48" s="3603"/>
      <c r="M48" s="3625" t="e">
        <f ca="1">H101</f>
        <v>#REF!</v>
      </c>
      <c r="N48" s="3625"/>
      <c r="O48" s="3625"/>
    </row>
    <row r="49" spans="1:35" ht="25.5" customHeight="1">
      <c r="A49" s="2332" t="s">
        <v>1341</v>
      </c>
      <c r="B49" s="3539" t="s">
        <v>1342</v>
      </c>
      <c r="C49" s="3539"/>
      <c r="D49" s="1589">
        <v>0</v>
      </c>
      <c r="E49" s="324" t="s">
        <v>1343</v>
      </c>
      <c r="F49" s="2422" t="s">
        <v>28</v>
      </c>
      <c r="G49" s="3609"/>
      <c r="H49" s="2309" t="s">
        <v>2134</v>
      </c>
      <c r="I49" s="2310"/>
      <c r="J49" s="2512">
        <v>4</v>
      </c>
      <c r="K49" s="3603" t="str">
        <f>IF(项目基本情况!E8="房地产抵押价值","房地产抵押价值","抵押担保权已注销时的房地产抵押价值")</f>
        <v>房地产抵押价值</v>
      </c>
      <c r="L49" s="3603"/>
      <c r="M49" s="3625" t="e">
        <f ca="1">IF(项目基本情况!E8="房地产抵押价值",H107,H109)</f>
        <v>#REF!</v>
      </c>
      <c r="N49" s="3625"/>
      <c r="O49" s="3625"/>
    </row>
    <row r="50" spans="1:35" ht="25.5" customHeight="1">
      <c r="A50" s="2540"/>
      <c r="B50" s="3539" t="s">
        <v>1344</v>
      </c>
      <c r="C50" s="3539"/>
      <c r="D50" s="2541"/>
      <c r="E50" s="332"/>
      <c r="F50" s="2422"/>
      <c r="G50" s="3610"/>
      <c r="H50" s="2311" t="s">
        <v>2135</v>
      </c>
      <c r="I50" s="2310"/>
      <c r="J50" s="3622" t="s">
        <v>1345</v>
      </c>
      <c r="K50" s="3622"/>
      <c r="L50" s="3622"/>
      <c r="M50" s="3622"/>
      <c r="N50" s="3622"/>
      <c r="O50" s="3622"/>
    </row>
    <row r="51" spans="1:35" ht="20.399999999999999" customHeight="1">
      <c r="A51" s="2542"/>
      <c r="B51" s="3539" t="s">
        <v>1346</v>
      </c>
      <c r="C51" s="3539"/>
      <c r="D51" s="1087"/>
      <c r="E51" s="327"/>
      <c r="F51" s="2422"/>
      <c r="G51" s="3611"/>
      <c r="H51" s="2311" t="s">
        <v>2136</v>
      </c>
      <c r="I51" s="2310"/>
      <c r="J51" s="2513" t="s">
        <v>1347</v>
      </c>
      <c r="K51" s="3603" t="s">
        <v>1348</v>
      </c>
      <c r="L51" s="3603"/>
      <c r="M51" s="2513" t="s">
        <v>1349</v>
      </c>
      <c r="N51" s="2513" t="s">
        <v>1350</v>
      </c>
      <c r="O51" s="2513" t="s">
        <v>1351</v>
      </c>
    </row>
    <row r="52" spans="1:35" ht="24" customHeight="1">
      <c r="A52" s="2334" t="s">
        <v>1352</v>
      </c>
      <c r="B52" s="3539" t="s">
        <v>1353</v>
      </c>
      <c r="C52" s="3539"/>
      <c r="D52" s="1087" t="e">
        <f ca="1">ROUND(D45*'数据-取费表'!B41/(1+'数据-取费表'!C42),0)</f>
        <v>#REF!</v>
      </c>
      <c r="E52" s="2333" t="s">
        <v>1354</v>
      </c>
      <c r="F52" s="2543">
        <f>'数据-取费表'!B41</f>
        <v>5.6000000000000001E-2</v>
      </c>
      <c r="G52" s="2544"/>
      <c r="H52" s="2533"/>
      <c r="I52" s="1806"/>
      <c r="J52" s="2512">
        <v>1</v>
      </c>
      <c r="K52" s="3604" t="s">
        <v>1355</v>
      </c>
      <c r="L52" s="3604"/>
      <c r="M52" s="2514" t="b">
        <f>D48</f>
        <v>0</v>
      </c>
      <c r="N52" s="2512" t="str">
        <f>E48</f>
        <v>销售额×税（费）率</v>
      </c>
      <c r="O52" s="2515">
        <f>F48</f>
        <v>5.6000000000000001E-2</v>
      </c>
    </row>
    <row r="53" spans="1:35" ht="12" customHeight="1">
      <c r="A53" s="2334" t="s">
        <v>1356</v>
      </c>
      <c r="B53" s="3565" t="s">
        <v>2291</v>
      </c>
      <c r="C53" s="3566"/>
      <c r="D53" s="1087" t="e">
        <f ca="1">ROUND(D45*'数据-取费表'!B41/(1+'数据-取费表'!C42),0)</f>
        <v>#REF!</v>
      </c>
      <c r="E53" s="2333" t="s">
        <v>1354</v>
      </c>
      <c r="F53" s="2543">
        <f>'数据-取费表'!B41</f>
        <v>5.6000000000000001E-2</v>
      </c>
      <c r="G53" s="2544"/>
      <c r="H53" s="2533"/>
      <c r="I53" s="1806"/>
      <c r="J53" s="2512">
        <v>2</v>
      </c>
      <c r="K53" s="3604" t="s">
        <v>1357</v>
      </c>
      <c r="L53" s="3604"/>
      <c r="M53" s="2514" t="e">
        <f t="shared" ref="M53:O54" ca="1" si="0">D55</f>
        <v>#REF!</v>
      </c>
      <c r="N53" s="2512" t="str">
        <f t="shared" si="0"/>
        <v>销售额×税（费）率</v>
      </c>
      <c r="O53" s="2515" t="str">
        <f t="shared" si="0"/>
        <v>免征</v>
      </c>
    </row>
    <row r="54" spans="1:35" ht="12" customHeight="1">
      <c r="A54" s="2334" t="s">
        <v>1358</v>
      </c>
      <c r="B54" s="3565" t="s">
        <v>2292</v>
      </c>
      <c r="C54" s="3566"/>
      <c r="D54" s="1087" t="e">
        <f ca="1">C68</f>
        <v>#REF!</v>
      </c>
      <c r="E54" s="327" t="s">
        <v>1359</v>
      </c>
      <c r="F54" s="2543">
        <f>'数据-取费表'!B41</f>
        <v>5.6000000000000001E-2</v>
      </c>
      <c r="G54" s="2544"/>
      <c r="H54" s="2545"/>
      <c r="I54" s="1806"/>
      <c r="J54" s="2512">
        <v>3</v>
      </c>
      <c r="K54" s="3604" t="s">
        <v>1360</v>
      </c>
      <c r="L54" s="3604"/>
      <c r="M54" s="2514" t="e">
        <f t="shared" ca="1" si="0"/>
        <v>#REF!</v>
      </c>
      <c r="N54" s="2512" t="str">
        <f t="shared" si="0"/>
        <v>增值额×税（费）率</v>
      </c>
      <c r="O54" s="2516" t="str">
        <f t="shared" si="0"/>
        <v>免征</v>
      </c>
    </row>
    <row r="55" spans="1:35" ht="24" customHeight="1">
      <c r="A55" s="3554" t="s">
        <v>1361</v>
      </c>
      <c r="B55" s="3555"/>
      <c r="C55" s="3555"/>
      <c r="D55" s="2323" t="e">
        <f ca="1">IF(H55="个人住宅",0,ROUND(D45*I55,0))</f>
        <v>#REF!</v>
      </c>
      <c r="E55" s="2333" t="s">
        <v>1362</v>
      </c>
      <c r="F55" s="2543" t="str">
        <f>IF(H55="正常",I55,"免征")</f>
        <v>免征</v>
      </c>
      <c r="G55" s="2544"/>
      <c r="H55" s="2539"/>
      <c r="I55" s="165">
        <f>'数据-取费表'!B49</f>
        <v>5.0000000000000001E-4</v>
      </c>
      <c r="J55" s="2512">
        <f>IF(H59="非个人房产","",4)</f>
        <v>4</v>
      </c>
      <c r="K55" s="3604" t="str">
        <f>IF(H59="非个人房产","——","个人所得税")</f>
        <v>个人所得税</v>
      </c>
      <c r="L55" s="3604"/>
      <c r="M55" s="2517" t="e">
        <f ca="1">D59</f>
        <v>#REF!</v>
      </c>
      <c r="N55" s="2039" t="str">
        <f>E59</f>
        <v>差额计税</v>
      </c>
      <c r="O55" s="2518">
        <f>F59</f>
        <v>0.01</v>
      </c>
    </row>
    <row r="56" spans="1:35" ht="25.2">
      <c r="A56" s="3554" t="s">
        <v>1363</v>
      </c>
      <c r="B56" s="3555"/>
      <c r="C56" s="3555"/>
      <c r="D56" s="2323" t="e">
        <f ca="1">IF(H56="个人住宅",D57,D58)</f>
        <v>#REF!</v>
      </c>
      <c r="E56" s="2333" t="s">
        <v>1364</v>
      </c>
      <c r="F56" s="2543" t="str">
        <f>IF(H56="正常",F58,"免征")</f>
        <v>免征</v>
      </c>
      <c r="G56" s="2546" t="s">
        <v>1365</v>
      </c>
      <c r="H56" s="2547"/>
      <c r="I56" s="1807"/>
      <c r="J56" s="2512" t="str">
        <f>IF(项目基本情况!K6="上海银行",IF(J55="",4,J55+1),"")</f>
        <v/>
      </c>
      <c r="K56" s="3627" t="str">
        <f>IF(项目基本情况!K6="上海银行","其他处置费用","")</f>
        <v/>
      </c>
      <c r="L56" s="3628"/>
      <c r="M56" s="2514" t="str">
        <f>IF(项目基本情况!K6="上海银行",M69,"")</f>
        <v/>
      </c>
      <c r="N56" s="3627" t="str">
        <f>IF(项目基本情况!K6="上海银行","包含处置中涉及的律师、诉讼、拍卖、评估等费用","")</f>
        <v/>
      </c>
      <c r="O56" s="3630"/>
    </row>
    <row r="57" spans="1:35" ht="13.2">
      <c r="A57" s="2334" t="s">
        <v>1341</v>
      </c>
      <c r="B57" s="3565" t="s">
        <v>1366</v>
      </c>
      <c r="C57" s="3566"/>
      <c r="D57" s="1589">
        <v>0</v>
      </c>
      <c r="E57" s="324" t="s">
        <v>1343</v>
      </c>
      <c r="F57" s="302"/>
      <c r="G57" s="2544"/>
      <c r="H57" s="2548"/>
      <c r="I57" s="1807"/>
      <c r="J57" s="3604">
        <f>IF(AND(J55="",J56=""),4,IF(项目基本情况!K6="上海银行",结果表!J56+1,结果表!J55+1))</f>
        <v>5</v>
      </c>
      <c r="K57" s="3604" t="s">
        <v>1367</v>
      </c>
      <c r="L57" s="2519" t="s">
        <v>1368</v>
      </c>
      <c r="M57" s="2520"/>
      <c r="N57" s="2521">
        <f ca="1">SUMIF(M52:M56,"&lt;9e307")</f>
        <v>0</v>
      </c>
      <c r="O57" s="2522"/>
      <c r="P57" s="2676" t="e">
        <f ca="1">N57/M49</f>
        <v>#REF!</v>
      </c>
    </row>
    <row r="58" spans="1:35" ht="25.2">
      <c r="A58" s="2334" t="s">
        <v>1352</v>
      </c>
      <c r="B58" s="3565" t="s">
        <v>1369</v>
      </c>
      <c r="C58" s="3539"/>
      <c r="D58" s="2323" t="e">
        <f ca="1">IF(H58="转让取得",C81,C97)</f>
        <v>#REF!</v>
      </c>
      <c r="E58" s="2333" t="s">
        <v>1364</v>
      </c>
      <c r="F58" s="302" t="s">
        <v>28</v>
      </c>
      <c r="G58" s="2544"/>
      <c r="H58" s="2547"/>
      <c r="I58" s="1807"/>
      <c r="J58" s="3604"/>
      <c r="K58" s="3604"/>
      <c r="L58" s="2519" t="s">
        <v>1370</v>
      </c>
      <c r="M58" s="2523"/>
      <c r="N58" s="2524" t="str">
        <f ca="1">NUMBERSTRING(INT(N57*10000),2)&amp;"元整"</f>
        <v>零元整</v>
      </c>
      <c r="O58" s="2525"/>
    </row>
    <row r="59" spans="1:35" ht="24.6" thickBot="1">
      <c r="A59" s="3607" t="s">
        <v>1371</v>
      </c>
      <c r="B59" s="3608"/>
      <c r="C59" s="3608"/>
      <c r="D59" s="2549" t="e">
        <f ca="1">IF(H59="非个人房产","——",IF(H59="个人住宅（满五唯一有凭证）",0,IF(H59="个人其他（无凭证）",ROUND(D45*F59,0),ROUND(C67*F59,0))))</f>
        <v>#REF!</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13"/>
      <c r="I59" s="2312" t="s">
        <v>2137</v>
      </c>
      <c r="J59" s="3605">
        <f>J57+1</f>
        <v>6</v>
      </c>
      <c r="K59" s="3604" t="s">
        <v>1372</v>
      </c>
      <c r="L59" s="2512" t="s">
        <v>1368</v>
      </c>
      <c r="M59" s="2526"/>
      <c r="N59" s="2527" t="e">
        <f ca="1">M49-N57</f>
        <v>#REF!</v>
      </c>
      <c r="O59" s="2528"/>
    </row>
    <row r="60" spans="1:35" ht="12" customHeight="1">
      <c r="A60" s="1808"/>
      <c r="B60" s="1746"/>
      <c r="C60" s="1746"/>
      <c r="D60" s="1746"/>
      <c r="E60" s="1577"/>
      <c r="F60" s="1807"/>
      <c r="G60" s="1807"/>
      <c r="H60" s="1809"/>
      <c r="I60" s="129"/>
      <c r="J60" s="3606"/>
      <c r="K60" s="3604"/>
      <c r="L60" s="2519" t="s">
        <v>1370</v>
      </c>
      <c r="M60" s="2523"/>
      <c r="N60" s="2524" t="e">
        <f ca="1">NUMBERSTRING(INT(N59*10000),2)&amp;"元整"</f>
        <v>#REF!</v>
      </c>
      <c r="O60" s="2525"/>
    </row>
    <row r="61" spans="1:35" ht="13.8" thickBot="1">
      <c r="A61" s="3552" t="s">
        <v>1373</v>
      </c>
      <c r="B61" s="3552"/>
      <c r="C61" s="3552"/>
      <c r="D61" s="3552"/>
      <c r="E61" s="3552"/>
      <c r="F61" s="1807"/>
      <c r="G61" s="1807"/>
      <c r="H61" s="1809"/>
      <c r="I61" s="129"/>
      <c r="J61" s="2512">
        <f>J59+1</f>
        <v>7</v>
      </c>
      <c r="K61" s="3604" t="s">
        <v>1374</v>
      </c>
      <c r="L61" s="3604"/>
      <c r="M61" s="2529"/>
      <c r="N61" s="2530" t="e">
        <f ca="1">ROUND(N59*10000/'数据-汇总表'!E3,0)</f>
        <v>#REF!</v>
      </c>
      <c r="O61" s="2531"/>
    </row>
    <row r="62" spans="1:35" ht="13.2">
      <c r="A62" s="3570" t="s">
        <v>1375</v>
      </c>
      <c r="B62" s="3571"/>
      <c r="C62" s="2020"/>
      <c r="D62" s="2020" t="s">
        <v>1376</v>
      </c>
      <c r="E62" s="166" t="s">
        <v>1377</v>
      </c>
      <c r="F62" s="1807"/>
      <c r="G62" s="1807"/>
      <c r="H62" s="1809"/>
      <c r="I62" s="129"/>
    </row>
    <row r="63" spans="1:35" ht="13.2">
      <c r="A63" s="173" t="s">
        <v>330</v>
      </c>
      <c r="B63" s="167" t="s">
        <v>1378</v>
      </c>
      <c r="C63" s="2553" t="e">
        <f ca="1">ROUND((C64+C65)/(1+'数据-取费表'!C42),0)</f>
        <v>#REF!</v>
      </c>
      <c r="D63" s="167"/>
      <c r="E63" s="168"/>
      <c r="F63" s="1807"/>
      <c r="G63" s="1807"/>
      <c r="H63" s="1809"/>
      <c r="I63" s="129"/>
      <c r="J63" s="3629" t="s">
        <v>1379</v>
      </c>
      <c r="K63" s="1331" t="s">
        <v>1380</v>
      </c>
      <c r="L63" s="1331" t="e">
        <f ca="1">IF(M49&gt;10000,M49*0.5%,IF(AND(M49&gt;1000,M49&lt;=10000),M49*1%,IF(AND(M49&gt;100,M49&lt;=1000),M49*3%,IF(AND(M49&gt;10,M49&lt;=100),M49*5%,M49*8%))))</f>
        <v>#REF!</v>
      </c>
      <c r="M63" s="302" t="e">
        <f ca="1">ROUND(L63,1)</f>
        <v>#REF!</v>
      </c>
      <c r="N63" s="2532"/>
      <c r="Z63" s="1751"/>
      <c r="AI63" s="1752"/>
    </row>
    <row r="64" spans="1:35" ht="14.25" customHeight="1">
      <c r="A64" s="169" t="s">
        <v>325</v>
      </c>
      <c r="B64" s="170" t="s">
        <v>1381</v>
      </c>
      <c r="C64" s="2554" t="e">
        <f ca="1">D45</f>
        <v>#REF!</v>
      </c>
      <c r="D64" s="170" t="s">
        <v>26</v>
      </c>
      <c r="E64" s="172"/>
      <c r="F64" s="1807"/>
      <c r="G64" s="1807"/>
      <c r="H64" s="1809"/>
      <c r="I64" s="129"/>
      <c r="J64" s="3629"/>
      <c r="K64" s="1331" t="s">
        <v>1382</v>
      </c>
      <c r="L64" s="1331"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3" t="s">
        <v>1383</v>
      </c>
      <c r="Z64" s="1751"/>
      <c r="AI64" s="1752"/>
    </row>
    <row r="65" spans="1:35" ht="14.25" customHeight="1">
      <c r="A65" s="169" t="s">
        <v>326</v>
      </c>
      <c r="B65" s="170" t="s">
        <v>1384</v>
      </c>
      <c r="C65" s="2555"/>
      <c r="D65" s="170"/>
      <c r="E65" s="172"/>
      <c r="F65" s="1807"/>
      <c r="G65" s="1807"/>
      <c r="H65" s="1809"/>
      <c r="I65" s="129"/>
      <c r="J65" s="3629"/>
      <c r="K65" s="1331" t="s">
        <v>1385</v>
      </c>
      <c r="L65" s="1331" t="e">
        <f ca="1">IF(M49&gt;1000,M49*0.1%,IF(AND(M49&gt;500,M49&lt;=1000),M49*0.5%,IF(AND(M49&gt;50,M49&lt;=500),M49*1%,IF(AND(M49&gt;1,M49&lt;=50),M49*1.5%))))</f>
        <v>#REF!</v>
      </c>
      <c r="M65" s="302" t="e">
        <f t="shared" ca="1" si="1"/>
        <v>#REF!</v>
      </c>
      <c r="N65" s="2533" t="s">
        <v>1383</v>
      </c>
      <c r="Z65" s="1751"/>
      <c r="AI65" s="1752"/>
    </row>
    <row r="66" spans="1:35" ht="14.25" customHeight="1">
      <c r="A66" s="173" t="s">
        <v>327</v>
      </c>
      <c r="B66" s="174" t="s">
        <v>1386</v>
      </c>
      <c r="C66" s="2556"/>
      <c r="D66" s="174" t="s">
        <v>26</v>
      </c>
      <c r="E66" s="1337" t="s">
        <v>671</v>
      </c>
      <c r="F66" s="1807"/>
      <c r="G66" s="1807"/>
      <c r="H66" s="1809"/>
      <c r="I66" s="129"/>
      <c r="J66" s="3629"/>
      <c r="K66" s="1331" t="s">
        <v>1387</v>
      </c>
      <c r="L66" s="1331" t="e">
        <f ca="1">M49*0.5%</f>
        <v>#REF!</v>
      </c>
      <c r="M66" s="302" t="e">
        <f ca="1">IF(L66&gt;0.5,0.5,ROUND(L66,0))</f>
        <v>#REF!</v>
      </c>
      <c r="N66" s="2533" t="s">
        <v>1388</v>
      </c>
      <c r="Z66" s="1751"/>
      <c r="AI66" s="1752"/>
    </row>
    <row r="67" spans="1:35" ht="14.25" customHeight="1">
      <c r="A67" s="173" t="s">
        <v>328</v>
      </c>
      <c r="B67" s="174" t="s">
        <v>1389</v>
      </c>
      <c r="C67" s="2557" t="e">
        <f ca="1">C63-C66</f>
        <v>#REF!</v>
      </c>
      <c r="D67" s="170" t="s">
        <v>26</v>
      </c>
      <c r="E67" s="172"/>
      <c r="F67" s="1807"/>
      <c r="G67" s="1807"/>
      <c r="H67" s="1809"/>
      <c r="I67" s="129"/>
      <c r="J67" s="3629"/>
      <c r="K67" s="1331" t="s">
        <v>1390</v>
      </c>
      <c r="L67" s="1331"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2"/>
      <c r="Z67" s="1751"/>
      <c r="AI67" s="1752"/>
    </row>
    <row r="68" spans="1:35" ht="14.25" customHeight="1" thickBot="1">
      <c r="A68" s="176" t="s">
        <v>329</v>
      </c>
      <c r="B68" s="177" t="s">
        <v>1391</v>
      </c>
      <c r="C68" s="2558" t="e">
        <f ca="1">IF(C67&lt;=0,0,ROUND(C67*D68,0))</f>
        <v>#REF!</v>
      </c>
      <c r="D68" s="2559">
        <f>'数据-取费表'!B41</f>
        <v>5.6000000000000001E-2</v>
      </c>
      <c r="E68" s="178"/>
      <c r="F68" s="1807"/>
      <c r="G68" s="1807"/>
      <c r="H68" s="1809"/>
      <c r="I68" s="129"/>
      <c r="J68" s="3629"/>
      <c r="K68" s="1331" t="s">
        <v>1392</v>
      </c>
      <c r="L68" s="1331" t="e">
        <f ca="1">IF(M49&gt;10000,M49*0.5%,IF(AND(M49&gt;5000,M49&lt;=10000),M49*1%,IF(AND(M49&gt;1000,M49&lt;=5000),M49*2%,IF(AND(M49&gt;200,M49&lt;=1000),M49*3%,M49*5%))))</f>
        <v>#REF!</v>
      </c>
      <c r="M68" s="302" t="e">
        <f ca="1">ROUND(L68,1)</f>
        <v>#REF!</v>
      </c>
      <c r="N68" s="2532"/>
      <c r="Z68" s="1751"/>
      <c r="AI68" s="1752"/>
    </row>
    <row r="69" spans="1:35" s="1771" customFormat="1" ht="16.5" customHeight="1">
      <c r="A69" s="1810"/>
      <c r="B69" s="1811"/>
      <c r="C69" s="1812"/>
      <c r="D69" s="1813"/>
      <c r="E69" s="1814"/>
      <c r="F69" s="1577"/>
      <c r="G69" s="1577"/>
      <c r="H69" s="1576"/>
      <c r="I69" s="1746"/>
      <c r="J69" s="3629"/>
      <c r="K69" s="1331" t="s">
        <v>1393</v>
      </c>
      <c r="L69" s="1331"/>
      <c r="M69" s="302" t="e">
        <f ca="1">ROUND(SUM(M63:M68),0)</f>
        <v>#REF!</v>
      </c>
      <c r="N69" s="2534" t="e">
        <f ca="1">M69/M49</f>
        <v>#REF!</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91" t="s">
        <v>1394</v>
      </c>
      <c r="B70" s="3592"/>
      <c r="C70" s="3592"/>
      <c r="D70" s="3592"/>
      <c r="E70" s="3592"/>
      <c r="F70" s="3592"/>
      <c r="G70" s="3592"/>
      <c r="H70" s="3592"/>
      <c r="I70" s="1815"/>
      <c r="J70" s="2677"/>
      <c r="K70" s="2677"/>
      <c r="L70" s="2677"/>
      <c r="M70" s="267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70" t="s">
        <v>1375</v>
      </c>
      <c r="B71" s="3571"/>
      <c r="C71" s="2020"/>
      <c r="D71" s="2020" t="s">
        <v>1376</v>
      </c>
      <c r="E71" s="179" t="s">
        <v>1377</v>
      </c>
      <c r="F71" s="180"/>
      <c r="G71" s="180"/>
      <c r="H71" s="181"/>
      <c r="I71" s="1819"/>
      <c r="J71" s="2677"/>
      <c r="K71" s="2677"/>
      <c r="L71" s="2677"/>
      <c r="M71" s="267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57" t="e">
        <f ca="1">ROUND(D45/(1+'数据-取费表'!C42),0)</f>
        <v>#REF!</v>
      </c>
      <c r="D72" s="170" t="s">
        <v>26</v>
      </c>
      <c r="E72" s="2330"/>
      <c r="F72" s="2329"/>
      <c r="G72" s="2329"/>
      <c r="H72" s="182"/>
      <c r="I72" s="1819"/>
      <c r="J72" s="2677"/>
      <c r="K72" s="2677"/>
      <c r="L72" s="2677"/>
      <c r="M72" s="267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5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0"/>
      <c r="D75" s="170" t="s">
        <v>26</v>
      </c>
      <c r="E75" s="184" t="s">
        <v>1399</v>
      </c>
      <c r="F75" s="2561"/>
      <c r="G75" s="184" t="s">
        <v>1400</v>
      </c>
      <c r="H75" s="256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3">
        <v>0.05</v>
      </c>
      <c r="E76" s="3565" t="s">
        <v>1402</v>
      </c>
      <c r="F76" s="3539"/>
      <c r="G76" s="3539"/>
      <c r="H76" s="359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65" t="e">
        <f ca="1">ROUND(D45*D78/(1+'数据-取费表'!C42),0)</f>
        <v>#REF!</v>
      </c>
      <c r="D78" s="2566">
        <f>'数据-取费表'!B43</f>
        <v>6.000000000000001E-3</v>
      </c>
      <c r="E78" s="3549" t="s">
        <v>1406</v>
      </c>
      <c r="F78" s="3550"/>
      <c r="G78" s="3550"/>
      <c r="H78" s="355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5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6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68" t="e">
        <f ca="1">ROUND(IF(C79&lt;=0,0,IF(C80&gt;=200%,C79*60%-C73*35%,IF(C80&gt;=100%,C79*50%-C73*15%,IF(C80&gt;=50%,C79*40%-C73*5%,IF(C80&lt;50%,C79*30%,0))))),0)</f>
        <v>#REF!</v>
      </c>
      <c r="D81" s="256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91" t="s">
        <v>1410</v>
      </c>
      <c r="B83" s="3592"/>
      <c r="C83" s="3592"/>
      <c r="D83" s="3592"/>
      <c r="E83" s="3592"/>
      <c r="F83" s="3592"/>
      <c r="G83" s="3592"/>
      <c r="H83" s="359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70" t="s">
        <v>1375</v>
      </c>
      <c r="B84" s="357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5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57" t="e">
        <f ca="1">IF(H88="仅含出让金",C87+C90+C91+C92+C93+C94,C87+C91+C92+C93+C94)</f>
        <v>#REF!</v>
      </c>
      <c r="D86" s="257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65">
        <f>C88+C89</f>
        <v>0</v>
      </c>
      <c r="D87" s="256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1"/>
      <c r="D88" s="2566"/>
      <c r="E88" s="193" t="s">
        <v>1413</v>
      </c>
      <c r="F88" s="2326"/>
      <c r="G88" s="194" t="s">
        <v>1414</v>
      </c>
      <c r="H88" s="1823"/>
      <c r="I88" s="1820"/>
      <c r="J88" s="251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65">
        <f>ROUND(C88*D89,0)</f>
        <v>0</v>
      </c>
      <c r="D89" s="256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1"/>
      <c r="D90" s="2566"/>
      <c r="E90" s="193" t="str">
        <f>IF(H88="-","土地取得成本中已包含该笔费用"," ")</f>
        <v xml:space="preserve"> </v>
      </c>
      <c r="F90" s="2326"/>
      <c r="G90" s="3631" t="s">
        <v>2129</v>
      </c>
      <c r="H90" s="3632"/>
      <c r="I90" s="1820"/>
      <c r="J90" s="251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65">
        <f>IF(H91="——",成本法!C33,I91)</f>
        <v>0</v>
      </c>
      <c r="D91" s="2566"/>
      <c r="E91" s="3549" t="s">
        <v>1419</v>
      </c>
      <c r="F91" s="3550"/>
      <c r="G91" s="355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65">
        <f>ROUND((C87+C90+C91)*D92,0)</f>
        <v>0</v>
      </c>
      <c r="D92" s="2572"/>
      <c r="E92" s="3549" t="s">
        <v>1422</v>
      </c>
      <c r="F92" s="3550"/>
      <c r="G92" s="3550"/>
      <c r="H92" s="3559"/>
      <c r="I92" s="1820"/>
      <c r="J92" s="251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65" t="e">
        <f ca="1">ROUND(D45*D93/(1+'数据-取费表'!C42),0)</f>
        <v>#REF!</v>
      </c>
      <c r="D93" s="2566">
        <f>'数据-取费表'!B43</f>
        <v>6.000000000000001E-3</v>
      </c>
      <c r="E93" s="3549" t="s">
        <v>1406</v>
      </c>
      <c r="F93" s="3550"/>
      <c r="G93" s="3550"/>
      <c r="H93" s="355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1">
        <f>ROUND((C87+C90+C91)*D94,0)</f>
        <v>0</v>
      </c>
      <c r="D94" s="2566">
        <v>0.2</v>
      </c>
      <c r="E94" s="3560" t="s">
        <v>1426</v>
      </c>
      <c r="F94" s="3561"/>
      <c r="G94" s="3561"/>
      <c r="H94" s="356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5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6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68" t="e">
        <f ca="1">ROUND(IF(C95&lt;=0,0,IF(C96&gt;=200%,C95*60%-C86*35%,IF(C96&gt;=100%,C95*50%-C86*15%,IF(C96&gt;=50%,C95*40%-C86*5%,IF(C96&lt;50%,C95*30%,0))))),0)</f>
        <v>#REF!</v>
      </c>
      <c r="D97" s="256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74">
        <f>C4</f>
        <v>0</v>
      </c>
      <c r="D101" s="2575">
        <f>D4</f>
        <v>0</v>
      </c>
      <c r="E101" s="3626" t="s">
        <v>1431</v>
      </c>
      <c r="F101" s="3583"/>
      <c r="G101" s="1826" t="s">
        <v>1432</v>
      </c>
      <c r="H101" s="2584" t="e">
        <f ca="1">H118</f>
        <v>#REF!</v>
      </c>
      <c r="I101" s="129"/>
    </row>
    <row r="102" spans="1:35" ht="18.75" customHeight="1">
      <c r="A102" s="3585" t="s">
        <v>1433</v>
      </c>
      <c r="B102" s="2573" t="s">
        <v>1432</v>
      </c>
      <c r="C102" s="2574" t="e">
        <f ca="1">IF(D32="楼面单价",ROUND(C19,0),C19)</f>
        <v>#REF!</v>
      </c>
      <c r="D102" s="2575" t="e">
        <f ca="1">IF(D32="楼面单价",ROUND(D19,0),D19)</f>
        <v>#REF!</v>
      </c>
      <c r="E102" s="3626"/>
      <c r="F102" s="3583"/>
      <c r="G102" s="1826" t="s">
        <v>1434</v>
      </c>
      <c r="H102" s="2544" t="e">
        <f ca="1">I118</f>
        <v>#REF!</v>
      </c>
      <c r="I102" s="129"/>
    </row>
    <row r="103" spans="1:35" ht="42.75" customHeight="1">
      <c r="A103" s="3585"/>
      <c r="B103" s="2573" t="s">
        <v>1434</v>
      </c>
      <c r="C103" s="2576" t="e">
        <f ca="1">C20</f>
        <v>#REF!</v>
      </c>
      <c r="D103" s="2577" t="e">
        <f ca="1">D20</f>
        <v>#REF!</v>
      </c>
      <c r="E103" s="3620" t="s">
        <v>1435</v>
      </c>
      <c r="F103" s="3621"/>
      <c r="G103" s="1827" t="s">
        <v>1436</v>
      </c>
      <c r="H103" s="2584">
        <f>IF(D36="正常操作",H104+H105+H106,H105+H106)</f>
        <v>0</v>
      </c>
      <c r="I103" s="129"/>
    </row>
    <row r="104" spans="1:35" ht="18.75" customHeight="1">
      <c r="A104" s="3585" t="s">
        <v>1437</v>
      </c>
      <c r="B104" s="2578" t="s">
        <v>1432</v>
      </c>
      <c r="C104" s="2579" t="e">
        <f ca="1">H118</f>
        <v>#REF!</v>
      </c>
      <c r="D104" s="2580"/>
      <c r="E104" s="1673" t="s">
        <v>1438</v>
      </c>
      <c r="F104" s="1665"/>
      <c r="G104" s="1827" t="s">
        <v>1436</v>
      </c>
      <c r="H104" s="2585">
        <f>IF(D36="同一抵押权人同一抵押物续贷",C36&amp;"（续贷，未扣减，详见特别提示）",C36)</f>
        <v>0</v>
      </c>
      <c r="I104" s="129"/>
    </row>
    <row r="105" spans="1:35" ht="18.75" customHeight="1" thickBot="1">
      <c r="A105" s="3586"/>
      <c r="B105" s="2581" t="s">
        <v>1434</v>
      </c>
      <c r="C105" s="2582" t="e">
        <f ca="1">I118</f>
        <v>#REF!</v>
      </c>
      <c r="D105" s="2583"/>
      <c r="E105" s="1673" t="s">
        <v>1439</v>
      </c>
      <c r="F105" s="1665"/>
      <c r="G105" s="1827" t="s">
        <v>1436</v>
      </c>
      <c r="H105" s="2586">
        <f>C37</f>
        <v>0</v>
      </c>
      <c r="I105" s="129"/>
    </row>
    <row r="106" spans="1:35" ht="18.75" customHeight="1">
      <c r="A106" s="1746" t="s">
        <v>1440</v>
      </c>
      <c r="B106" s="1746"/>
      <c r="C106" s="1746"/>
      <c r="D106" s="1746"/>
      <c r="E106" s="1828" t="s">
        <v>1441</v>
      </c>
      <c r="F106" s="1665"/>
      <c r="G106" s="1827" t="s">
        <v>1436</v>
      </c>
      <c r="H106" s="2586">
        <f>C38</f>
        <v>0</v>
      </c>
      <c r="I106" s="129"/>
    </row>
    <row r="107" spans="1:35" ht="18.75" customHeight="1">
      <c r="A107" s="129"/>
      <c r="B107" s="129"/>
      <c r="C107" s="129"/>
      <c r="D107" s="129"/>
      <c r="E107" s="3582" t="str">
        <f>IF(项目基本情况!E8="已注销","——","3.房地产抵押价值")</f>
        <v>3.房地产抵押价值</v>
      </c>
      <c r="F107" s="3583"/>
      <c r="G107" s="1826" t="s">
        <v>1432</v>
      </c>
      <c r="H107" s="2584" t="e">
        <f ca="1">IF(E107="——","——",H101-H103)</f>
        <v>#REF!</v>
      </c>
      <c r="I107" s="129"/>
    </row>
    <row r="108" spans="1:35" ht="18.75" customHeight="1">
      <c r="A108" s="129"/>
      <c r="B108" s="129"/>
      <c r="C108" s="129"/>
      <c r="D108" s="129"/>
      <c r="E108" s="3582"/>
      <c r="F108" s="3583"/>
      <c r="G108" s="1826" t="s">
        <v>1434</v>
      </c>
      <c r="H108" s="2544" t="e">
        <f ca="1">IF(H107=H101,H102,ROUND(H107*10000/'数据-汇总表'!E3,0))</f>
        <v>#REF!</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6" t="s">
        <v>1432</v>
      </c>
      <c r="H109" s="2587" t="str">
        <f>IF(E109="——","——",H101-H105-H106)</f>
        <v>——</v>
      </c>
      <c r="I109" s="129"/>
    </row>
    <row r="110" spans="1:35" ht="18.75" customHeight="1">
      <c r="A110" s="129"/>
      <c r="B110" s="129"/>
      <c r="C110" s="129"/>
      <c r="D110" s="129"/>
      <c r="E110" s="3582"/>
      <c r="F110" s="3583"/>
      <c r="G110" s="1826" t="s">
        <v>1434</v>
      </c>
      <c r="H110" s="2544"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6" t="s">
        <v>1432</v>
      </c>
      <c r="H111" s="2584" t="str">
        <f>IF(E111="——","——",N59)</f>
        <v>——</v>
      </c>
      <c r="I111" s="129"/>
    </row>
    <row r="112" spans="1:35" ht="18.75" customHeight="1" thickBot="1">
      <c r="A112" s="129"/>
      <c r="B112" s="129"/>
      <c r="C112" s="129"/>
      <c r="D112" s="129"/>
      <c r="E112" s="3615"/>
      <c r="F112" s="3616"/>
      <c r="G112" s="1829" t="s">
        <v>1434</v>
      </c>
      <c r="H112" s="2588" t="str">
        <f>IF(E111="——","——",N61)</f>
        <v>——</v>
      </c>
      <c r="I112" s="129"/>
    </row>
    <row r="113" spans="1:27" ht="18.75" customHeight="1">
      <c r="A113" s="129"/>
      <c r="B113" s="129"/>
      <c r="C113" s="129"/>
      <c r="D113" s="129"/>
      <c r="E113" s="3587" t="s">
        <v>1440</v>
      </c>
      <c r="F113" s="3587"/>
      <c r="G113" s="3587"/>
      <c r="H113" s="3587"/>
      <c r="I113" s="129"/>
    </row>
    <row r="114" spans="1:27" ht="3.75" customHeight="1">
      <c r="A114" s="1746"/>
      <c r="B114" s="1746"/>
      <c r="C114" s="1746"/>
      <c r="D114" s="1746"/>
      <c r="E114" s="1808"/>
      <c r="F114" s="1808"/>
      <c r="G114" s="1808"/>
      <c r="H114" s="1808"/>
      <c r="I114" s="1746"/>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8" t="s">
        <v>1449</v>
      </c>
      <c r="E117" s="2328" t="s">
        <v>1450</v>
      </c>
      <c r="F117" s="2328" t="s">
        <v>1449</v>
      </c>
      <c r="G117" s="2328" t="s">
        <v>1451</v>
      </c>
      <c r="H117" s="2328" t="s">
        <v>1449</v>
      </c>
      <c r="I117" s="2328" t="s">
        <v>1451</v>
      </c>
    </row>
    <row r="118" spans="1:27" ht="24.75" customHeight="1">
      <c r="A118" s="2589" t="str">
        <f>项目基本情况!S2</f>
        <v>北京市东城区南竹杆胡同2号房地产</v>
      </c>
      <c r="B118" s="2328">
        <f>M18</f>
        <v>195.03</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t="e">
        <f ca="1">ROUND(IF(D32="总价",C32,I118*B118/10000),0)</f>
        <v>#REF!</v>
      </c>
      <c r="I118" s="2328" t="e">
        <f ca="1">ROUND(IF(D32="楼面单价",C32,H118*10000/B118),0)</f>
        <v>#REF!</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北京市东城区南竹杆胡同2号房地产抵押价值预评估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0">
        <f ca="1">ROUND(IF(D2="——",C52/10000,C52/10000-E2),4)</f>
        <v>10.4956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5"/>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3" t="s">
        <v>1591</v>
      </c>
    </row>
    <row r="43" spans="1:7" ht="13.5" customHeight="1">
      <c r="A43" s="780" t="s">
        <v>347</v>
      </c>
      <c r="B43" s="215" t="s">
        <v>1545</v>
      </c>
      <c r="C43" s="238">
        <f ca="1">ROUND(IF('数据-取费表'!B22&lt;=1,C39*F22*'数据-取费表'!B20/2,C39*(POWER((1+F22),'数据-取费表'!B20/2)-1)),0)</f>
        <v>644</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792"/>
      <c r="F1" s="2792"/>
      <c r="G1" s="2660"/>
      <c r="H1" s="2792"/>
      <c r="I1" s="2792"/>
      <c r="J1" s="2792"/>
      <c r="K1" s="2793">
        <f>MATCH(C1,'数据-取费表'!A6:A16,0)+5</f>
        <v>7</v>
      </c>
    </row>
    <row r="2" spans="1:33" ht="18" customHeight="1">
      <c r="A2" s="201" t="s">
        <v>1462</v>
      </c>
      <c r="B2" s="204">
        <f ca="1">C32</f>
        <v>-5</v>
      </c>
      <c r="C2" s="276" t="s">
        <v>1595</v>
      </c>
      <c r="D2" s="276"/>
      <c r="E2" s="2792"/>
      <c r="F2" s="2792"/>
      <c r="G2" s="2792"/>
      <c r="H2" s="2792"/>
      <c r="I2" s="2792"/>
      <c r="J2" s="2792"/>
      <c r="K2" s="2792"/>
    </row>
    <row r="3" spans="1:33" ht="18" customHeight="1" thickBot="1">
      <c r="A3" s="203" t="s">
        <v>1464</v>
      </c>
      <c r="B3" s="204">
        <f ca="1">ROUND(B2*10000/IF(C1="",'数据-汇总表'!E3,INDIRECT("'数据-取费表'!K"&amp;$K$1)),0)</f>
        <v>-256</v>
      </c>
      <c r="C3" s="276" t="s">
        <v>1596</v>
      </c>
      <c r="D3" s="276"/>
      <c r="E3" s="2792"/>
      <c r="F3" s="2792"/>
      <c r="G3" s="2792"/>
      <c r="H3" s="2792"/>
      <c r="I3" s="2792"/>
      <c r="J3" s="2792"/>
      <c r="K3" s="2792"/>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692"/>
      <c r="H2" s="2681"/>
      <c r="I2" s="2681"/>
      <c r="J2" s="2681"/>
      <c r="K2" s="2682"/>
      <c r="L2" s="2681"/>
      <c r="M2" s="2681"/>
    </row>
    <row r="3" spans="1:37" ht="18" customHeight="1" thickBot="1">
      <c r="A3" s="1389" t="s">
        <v>806</v>
      </c>
      <c r="B3" s="1390">
        <f ca="1">IF(ISERROR(B2*10000/F43),0,ROUND(B2*10000/F43,0))</f>
        <v>0</v>
      </c>
      <c r="C3" s="1386" t="s">
        <v>807</v>
      </c>
      <c r="D3" s="1386"/>
      <c r="E3" s="1387"/>
      <c r="F3" s="1388"/>
      <c r="G3" s="269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38" t="s">
        <v>694</v>
      </c>
      <c r="C6" s="1074">
        <f ca="1">ROUND(F6*F8*F7*(1-F9)/10000,0)</f>
        <v>0</v>
      </c>
      <c r="D6" s="155" t="s">
        <v>2109</v>
      </c>
      <c r="E6" s="302" t="s">
        <v>696</v>
      </c>
      <c r="F6" s="303">
        <f ca="1">INDIRECT("'数据-取费表'!u"&amp;$G$1)</f>
        <v>0</v>
      </c>
      <c r="G6" s="1383"/>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3"/>
      <c r="H7" s="304"/>
      <c r="I7" s="3639"/>
      <c r="J7" s="306"/>
      <c r="K7" s="307"/>
      <c r="L7" s="302" t="s">
        <v>697</v>
      </c>
      <c r="M7" s="303">
        <f ca="1">F7</f>
        <v>0</v>
      </c>
    </row>
    <row r="8" spans="1:37" ht="18" customHeight="1">
      <c r="A8" s="304"/>
      <c r="B8" s="3639"/>
      <c r="C8" s="306"/>
      <c r="D8" s="307"/>
      <c r="E8" s="302" t="s">
        <v>698</v>
      </c>
      <c r="F8" s="303">
        <f ca="1">INDIRECT("'数据-取费表'!ai"&amp;$G$1)</f>
        <v>0</v>
      </c>
      <c r="G8" s="1383"/>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3"/>
      <c r="H9" s="304"/>
      <c r="I9" s="364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IF(项目基本情况!B11="自然人","——",ROUND(F34*F35/10000,2))</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ROUND(C29*F36,2)</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ROUND(C13*F37,2)</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ROUND(C5*F38,2)</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36" t="s">
        <v>837</v>
      </c>
      <c r="L53" s="3637"/>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1" t="e">
        <f ca="1">ROUND(D2/10000,4)</f>
        <v>#DIV/0!</v>
      </c>
      <c r="C2" s="1386" t="s">
        <v>879</v>
      </c>
      <c r="D2" s="1470" t="e">
        <f ca="1">C40+J29+L46</f>
        <v>#DIV/0!</v>
      </c>
      <c r="E2" s="1387" t="s">
        <v>880</v>
      </c>
      <c r="F2" s="1388"/>
      <c r="G2" s="2692"/>
      <c r="H2" s="2681"/>
      <c r="I2" s="2681"/>
      <c r="J2" s="2681"/>
      <c r="K2" s="2682"/>
      <c r="L2" s="2681"/>
      <c r="M2" s="2681"/>
    </row>
    <row r="3" spans="1:37" ht="18" customHeight="1" thickBot="1">
      <c r="A3" s="1389" t="s">
        <v>881</v>
      </c>
      <c r="B3" s="1390">
        <f ca="1">IF(ISERROR(D2/F43),0,ROUND(D2/F43,0))</f>
        <v>0</v>
      </c>
      <c r="C3" s="1386" t="s">
        <v>882</v>
      </c>
      <c r="D3" s="1386"/>
      <c r="E3" s="1387"/>
      <c r="F3" s="1388"/>
      <c r="G3" s="269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8" t="s">
        <v>694</v>
      </c>
      <c r="C6" s="1074">
        <f ca="1">ROUND(F6*F8*F7*(1-F9),0)</f>
        <v>0</v>
      </c>
      <c r="D6" s="155" t="s">
        <v>2106</v>
      </c>
      <c r="E6" s="302" t="s">
        <v>696</v>
      </c>
      <c r="F6" s="303">
        <f ca="1">INDIRECT("'数据-取费表'!u"&amp;$G$1)</f>
        <v>0</v>
      </c>
      <c r="G6" s="1383"/>
      <c r="H6" s="1069" t="s">
        <v>398</v>
      </c>
      <c r="I6" s="3638" t="s">
        <v>694</v>
      </c>
      <c r="J6" s="301">
        <f ca="1">ROUND(M6*M8*M7*(1-M9),0)</f>
        <v>0</v>
      </c>
      <c r="K6" s="137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3"/>
      <c r="H7" s="304"/>
      <c r="I7" s="3639"/>
      <c r="J7" s="306"/>
      <c r="K7" s="307"/>
      <c r="L7" s="302" t="s">
        <v>697</v>
      </c>
      <c r="M7" s="303">
        <f ca="1">F7</f>
        <v>0</v>
      </c>
    </row>
    <row r="8" spans="1:37" ht="18" customHeight="1">
      <c r="A8" s="304"/>
      <c r="B8" s="3639"/>
      <c r="C8" s="306"/>
      <c r="D8" s="307"/>
      <c r="E8" s="302" t="s">
        <v>698</v>
      </c>
      <c r="F8" s="303">
        <f ca="1">INDIRECT("'数据-取费表'!ai"&amp;$G$1)</f>
        <v>0</v>
      </c>
      <c r="G8" s="1383"/>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3"/>
      <c r="H9" s="304"/>
      <c r="I9" s="364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IF(项目基本情况!B11="自然人","——",ROUND(F34*F35,0))</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ROUND(C29*F36,0)</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ROUND(C13*F37,0)</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ROUND(C5*F38,0)</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3417" t="s">
        <v>3354</v>
      </c>
      <c r="B45" s="1399"/>
      <c r="C45" s="1471" t="e">
        <f ca="1">ROUND((C68-C40)/10000,4)</f>
        <v>#DIV/0!</v>
      </c>
      <c r="D45" s="3418" t="s">
        <v>3355</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36" t="s">
        <v>837</v>
      </c>
      <c r="L53" s="3637"/>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87" customWidth="1"/>
    <col min="8" max="8" width="8.88671875" style="2822"/>
    <col min="9" max="9" width="8.88671875" style="2823"/>
    <col min="10" max="10" width="5.77734375" style="2988" customWidth="1"/>
    <col min="11" max="11" width="11.77734375" style="2988" customWidth="1"/>
    <col min="12" max="13" width="10.77734375" style="2988" customWidth="1"/>
    <col min="14" max="14" width="10" style="2988" customWidth="1"/>
    <col min="15" max="16" width="10.44140625" style="2988" bestFit="1" customWidth="1"/>
    <col min="17" max="17" width="10" style="2988" customWidth="1"/>
    <col min="18" max="18" width="10.109375" style="2988" customWidth="1"/>
    <col min="19" max="19" width="10" style="2988" customWidth="1"/>
    <col min="20" max="20" width="26.109375" style="2988" customWidth="1"/>
    <col min="21" max="21" width="8.88671875" style="2988"/>
    <col min="22" max="22" width="8.88671875" style="2823"/>
    <col min="23"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2" ht="21" customHeight="1">
      <c r="A1" s="2817" t="s">
        <v>2437</v>
      </c>
      <c r="B1" s="2818"/>
      <c r="C1" s="2830"/>
      <c r="D1" s="2830"/>
      <c r="E1" s="2819"/>
      <c r="F1" s="2820"/>
      <c r="G1" s="2821"/>
      <c r="J1" s="2824" t="s">
        <v>2316</v>
      </c>
      <c r="K1" s="2825"/>
      <c r="L1" s="2825"/>
      <c r="M1" s="2825"/>
      <c r="N1" s="2825"/>
      <c r="O1" s="2825"/>
      <c r="P1" s="2825"/>
      <c r="Q1" s="2825"/>
      <c r="R1" s="2826"/>
      <c r="S1" s="2827"/>
      <c r="T1" s="2827"/>
      <c r="U1" s="2827"/>
    </row>
    <row r="2" spans="1:22" s="2839" customFormat="1" ht="13.2" customHeight="1">
      <c r="A2" s="1384" t="s">
        <v>2317</v>
      </c>
      <c r="B2" s="2829" t="e">
        <f>IF(D2="——",C40,C40+E2)</f>
        <v>#DIV/0!</v>
      </c>
      <c r="C2" s="2830" t="s">
        <v>2318</v>
      </c>
      <c r="D2" s="3427" t="s">
        <v>3361</v>
      </c>
      <c r="E2" s="3428"/>
      <c r="F2" s="2832"/>
      <c r="G2" s="2833"/>
      <c r="H2" s="2834"/>
      <c r="I2" s="2835"/>
      <c r="J2" s="3647" t="s">
        <v>2319</v>
      </c>
      <c r="K2" s="3648"/>
      <c r="L2" s="2836" t="s">
        <v>2320</v>
      </c>
      <c r="M2" s="2836" t="s">
        <v>2321</v>
      </c>
      <c r="N2" s="2836" t="s">
        <v>2322</v>
      </c>
      <c r="O2" s="2836" t="s">
        <v>2323</v>
      </c>
      <c r="P2" s="2836" t="s">
        <v>2324</v>
      </c>
      <c r="Q2" s="2837" t="s">
        <v>2325</v>
      </c>
      <c r="R2" s="2838" t="s">
        <v>2326</v>
      </c>
      <c r="S2" s="2827"/>
      <c r="T2" s="2827"/>
      <c r="U2" s="2827"/>
      <c r="V2" s="2835"/>
    </row>
    <row r="3" spans="1:22" s="2839" customFormat="1" ht="13.2" customHeight="1">
      <c r="A3" s="2840" t="s">
        <v>2327</v>
      </c>
      <c r="B3" s="2841" t="e">
        <f>ROUND(B2*10000/B4,0)</f>
        <v>#DIV/0!</v>
      </c>
      <c r="C3" s="2830" t="s">
        <v>2328</v>
      </c>
      <c r="D3" s="2830"/>
      <c r="E3" s="2831"/>
      <c r="F3" s="2832"/>
      <c r="G3" s="2833"/>
      <c r="H3" s="2834"/>
      <c r="I3" s="2835"/>
      <c r="J3" s="3649" t="s">
        <v>2329</v>
      </c>
      <c r="K3" s="3650"/>
      <c r="L3" s="2842"/>
      <c r="M3" s="2842"/>
      <c r="N3" s="2842"/>
      <c r="O3" s="2842"/>
      <c r="P3" s="2842"/>
      <c r="Q3" s="2843"/>
      <c r="R3" s="2844">
        <f>SUM(L3:Q3)</f>
        <v>0</v>
      </c>
      <c r="S3" s="2827"/>
      <c r="T3" s="2827"/>
      <c r="U3" s="2827"/>
      <c r="V3" s="2835"/>
    </row>
    <row r="4" spans="1:22" s="2839" customFormat="1" ht="13.2" customHeight="1">
      <c r="A4" s="2845" t="s">
        <v>2330</v>
      </c>
      <c r="B4" s="2846"/>
      <c r="C4" s="2830"/>
      <c r="D4" s="2830"/>
      <c r="E4" s="2831"/>
      <c r="F4" s="2832"/>
      <c r="G4" s="2833"/>
      <c r="H4" s="2834"/>
      <c r="I4" s="2835"/>
      <c r="J4" s="3649" t="s">
        <v>2331</v>
      </c>
      <c r="K4" s="3650"/>
      <c r="L4" s="2847"/>
      <c r="M4" s="2847"/>
      <c r="N4" s="2847"/>
      <c r="O4" s="2847"/>
      <c r="P4" s="2847"/>
      <c r="Q4" s="2848"/>
      <c r="R4" s="2849">
        <f>SUM(L4:Q4)</f>
        <v>0</v>
      </c>
      <c r="S4" s="2827"/>
      <c r="T4" s="2827"/>
      <c r="U4" s="2827"/>
      <c r="V4" s="2835"/>
    </row>
    <row r="5" spans="1:22" s="2839" customFormat="1" ht="13.2" customHeight="1" thickBot="1">
      <c r="A5" s="2850" t="s">
        <v>2332</v>
      </c>
      <c r="B5" s="2851"/>
      <c r="C5" s="2830"/>
      <c r="D5" s="2852"/>
      <c r="E5" s="2832"/>
      <c r="F5" s="2832"/>
      <c r="G5" s="2833"/>
      <c r="H5" s="2834"/>
      <c r="I5" s="2835"/>
      <c r="J5" s="2853" t="s">
        <v>2333</v>
      </c>
      <c r="K5" s="2854"/>
      <c r="L5" s="2854"/>
      <c r="M5" s="2855"/>
      <c r="N5" s="2855"/>
      <c r="O5" s="2855"/>
      <c r="P5" s="2855"/>
      <c r="Q5" s="2855"/>
      <c r="R5" s="2838">
        <f>SUM(R14,R19,R24,R25,R27,R28)</f>
        <v>0</v>
      </c>
      <c r="S5" s="2827"/>
      <c r="T5" s="2827" t="s">
        <v>2334</v>
      </c>
      <c r="U5" s="2827" t="e">
        <f>ROUND(R5*10000/365/R3,1)</f>
        <v>#DIV/0!</v>
      </c>
      <c r="V5" s="2835"/>
    </row>
    <row r="6" spans="1:22" s="2839" customFormat="1" ht="13.2" customHeight="1" thickBot="1">
      <c r="A6" s="3655" t="s">
        <v>2335</v>
      </c>
      <c r="B6" s="3656"/>
      <c r="C6" s="3657"/>
      <c r="D6" s="2856"/>
      <c r="E6" s="2857"/>
      <c r="F6" s="2858"/>
      <c r="G6" s="2859"/>
      <c r="H6" s="2834"/>
      <c r="I6" s="2835"/>
      <c r="J6" s="3641">
        <v>1</v>
      </c>
      <c r="K6" s="3642" t="s">
        <v>2336</v>
      </c>
      <c r="L6" s="2860" t="s">
        <v>2337</v>
      </c>
      <c r="M6" s="2861" t="s">
        <v>2338</v>
      </c>
      <c r="N6" s="2861" t="s">
        <v>2339</v>
      </c>
      <c r="O6" s="2861" t="s">
        <v>2340</v>
      </c>
      <c r="P6" s="2861" t="s">
        <v>2341</v>
      </c>
      <c r="Q6" s="2861" t="s">
        <v>2342</v>
      </c>
      <c r="R6" s="2844" t="s">
        <v>2343</v>
      </c>
      <c r="S6" s="2827"/>
      <c r="T6" s="2827" t="s">
        <v>2344</v>
      </c>
      <c r="U6" s="2827"/>
      <c r="V6" s="2835"/>
    </row>
    <row r="7" spans="1:22" s="2839" customFormat="1" ht="13.2" customHeight="1">
      <c r="A7" s="2862" t="s">
        <v>2345</v>
      </c>
      <c r="B7" s="2863"/>
      <c r="C7" s="2864"/>
      <c r="D7" s="2865">
        <f>SUM(D9,D10,D11,D17,0)</f>
        <v>0</v>
      </c>
      <c r="E7" s="2866" t="e">
        <f>E9+E10+E11+E17</f>
        <v>#DIV/0!</v>
      </c>
      <c r="F7" s="2867"/>
      <c r="G7" s="2868"/>
      <c r="H7" s="2834"/>
      <c r="I7" s="2835"/>
      <c r="J7" s="3641"/>
      <c r="K7" s="3643"/>
      <c r="L7" s="2869" t="s">
        <v>2346</v>
      </c>
      <c r="M7" s="2870"/>
      <c r="N7" s="2846"/>
      <c r="O7" s="2871"/>
      <c r="P7" s="2871"/>
      <c r="Q7" s="2872">
        <v>365</v>
      </c>
      <c r="R7" s="2873">
        <f>ROUND(M7*N7*O7*P7*Q7/10000,0)</f>
        <v>0</v>
      </c>
      <c r="S7" s="2827"/>
      <c r="T7" s="2827" t="s">
        <v>2347</v>
      </c>
      <c r="U7" s="2827"/>
      <c r="V7" s="2835"/>
    </row>
    <row r="8" spans="1:22" s="2839" customFormat="1" ht="13.2" customHeight="1">
      <c r="A8" s="2874" t="s">
        <v>2348</v>
      </c>
      <c r="B8" s="3658" t="s">
        <v>2349</v>
      </c>
      <c r="C8" s="3659"/>
      <c r="D8" s="2875" t="s">
        <v>2350</v>
      </c>
      <c r="E8" s="2876" t="s">
        <v>2351</v>
      </c>
      <c r="F8" s="2877" t="s">
        <v>2352</v>
      </c>
      <c r="G8" s="2878"/>
      <c r="H8" s="2834"/>
      <c r="I8" s="2835"/>
      <c r="J8" s="3641"/>
      <c r="K8" s="3643"/>
      <c r="L8" s="2869" t="s">
        <v>2353</v>
      </c>
      <c r="M8" s="2870"/>
      <c r="N8" s="2846"/>
      <c r="O8" s="2871"/>
      <c r="P8" s="2871"/>
      <c r="Q8" s="2872">
        <v>365</v>
      </c>
      <c r="R8" s="2873">
        <f t="shared" ref="R8:R13" si="0">ROUND(M8*N8*O8*P8*Q8/10000,0)</f>
        <v>0</v>
      </c>
      <c r="S8" s="2827"/>
      <c r="T8" s="2827" t="s">
        <v>2354</v>
      </c>
      <c r="U8" s="2827"/>
      <c r="V8" s="2835"/>
    </row>
    <row r="9" spans="1:22" s="2839" customFormat="1" ht="13.2" customHeight="1">
      <c r="A9" s="2874">
        <v>1</v>
      </c>
      <c r="B9" s="3658" t="s">
        <v>2355</v>
      </c>
      <c r="C9" s="3659"/>
      <c r="D9" s="2875">
        <f>ROUND(D6*E9,0)</f>
        <v>0</v>
      </c>
      <c r="E9" s="2879"/>
      <c r="F9" s="2880" t="s">
        <v>2356</v>
      </c>
      <c r="G9" s="2859"/>
      <c r="H9" s="2834"/>
      <c r="I9" s="2835"/>
      <c r="J9" s="3641"/>
      <c r="K9" s="3643"/>
      <c r="L9" s="2869" t="s">
        <v>2357</v>
      </c>
      <c r="M9" s="2870"/>
      <c r="N9" s="2846"/>
      <c r="O9" s="2871"/>
      <c r="P9" s="2871"/>
      <c r="Q9" s="2872">
        <v>365</v>
      </c>
      <c r="R9" s="2873">
        <f t="shared" si="0"/>
        <v>0</v>
      </c>
      <c r="S9" s="2827"/>
      <c r="T9" s="2827"/>
      <c r="U9" s="2827"/>
      <c r="V9" s="2835"/>
    </row>
    <row r="10" spans="1:22" s="2839" customFormat="1" ht="13.2" customHeight="1">
      <c r="A10" s="2874">
        <v>2</v>
      </c>
      <c r="B10" s="3658" t="s">
        <v>2358</v>
      </c>
      <c r="C10" s="3659"/>
      <c r="D10" s="2875">
        <f>ROUND(D6*E10,0)</f>
        <v>0</v>
      </c>
      <c r="E10" s="2879"/>
      <c r="F10" s="2880" t="s">
        <v>2359</v>
      </c>
      <c r="G10" s="2859"/>
      <c r="H10" s="2834"/>
      <c r="I10" s="2835"/>
      <c r="J10" s="3641"/>
      <c r="K10" s="3643"/>
      <c r="L10" s="2869" t="s">
        <v>2360</v>
      </c>
      <c r="M10" s="2870"/>
      <c r="N10" s="2846"/>
      <c r="O10" s="2871"/>
      <c r="P10" s="2871"/>
      <c r="Q10" s="2872">
        <v>365</v>
      </c>
      <c r="R10" s="2873">
        <f t="shared" si="0"/>
        <v>0</v>
      </c>
      <c r="S10" s="2827"/>
      <c r="T10" s="2827"/>
      <c r="U10" s="2827"/>
      <c r="V10" s="2835"/>
    </row>
    <row r="11" spans="1:22" s="2839" customFormat="1" ht="13.2" customHeight="1">
      <c r="A11" s="2874">
        <v>3</v>
      </c>
      <c r="B11" s="3658" t="s">
        <v>2361</v>
      </c>
      <c r="C11" s="3659"/>
      <c r="D11" s="2875">
        <f>D12+D14+D15+D16</f>
        <v>0</v>
      </c>
      <c r="E11" s="2881" t="e">
        <f>D11/D6</f>
        <v>#DIV/0!</v>
      </c>
      <c r="F11" s="2877"/>
      <c r="G11" s="2878"/>
      <c r="H11" s="2834"/>
      <c r="I11" s="2835"/>
      <c r="J11" s="3641"/>
      <c r="K11" s="3643"/>
      <c r="L11" s="2869" t="s">
        <v>2362</v>
      </c>
      <c r="M11" s="2870"/>
      <c r="N11" s="2846"/>
      <c r="O11" s="2871"/>
      <c r="P11" s="2871"/>
      <c r="Q11" s="2872">
        <v>365</v>
      </c>
      <c r="R11" s="2873">
        <f t="shared" si="0"/>
        <v>0</v>
      </c>
      <c r="S11" s="2827"/>
      <c r="T11" s="2827"/>
      <c r="U11" s="2827"/>
      <c r="V11" s="2835"/>
    </row>
    <row r="12" spans="1:22" s="2839" customFormat="1" ht="13.2" customHeight="1">
      <c r="A12" s="2882" t="s">
        <v>2363</v>
      </c>
      <c r="B12" s="3651" t="s">
        <v>2364</v>
      </c>
      <c r="C12" s="3652"/>
      <c r="D12" s="2883">
        <f>ROUND(D13*1.2%*(1-30%),0)</f>
        <v>0</v>
      </c>
      <c r="E12" s="2884">
        <v>1.2E-2</v>
      </c>
      <c r="F12" s="2877" t="s">
        <v>2365</v>
      </c>
      <c r="G12" s="2878"/>
      <c r="H12" s="2834"/>
      <c r="I12" s="2835"/>
      <c r="J12" s="3641"/>
      <c r="K12" s="3643"/>
      <c r="L12" s="2869" t="s">
        <v>2366</v>
      </c>
      <c r="M12" s="2870"/>
      <c r="N12" s="2846"/>
      <c r="O12" s="2871"/>
      <c r="P12" s="2871"/>
      <c r="Q12" s="2872">
        <v>365</v>
      </c>
      <c r="R12" s="2873">
        <f t="shared" si="0"/>
        <v>0</v>
      </c>
      <c r="S12" s="2827"/>
      <c r="T12" s="2827"/>
      <c r="U12" s="2827"/>
      <c r="V12" s="2835"/>
    </row>
    <row r="13" spans="1:22" s="2839" customFormat="1" ht="13.2" customHeight="1">
      <c r="A13" s="2882"/>
      <c r="B13" s="2885"/>
      <c r="C13" s="2886" t="s">
        <v>2367</v>
      </c>
      <c r="D13" s="2887"/>
      <c r="E13" s="2888"/>
      <c r="F13" s="2877"/>
      <c r="G13" s="2878"/>
      <c r="H13" s="2834"/>
      <c r="I13" s="2835"/>
      <c r="J13" s="3641"/>
      <c r="K13" s="3643"/>
      <c r="L13" s="2869" t="s">
        <v>2368</v>
      </c>
      <c r="M13" s="2870"/>
      <c r="N13" s="2846"/>
      <c r="O13" s="2871"/>
      <c r="P13" s="2871"/>
      <c r="Q13" s="2872">
        <v>365</v>
      </c>
      <c r="R13" s="2873">
        <f t="shared" si="0"/>
        <v>0</v>
      </c>
      <c r="S13" s="2827"/>
      <c r="T13" s="2827"/>
      <c r="U13" s="2827"/>
      <c r="V13" s="2835"/>
    </row>
    <row r="14" spans="1:22" s="2839" customFormat="1" ht="13.2" customHeight="1">
      <c r="A14" s="2882" t="s">
        <v>2369</v>
      </c>
      <c r="B14" s="3651" t="s">
        <v>2370</v>
      </c>
      <c r="C14" s="3652"/>
      <c r="D14" s="2883">
        <f>ROUND(E14*B5/10000,0)</f>
        <v>0</v>
      </c>
      <c r="E14" s="2872"/>
      <c r="F14" s="2877" t="s">
        <v>2371</v>
      </c>
      <c r="G14" s="2878"/>
      <c r="H14" s="2834"/>
      <c r="I14" s="2835"/>
      <c r="J14" s="3641"/>
      <c r="K14" s="3644"/>
      <c r="L14" s="2889" t="s">
        <v>2372</v>
      </c>
      <c r="M14" s="2890">
        <f>SUM(M7:M13)</f>
        <v>0</v>
      </c>
      <c r="N14" s="2890" t="e">
        <f>ROUND((N7*M7+N8*M8+N9*M9+N10*M10+N11*M11+N12*M12+N13*M13)/M14,0)</f>
        <v>#DIV/0!</v>
      </c>
      <c r="O14" s="2891"/>
      <c r="P14" s="2891"/>
      <c r="Q14" s="2892"/>
      <c r="R14" s="2838">
        <f>SUM(R7:R13)</f>
        <v>0</v>
      </c>
      <c r="S14" s="2827"/>
      <c r="T14" s="2827"/>
      <c r="U14" s="2827"/>
      <c r="V14" s="2835"/>
    </row>
    <row r="15" spans="1:22" s="2839" customFormat="1" ht="13.2" customHeight="1">
      <c r="A15" s="2882" t="s">
        <v>2373</v>
      </c>
      <c r="B15" s="3651" t="s">
        <v>2374</v>
      </c>
      <c r="C15" s="3652"/>
      <c r="D15" s="2883">
        <f>ROUND(D6*E15,0)</f>
        <v>0</v>
      </c>
      <c r="E15" s="2884">
        <v>5.5E-2</v>
      </c>
      <c r="F15" s="2877" t="s">
        <v>2375</v>
      </c>
      <c r="G15" s="2859"/>
      <c r="H15" s="2834"/>
      <c r="I15" s="2835"/>
      <c r="J15" s="3641">
        <v>2</v>
      </c>
      <c r="K15" s="3642" t="s">
        <v>2376</v>
      </c>
      <c r="L15" s="2869" t="s">
        <v>2377</v>
      </c>
      <c r="M15" s="2870" t="s">
        <v>2378</v>
      </c>
      <c r="N15" s="2870" t="s">
        <v>2379</v>
      </c>
      <c r="O15" s="2871" t="s">
        <v>2380</v>
      </c>
      <c r="P15" s="2871" t="s">
        <v>2342</v>
      </c>
      <c r="Q15" s="2846" t="s">
        <v>2381</v>
      </c>
      <c r="R15" s="2893" t="s">
        <v>2343</v>
      </c>
      <c r="S15" s="2827"/>
      <c r="T15" s="2827"/>
      <c r="U15" s="2827"/>
      <c r="V15" s="2835"/>
    </row>
    <row r="16" spans="1:22" s="2839" customFormat="1" ht="13.2" customHeight="1">
      <c r="A16" s="2882" t="s">
        <v>2382</v>
      </c>
      <c r="B16" s="3651" t="s">
        <v>2383</v>
      </c>
      <c r="C16" s="3652"/>
      <c r="D16" s="2894">
        <f>D6*E16</f>
        <v>0</v>
      </c>
      <c r="E16" s="2895"/>
      <c r="F16" s="2880" t="s">
        <v>2384</v>
      </c>
      <c r="G16" s="2859"/>
      <c r="H16" s="2834"/>
      <c r="I16" s="2835"/>
      <c r="J16" s="3641"/>
      <c r="K16" s="3643"/>
      <c r="L16" s="2869" t="s">
        <v>2385</v>
      </c>
      <c r="M16" s="2870"/>
      <c r="N16" s="2870"/>
      <c r="O16" s="2871"/>
      <c r="P16" s="2872">
        <v>365</v>
      </c>
      <c r="Q16" s="2846"/>
      <c r="R16" s="2893">
        <f>ROUND(M16*N16*O16*P16/10000,0)</f>
        <v>0</v>
      </c>
      <c r="S16" s="2827"/>
      <c r="T16" s="2827"/>
      <c r="U16" s="2827"/>
      <c r="V16" s="2835"/>
    </row>
    <row r="17" spans="1:22" s="2839" customFormat="1" ht="13.2" customHeight="1" thickBot="1">
      <c r="A17" s="2896">
        <v>4</v>
      </c>
      <c r="B17" s="3653" t="s">
        <v>2386</v>
      </c>
      <c r="C17" s="3654"/>
      <c r="D17" s="2897">
        <f>ROUND(D6*E17,0)</f>
        <v>0</v>
      </c>
      <c r="E17" s="2898"/>
      <c r="F17" s="2899" t="s">
        <v>2387</v>
      </c>
      <c r="G17" s="2859"/>
      <c r="H17" s="2834"/>
      <c r="I17" s="2835"/>
      <c r="J17" s="3641"/>
      <c r="K17" s="3643"/>
      <c r="L17" s="2869" t="s">
        <v>2388</v>
      </c>
      <c r="M17" s="2870"/>
      <c r="N17" s="2870"/>
      <c r="O17" s="2871"/>
      <c r="P17" s="2872">
        <v>365</v>
      </c>
      <c r="Q17" s="2846"/>
      <c r="R17" s="2893">
        <f>ROUND(M17*N17*O17*P17/10000,0)</f>
        <v>0</v>
      </c>
      <c r="S17" s="2827"/>
      <c r="T17" s="2827"/>
      <c r="U17" s="2827"/>
      <c r="V17" s="2835"/>
    </row>
    <row r="18" spans="1:22" s="2839" customFormat="1" ht="13.2" customHeight="1" thickBot="1">
      <c r="A18" s="2862" t="s">
        <v>2389</v>
      </c>
      <c r="B18" s="2863"/>
      <c r="C18" s="2863"/>
      <c r="D18" s="2900">
        <f>ROUND(D6*E18,0)</f>
        <v>0</v>
      </c>
      <c r="E18" s="2901"/>
      <c r="F18" s="2902" t="s">
        <v>2390</v>
      </c>
      <c r="G18" s="2859"/>
      <c r="H18" s="2834"/>
      <c r="I18" s="2835"/>
      <c r="J18" s="3641"/>
      <c r="K18" s="3643"/>
      <c r="L18" s="2869" t="s">
        <v>2391</v>
      </c>
      <c r="M18" s="2870"/>
      <c r="N18" s="2870"/>
      <c r="O18" s="2871"/>
      <c r="P18" s="2872">
        <v>365</v>
      </c>
      <c r="Q18" s="2846"/>
      <c r="R18" s="2893">
        <f>ROUND(M18*N18*O18*P18/10000,0)</f>
        <v>0</v>
      </c>
      <c r="S18" s="2827"/>
      <c r="T18" s="2827"/>
      <c r="U18" s="2827"/>
      <c r="V18" s="2835"/>
    </row>
    <row r="19" spans="1:22" s="2839" customFormat="1" ht="13.2" customHeight="1" thickBot="1">
      <c r="A19" s="2903" t="s">
        <v>2392</v>
      </c>
      <c r="B19" s="2857"/>
      <c r="C19" s="2857"/>
      <c r="D19" s="2857"/>
      <c r="E19" s="2857"/>
      <c r="F19" s="2858"/>
      <c r="G19" s="2878"/>
      <c r="H19" s="2834"/>
      <c r="I19" s="2835"/>
      <c r="J19" s="3641"/>
      <c r="K19" s="3644"/>
      <c r="L19" s="2889" t="s">
        <v>2372</v>
      </c>
      <c r="M19" s="2890"/>
      <c r="N19" s="2890">
        <f>SUM(N16:N18)</f>
        <v>0</v>
      </c>
      <c r="O19" s="2891"/>
      <c r="P19" s="2904" t="s">
        <v>2436</v>
      </c>
      <c r="Q19" s="2871">
        <v>0</v>
      </c>
      <c r="R19" s="2905">
        <f>ROUND(IF(P19="按比例",R14*Q19,SUM(R16:R18)),0)</f>
        <v>0</v>
      </c>
      <c r="S19" s="2827"/>
      <c r="T19" s="2827"/>
      <c r="U19" s="2827"/>
      <c r="V19" s="2835"/>
    </row>
    <row r="20" spans="1:22" s="2839" customFormat="1" ht="13.2" customHeight="1">
      <c r="A20" s="2862"/>
      <c r="B20" s="2863"/>
      <c r="C20" s="2863"/>
      <c r="D20" s="2863"/>
      <c r="E20" s="2863"/>
      <c r="F20" s="2906"/>
      <c r="G20" s="2878"/>
      <c r="H20" s="2834"/>
      <c r="I20" s="2835"/>
      <c r="J20" s="3641">
        <v>3</v>
      </c>
      <c r="K20" s="3642" t="s">
        <v>2393</v>
      </c>
      <c r="L20" s="2869" t="s">
        <v>2394</v>
      </c>
      <c r="M20" s="2870" t="s">
        <v>2395</v>
      </c>
      <c r="N20" s="2907" t="s">
        <v>2396</v>
      </c>
      <c r="O20" s="2871" t="s">
        <v>2397</v>
      </c>
      <c r="P20" s="2872" t="s">
        <v>2398</v>
      </c>
      <c r="Q20" s="2846" t="s">
        <v>2399</v>
      </c>
      <c r="R20" s="2893" t="s">
        <v>2400</v>
      </c>
      <c r="S20" s="2908"/>
      <c r="T20" s="2908"/>
      <c r="U20" s="2908"/>
      <c r="V20" s="2835"/>
    </row>
    <row r="21" spans="1:22" s="2839" customFormat="1" ht="13.2" customHeight="1">
      <c r="A21" s="2862"/>
      <c r="B21" s="2863"/>
      <c r="C21" s="2909" t="s">
        <v>2401</v>
      </c>
      <c r="D21" s="2910" t="s">
        <v>2402</v>
      </c>
      <c r="E21" s="2911" t="s">
        <v>2403</v>
      </c>
      <c r="F21" s="2906"/>
      <c r="G21" s="2878"/>
      <c r="H21" s="2834"/>
      <c r="I21" s="2835"/>
      <c r="J21" s="3641"/>
      <c r="K21" s="3643"/>
      <c r="L21" s="2869" t="s">
        <v>2404</v>
      </c>
      <c r="M21" s="2870"/>
      <c r="N21" s="2870"/>
      <c r="O21" s="2871"/>
      <c r="P21" s="2872">
        <v>365</v>
      </c>
      <c r="Q21" s="2846"/>
      <c r="R21" s="2912">
        <f>ROUND(M21*N21*O21*P21/10000,0)</f>
        <v>0</v>
      </c>
      <c r="S21" s="2908"/>
      <c r="T21" s="2908"/>
      <c r="U21" s="2908"/>
      <c r="V21" s="2835"/>
    </row>
    <row r="22" spans="1:22" s="2839" customFormat="1" ht="13.2" customHeight="1">
      <c r="A22" s="2862"/>
      <c r="B22" s="2863"/>
      <c r="C22" s="2913" t="s">
        <v>2405</v>
      </c>
      <c r="D22" s="2914" t="s">
        <v>2406</v>
      </c>
      <c r="E22" s="2915" t="s">
        <v>2407</v>
      </c>
      <c r="F22" s="2906"/>
      <c r="G22" s="2916"/>
      <c r="H22" s="2834"/>
      <c r="I22" s="2835"/>
      <c r="J22" s="3641"/>
      <c r="K22" s="3643"/>
      <c r="L22" s="2869" t="s">
        <v>2408</v>
      </c>
      <c r="M22" s="2870"/>
      <c r="N22" s="2870"/>
      <c r="O22" s="2871"/>
      <c r="P22" s="2872">
        <v>365</v>
      </c>
      <c r="Q22" s="2846"/>
      <c r="R22" s="2912">
        <f>ROUND(M22*N22*O22*P22/10000,0)</f>
        <v>0</v>
      </c>
      <c r="S22" s="2908"/>
      <c r="T22" s="2908"/>
      <c r="U22" s="2908"/>
      <c r="V22" s="2835"/>
    </row>
    <row r="23" spans="1:22" s="2839" customFormat="1" ht="13.2" customHeight="1">
      <c r="A23" s="2917">
        <v>1</v>
      </c>
      <c r="B23" s="2918" t="s">
        <v>2409</v>
      </c>
      <c r="C23" s="2919">
        <f>D6</f>
        <v>0</v>
      </c>
      <c r="D23" s="2920">
        <f>C23*(1+D24)</f>
        <v>0</v>
      </c>
      <c r="E23" s="2921">
        <f>D23*(1+E24)</f>
        <v>0</v>
      </c>
      <c r="F23" s="2922"/>
      <c r="G23" s="2923"/>
      <c r="H23" s="2834"/>
      <c r="I23" s="2835"/>
      <c r="J23" s="3641"/>
      <c r="K23" s="3643"/>
      <c r="L23" s="2869" t="s">
        <v>2410</v>
      </c>
      <c r="M23" s="2870"/>
      <c r="N23" s="2870"/>
      <c r="O23" s="2871"/>
      <c r="P23" s="2872">
        <v>365</v>
      </c>
      <c r="Q23" s="2846"/>
      <c r="R23" s="2912">
        <f>ROUND(M23*N23*O23*P23/10000,0)</f>
        <v>0</v>
      </c>
      <c r="S23" s="2827"/>
      <c r="T23" s="2827"/>
      <c r="U23" s="2827"/>
      <c r="V23" s="2835"/>
    </row>
    <row r="24" spans="1:22" s="2839" customFormat="1" ht="13.2" customHeight="1">
      <c r="A24" s="2924"/>
      <c r="B24" s="2925" t="s">
        <v>2411</v>
      </c>
      <c r="C24" s="2926"/>
      <c r="D24" s="2927"/>
      <c r="E24" s="2928"/>
      <c r="F24" s="2929"/>
      <c r="G24" s="2923"/>
      <c r="H24" s="2834"/>
      <c r="I24" s="2835"/>
      <c r="J24" s="3641"/>
      <c r="K24" s="3644"/>
      <c r="L24" s="2889" t="s">
        <v>2372</v>
      </c>
      <c r="M24" s="2890">
        <f>SUM(M21:M23)</f>
        <v>0</v>
      </c>
      <c r="N24" s="2890"/>
      <c r="O24" s="2891"/>
      <c r="P24" s="2904" t="s">
        <v>2436</v>
      </c>
      <c r="Q24" s="2871">
        <v>0</v>
      </c>
      <c r="R24" s="2905">
        <f>ROUND(IF(P24="按比例",R14*Q24,SUM(R21:R23)),0)</f>
        <v>0</v>
      </c>
      <c r="S24" s="2827"/>
      <c r="T24" s="2827"/>
      <c r="U24" s="2827"/>
      <c r="V24" s="2835"/>
    </row>
    <row r="25" spans="1:22" s="2936" customFormat="1" ht="13.2" customHeight="1">
      <c r="A25" s="2924"/>
      <c r="B25" s="2925"/>
      <c r="C25" s="2926"/>
      <c r="D25" s="2927"/>
      <c r="E25" s="2928"/>
      <c r="F25" s="2929"/>
      <c r="G25" s="2916"/>
      <c r="H25" s="2834"/>
      <c r="I25" s="2835"/>
      <c r="J25" s="2930">
        <v>4</v>
      </c>
      <c r="K25" s="2931" t="s">
        <v>2412</v>
      </c>
      <c r="L25" s="2932"/>
      <c r="M25" s="2932"/>
      <c r="N25" s="2932"/>
      <c r="O25" s="2932"/>
      <c r="P25" s="2933"/>
      <c r="Q25" s="2934">
        <v>0</v>
      </c>
      <c r="R25" s="2905">
        <f>ROUND(R14*Q25,0)</f>
        <v>0</v>
      </c>
      <c r="S25" s="2827"/>
      <c r="T25" s="2827"/>
      <c r="U25" s="2827"/>
      <c r="V25" s="2935"/>
    </row>
    <row r="26" spans="1:22" s="2936" customFormat="1" ht="13.2" customHeight="1">
      <c r="A26" s="2917">
        <v>2</v>
      </c>
      <c r="B26" s="2918" t="s">
        <v>2413</v>
      </c>
      <c r="C26" s="2919">
        <f>D7</f>
        <v>0</v>
      </c>
      <c r="D26" s="2920">
        <f>D23*D27</f>
        <v>0</v>
      </c>
      <c r="E26" s="2921">
        <f>E23*E27</f>
        <v>0</v>
      </c>
      <c r="F26" s="2922"/>
      <c r="G26" s="2923"/>
      <c r="H26" s="2834"/>
      <c r="I26" s="2835"/>
      <c r="J26" s="3645">
        <v>5</v>
      </c>
      <c r="K26" s="2937" t="s">
        <v>2414</v>
      </c>
      <c r="L26" s="2938"/>
      <c r="M26" s="2939"/>
      <c r="N26" s="2940" t="s">
        <v>2415</v>
      </c>
      <c r="O26" s="2940" t="s">
        <v>2416</v>
      </c>
      <c r="P26" s="2941" t="s">
        <v>2417</v>
      </c>
      <c r="Q26" s="2941" t="s">
        <v>2418</v>
      </c>
      <c r="R26" s="2844" t="s">
        <v>2343</v>
      </c>
      <c r="S26" s="2942"/>
      <c r="T26" s="2942"/>
      <c r="U26" s="2942"/>
      <c r="V26" s="2935"/>
    </row>
    <row r="27" spans="1:22" s="2839" customFormat="1" ht="13.2" customHeight="1">
      <c r="A27" s="2924"/>
      <c r="B27" s="2925" t="s">
        <v>2419</v>
      </c>
      <c r="C27" s="2943" t="e">
        <f>E7</f>
        <v>#DIV/0!</v>
      </c>
      <c r="D27" s="2927"/>
      <c r="E27" s="2928"/>
      <c r="F27" s="2929"/>
      <c r="G27" s="2923"/>
      <c r="H27" s="2944"/>
      <c r="I27" s="2935"/>
      <c r="J27" s="3646"/>
      <c r="K27" s="2945"/>
      <c r="L27" s="2946"/>
      <c r="M27" s="2947"/>
      <c r="N27" s="2948"/>
      <c r="O27" s="2948"/>
      <c r="P27" s="2948"/>
      <c r="Q27" s="2949"/>
      <c r="R27" s="2905">
        <f>ROUND(O27*N27*P27*(1-Q27)/10000,0)</f>
        <v>0</v>
      </c>
      <c r="S27" s="2827"/>
      <c r="T27" s="2827"/>
      <c r="U27" s="2827"/>
      <c r="V27" s="2835"/>
    </row>
    <row r="28" spans="1:22" s="2936" customFormat="1" ht="13.2" customHeight="1" thickBot="1">
      <c r="A28" s="2924"/>
      <c r="B28" s="2925"/>
      <c r="C28" s="2943"/>
      <c r="D28" s="2927"/>
      <c r="E28" s="2928" t="s">
        <v>2420</v>
      </c>
      <c r="F28" s="2929"/>
      <c r="G28" s="2916"/>
      <c r="H28" s="2944"/>
      <c r="I28" s="2935"/>
      <c r="J28" s="2950">
        <v>6</v>
      </c>
      <c r="K28" s="2951" t="s">
        <v>2421</v>
      </c>
      <c r="L28" s="2952" t="s">
        <v>2422</v>
      </c>
      <c r="M28" s="2953"/>
      <c r="N28" s="2952" t="s">
        <v>2423</v>
      </c>
      <c r="O28" s="2954"/>
      <c r="P28" s="2952" t="s">
        <v>2424</v>
      </c>
      <c r="Q28" s="2955">
        <v>1.4999999999999999E-2</v>
      </c>
      <c r="R28" s="2956"/>
      <c r="S28" s="2908"/>
      <c r="T28" s="2908"/>
      <c r="U28" s="2908"/>
      <c r="V28" s="2935"/>
    </row>
    <row r="29" spans="1:22" s="2936" customFormat="1" ht="13.2" customHeight="1">
      <c r="A29" s="2917">
        <v>3</v>
      </c>
      <c r="B29" s="2918" t="s">
        <v>2425</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2" customHeight="1" thickBot="1">
      <c r="A30" s="2924"/>
      <c r="B30" s="2925" t="s">
        <v>2419</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2" customHeight="1">
      <c r="A31" s="2924"/>
      <c r="B31" s="2925"/>
      <c r="C31" s="2958"/>
      <c r="D31" s="2957"/>
      <c r="E31" s="2888"/>
      <c r="F31" s="2929"/>
      <c r="G31" s="2916"/>
      <c r="H31" s="2944"/>
      <c r="I31" s="2935"/>
      <c r="J31" s="2824" t="s">
        <v>2426</v>
      </c>
      <c r="K31" s="2825"/>
      <c r="L31" s="2825"/>
      <c r="M31" s="2825"/>
      <c r="N31" s="2825"/>
      <c r="O31" s="2825"/>
      <c r="P31" s="2825"/>
      <c r="Q31" s="2825"/>
      <c r="R31" s="2826"/>
      <c r="S31" s="2908"/>
      <c r="T31" s="2827"/>
      <c r="U31" s="2827"/>
      <c r="V31" s="2935"/>
    </row>
    <row r="32" spans="1:22" s="2936" customFormat="1" ht="13.2" customHeight="1">
      <c r="A32" s="2917">
        <v>4</v>
      </c>
      <c r="B32" s="2918" t="s">
        <v>2427</v>
      </c>
      <c r="C32" s="2919">
        <f>C23-C26-C29</f>
        <v>0</v>
      </c>
      <c r="D32" s="2920">
        <f>D23-D26-D29</f>
        <v>0</v>
      </c>
      <c r="E32" s="2921">
        <f>E23-E26-E29</f>
        <v>0</v>
      </c>
      <c r="F32" s="2922"/>
      <c r="G32" s="2916"/>
      <c r="H32" s="2834"/>
      <c r="I32" s="2835"/>
      <c r="J32" s="3647" t="s">
        <v>2319</v>
      </c>
      <c r="K32" s="3648"/>
      <c r="L32" s="2836" t="s">
        <v>2320</v>
      </c>
      <c r="M32" s="2836" t="s">
        <v>2321</v>
      </c>
      <c r="N32" s="2836" t="s">
        <v>2322</v>
      </c>
      <c r="O32" s="2836" t="s">
        <v>2323</v>
      </c>
      <c r="P32" s="2836" t="s">
        <v>2324</v>
      </c>
      <c r="Q32" s="2837" t="s">
        <v>2325</v>
      </c>
      <c r="R32" s="2959" t="s">
        <v>2326</v>
      </c>
      <c r="S32" s="2908"/>
      <c r="T32" s="2827"/>
      <c r="U32" s="2827"/>
      <c r="V32" s="2935"/>
    </row>
    <row r="33" spans="1:23" s="2839" customFormat="1" ht="13.2" customHeight="1">
      <c r="A33" s="2917"/>
      <c r="B33" s="2918"/>
      <c r="C33" s="2919"/>
      <c r="D33" s="2960"/>
      <c r="E33" s="2961"/>
      <c r="F33" s="2922"/>
      <c r="G33" s="2916"/>
      <c r="H33" s="2944"/>
      <c r="I33" s="2935"/>
      <c r="J33" s="3649" t="s">
        <v>2329</v>
      </c>
      <c r="K33" s="3650"/>
      <c r="L33" s="2842"/>
      <c r="M33" s="2842"/>
      <c r="N33" s="2842"/>
      <c r="O33" s="2842"/>
      <c r="P33" s="2842"/>
      <c r="Q33" s="2843"/>
      <c r="R33" s="2962">
        <f>SUM(L33:Q33)</f>
        <v>0</v>
      </c>
      <c r="S33" s="2908"/>
      <c r="T33" s="2827"/>
      <c r="U33" s="2827"/>
      <c r="V33" s="2835"/>
    </row>
    <row r="34" spans="1:23" s="2839" customFormat="1" ht="13.2" customHeight="1">
      <c r="A34" s="2917">
        <v>5</v>
      </c>
      <c r="B34" s="2918" t="s">
        <v>2428</v>
      </c>
      <c r="C34" s="2963"/>
      <c r="D34" s="2964"/>
      <c r="E34" s="2965"/>
      <c r="F34" s="2922"/>
      <c r="G34" s="2916"/>
      <c r="H34" s="2944"/>
      <c r="I34" s="2935"/>
      <c r="J34" s="3649" t="s">
        <v>2331</v>
      </c>
      <c r="K34" s="3650"/>
      <c r="L34" s="2847"/>
      <c r="M34" s="2847"/>
      <c r="N34" s="2847"/>
      <c r="O34" s="2847"/>
      <c r="P34" s="2847"/>
      <c r="Q34" s="2848"/>
      <c r="R34" s="2966">
        <f>SUM(L34:Q34)</f>
        <v>0</v>
      </c>
      <c r="S34" s="2908"/>
      <c r="T34" s="2827"/>
      <c r="U34" s="2827" t="e">
        <f>ROUND(R35*10000/365/R33,1)</f>
        <v>#DIV/0!</v>
      </c>
      <c r="V34" s="2835"/>
    </row>
    <row r="35" spans="1:23" s="2839" customFormat="1" ht="13.2" customHeight="1">
      <c r="A35" s="2917">
        <v>6</v>
      </c>
      <c r="B35" s="2918" t="s">
        <v>2429</v>
      </c>
      <c r="C35" s="2967"/>
      <c r="D35" s="2968"/>
      <c r="E35" s="2969"/>
      <c r="F35" s="2922"/>
      <c r="G35" s="2970"/>
      <c r="H35" s="2834"/>
      <c r="I35" s="2935"/>
      <c r="J35" s="2853" t="s">
        <v>2333</v>
      </c>
      <c r="K35" s="2854"/>
      <c r="L35" s="2854"/>
      <c r="M35" s="2855"/>
      <c r="N35" s="2855"/>
      <c r="O35" s="2855"/>
      <c r="P35" s="2855"/>
      <c r="Q35" s="2855"/>
      <c r="R35" s="2971">
        <f>R40+R41+R43</f>
        <v>0</v>
      </c>
      <c r="S35" s="2908"/>
      <c r="T35" s="2827" t="s">
        <v>2334</v>
      </c>
      <c r="U35" s="2827"/>
      <c r="V35" s="2835"/>
    </row>
    <row r="36" spans="1:23" s="2839" customFormat="1" ht="13.2" customHeight="1" thickBot="1">
      <c r="A36" s="2917">
        <v>7</v>
      </c>
      <c r="B36" s="2972" t="s">
        <v>2430</v>
      </c>
      <c r="C36" s="2973"/>
      <c r="D36" s="2974"/>
      <c r="E36" s="2975"/>
      <c r="F36" s="2976">
        <f>C36+D36+E36</f>
        <v>0</v>
      </c>
      <c r="G36" s="2916"/>
      <c r="H36" s="2834"/>
      <c r="I36" s="2835"/>
      <c r="J36" s="3641">
        <v>1</v>
      </c>
      <c r="K36" s="3642" t="s">
        <v>2431</v>
      </c>
      <c r="L36" s="2860"/>
      <c r="M36" s="2861"/>
      <c r="N36" s="2861"/>
      <c r="O36" s="2861"/>
      <c r="P36" s="2861"/>
      <c r="Q36" s="2861"/>
      <c r="R36" s="2844" t="s">
        <v>2343</v>
      </c>
      <c r="S36" s="2908"/>
      <c r="T36" s="2827" t="s">
        <v>2344</v>
      </c>
      <c r="U36" s="2827"/>
      <c r="V36" s="2835"/>
    </row>
    <row r="37" spans="1:23" s="2839" customFormat="1" ht="13.2" customHeight="1">
      <c r="A37" s="2917"/>
      <c r="B37" s="2918"/>
      <c r="C37" s="2918"/>
      <c r="D37" s="2918"/>
      <c r="E37" s="2918"/>
      <c r="F37" s="2922"/>
      <c r="G37" s="2916"/>
      <c r="H37" s="2834"/>
      <c r="I37" s="2835"/>
      <c r="J37" s="3641"/>
      <c r="K37" s="3643"/>
      <c r="L37" s="2869"/>
      <c r="M37" s="2870"/>
      <c r="N37" s="2846"/>
      <c r="O37" s="2871"/>
      <c r="P37" s="2871"/>
      <c r="Q37" s="2872"/>
      <c r="R37" s="2873"/>
      <c r="S37" s="2908"/>
      <c r="T37" s="2827" t="s">
        <v>2347</v>
      </c>
      <c r="U37" s="2827"/>
      <c r="V37" s="2835"/>
    </row>
    <row r="38" spans="1:23" s="2839" customFormat="1" ht="13.2" customHeight="1">
      <c r="A38" s="2917">
        <v>8</v>
      </c>
      <c r="B38" s="2918"/>
      <c r="C38" s="2875" t="e">
        <f>ROUND(C32*(1-((1+C35)/(1+C34))^C36)/(C34-C35),0)</f>
        <v>#DIV/0!</v>
      </c>
      <c r="D38" s="2875">
        <f>IF(D23=0,0,ROUND(D32*(1-((1+D35)/(1+D34))^D36)/(D34-D35),0))</f>
        <v>0</v>
      </c>
      <c r="E38" s="2875">
        <f>IF(E23=0,0,ROUND(E32*(1-((1+E35)/(1+E34))^E36)/(E34-E35),0))</f>
        <v>0</v>
      </c>
      <c r="F38" s="2922"/>
      <c r="G38" s="2916"/>
      <c r="H38" s="2834"/>
      <c r="I38" s="2835"/>
      <c r="J38" s="3641"/>
      <c r="K38" s="3643"/>
      <c r="L38" s="2869"/>
      <c r="M38" s="2870"/>
      <c r="N38" s="2846"/>
      <c r="O38" s="2871"/>
      <c r="P38" s="2871"/>
      <c r="Q38" s="2872"/>
      <c r="R38" s="2873"/>
      <c r="S38" s="2908"/>
      <c r="T38" s="2827" t="s">
        <v>2354</v>
      </c>
      <c r="U38" s="2827"/>
      <c r="V38" s="2835"/>
    </row>
    <row r="39" spans="1:23" s="2839" customFormat="1" ht="13.2" customHeight="1">
      <c r="A39" s="2917">
        <v>9</v>
      </c>
      <c r="B39" s="2918" t="s">
        <v>2432</v>
      </c>
      <c r="C39" s="2883" t="e">
        <f>C38</f>
        <v>#DIV/0!</v>
      </c>
      <c r="D39" s="2918">
        <f>D38/(1+D34)^C36</f>
        <v>0</v>
      </c>
      <c r="E39" s="2918">
        <f>E38/(1+E34)^(C36+D36)</f>
        <v>0</v>
      </c>
      <c r="F39" s="2922"/>
      <c r="G39" s="2977"/>
      <c r="H39" s="2834"/>
      <c r="I39" s="2835"/>
      <c r="J39" s="3641"/>
      <c r="K39" s="3643"/>
      <c r="L39" s="2869"/>
      <c r="M39" s="2870"/>
      <c r="N39" s="2846"/>
      <c r="O39" s="2871"/>
      <c r="P39" s="2871"/>
      <c r="Q39" s="2872"/>
      <c r="R39" s="2873"/>
      <c r="S39" s="2908"/>
      <c r="T39" s="2827"/>
      <c r="U39" s="2827"/>
      <c r="V39" s="2835"/>
    </row>
    <row r="40" spans="1:23" s="2839" customFormat="1" ht="13.2" customHeight="1">
      <c r="A40" s="2978">
        <v>10</v>
      </c>
      <c r="B40" s="2918" t="s">
        <v>2433</v>
      </c>
      <c r="C40" s="2979" t="e">
        <f>C39+D39+E39</f>
        <v>#DIV/0!</v>
      </c>
      <c r="D40" s="2980"/>
      <c r="E40" s="2980"/>
      <c r="F40" s="2981"/>
      <c r="G40" s="2916"/>
      <c r="H40" s="2834"/>
      <c r="I40" s="2835"/>
      <c r="J40" s="3641"/>
      <c r="K40" s="3644"/>
      <c r="L40" s="2889" t="s">
        <v>2372</v>
      </c>
      <c r="M40" s="2890"/>
      <c r="N40" s="2890"/>
      <c r="O40" s="2891"/>
      <c r="P40" s="2891"/>
      <c r="Q40" s="2892"/>
      <c r="R40" s="2838">
        <f>SUM(R37:R39)</f>
        <v>0</v>
      </c>
      <c r="S40" s="2908"/>
      <c r="T40" s="2827"/>
      <c r="U40" s="2827"/>
      <c r="V40" s="2835"/>
    </row>
    <row r="41" spans="1:23" s="2839" customFormat="1" ht="13.2" customHeight="1" thickBot="1">
      <c r="A41" s="2982">
        <v>11</v>
      </c>
      <c r="B41" s="2983" t="s">
        <v>2434</v>
      </c>
      <c r="C41" s="2983" t="e">
        <f>ROUND(C40*10000/B4,0)</f>
        <v>#DIV/0!</v>
      </c>
      <c r="D41" s="2984"/>
      <c r="E41" s="2984"/>
      <c r="F41" s="2985"/>
      <c r="G41" s="2986"/>
      <c r="H41" s="2834"/>
      <c r="I41" s="2835"/>
      <c r="J41" s="2930">
        <v>2</v>
      </c>
      <c r="K41" s="2931" t="s">
        <v>2412</v>
      </c>
      <c r="L41" s="2932"/>
      <c r="M41" s="2932"/>
      <c r="N41" s="2932"/>
      <c r="O41" s="2932"/>
      <c r="P41" s="2933"/>
      <c r="Q41" s="2934"/>
      <c r="R41" s="2905">
        <f>ROUND(R40*Q41,0)</f>
        <v>0</v>
      </c>
      <c r="S41" s="2908"/>
      <c r="T41" s="2827"/>
      <c r="U41" s="2942"/>
      <c r="V41" s="2835"/>
    </row>
    <row r="42" spans="1:23" s="2839" customFormat="1" ht="13.2" customHeight="1">
      <c r="G42" s="2986"/>
      <c r="H42" s="2834"/>
      <c r="I42" s="2835"/>
      <c r="J42" s="3645">
        <v>3</v>
      </c>
      <c r="K42" s="2937" t="s">
        <v>2414</v>
      </c>
      <c r="L42" s="2938"/>
      <c r="M42" s="2939"/>
      <c r="N42" s="2940" t="s">
        <v>2415</v>
      </c>
      <c r="O42" s="2940" t="s">
        <v>2416</v>
      </c>
      <c r="P42" s="2941" t="s">
        <v>2417</v>
      </c>
      <c r="Q42" s="2941" t="s">
        <v>2418</v>
      </c>
      <c r="R42" s="2844" t="s">
        <v>2343</v>
      </c>
      <c r="S42" s="2942"/>
      <c r="T42" s="2942"/>
      <c r="U42" s="2827"/>
      <c r="V42" s="2835"/>
    </row>
    <row r="43" spans="1:23" ht="13.2" customHeight="1">
      <c r="A43" s="2839"/>
      <c r="B43" s="2839"/>
      <c r="C43" s="2839"/>
      <c r="D43" s="2839"/>
      <c r="E43" s="2839"/>
      <c r="F43" s="2839"/>
      <c r="I43" s="2822"/>
      <c r="J43" s="3646"/>
      <c r="K43" s="2945"/>
      <c r="L43" s="2946"/>
      <c r="M43" s="2947"/>
      <c r="N43" s="2870"/>
      <c r="O43" s="2870"/>
      <c r="P43" s="2870"/>
      <c r="Q43" s="2934"/>
      <c r="R43" s="2905">
        <f>ROUND(O43*N43*P43*(1-Q43)/10000,0)</f>
        <v>0</v>
      </c>
      <c r="S43" s="2908"/>
      <c r="T43" s="2827"/>
      <c r="V43" s="2988"/>
      <c r="W43" s="2989"/>
    </row>
    <row r="44" spans="1:23" ht="13.2" customHeight="1" thickBot="1">
      <c r="J44" s="2950">
        <v>6</v>
      </c>
      <c r="K44" s="2951" t="s">
        <v>2421</v>
      </c>
      <c r="L44" s="2990" t="s">
        <v>2422</v>
      </c>
      <c r="M44" s="2953"/>
      <c r="N44" s="2990" t="s">
        <v>2423</v>
      </c>
      <c r="O44" s="2953"/>
      <c r="P44" s="2990" t="s">
        <v>2424</v>
      </c>
      <c r="Q44" s="2955">
        <v>1.4999999999999999E-2</v>
      </c>
      <c r="R44" s="295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693"/>
      <c r="G1" s="1488"/>
      <c r="H1" s="1488"/>
      <c r="I1" s="1488"/>
      <c r="J1" s="1488"/>
      <c r="K1" s="1488"/>
      <c r="L1" s="1488"/>
      <c r="M1" s="1488"/>
      <c r="N1" s="1488"/>
      <c r="O1" s="1488"/>
      <c r="P1" s="1488"/>
      <c r="Q1" s="1488"/>
      <c r="R1" s="1488"/>
      <c r="S1" s="1488"/>
    </row>
    <row r="2" spans="1:22" ht="15.6">
      <c r="A2" s="1869" t="s">
        <v>1462</v>
      </c>
      <c r="B2" s="1870" t="e">
        <f ca="1">SUMIF(B6:B13,"&lt;&gt;#ref!",B6:B13)</f>
        <v>#DIV/0!</v>
      </c>
      <c r="C2" s="1871" t="s">
        <v>1651</v>
      </c>
      <c r="D2" s="1872" t="s">
        <v>1652</v>
      </c>
      <c r="E2" s="2596">
        <f>SUM(E6:E13)</f>
        <v>195.03</v>
      </c>
      <c r="F2" s="2693"/>
      <c r="G2" s="1488"/>
      <c r="H2" s="1488"/>
      <c r="I2" s="1488"/>
      <c r="J2" s="1488"/>
      <c r="K2" s="1488"/>
      <c r="L2" s="1488"/>
      <c r="M2" s="1488"/>
      <c r="N2" s="1488"/>
      <c r="O2" s="1488"/>
      <c r="P2" s="1488"/>
      <c r="Q2" s="1488"/>
      <c r="R2" s="1488"/>
      <c r="S2" s="1488"/>
    </row>
    <row r="3" spans="1:22" ht="15.6">
      <c r="A3" s="1869" t="s">
        <v>686</v>
      </c>
      <c r="B3" s="2590" t="e">
        <f ca="1">ROUND(B2*10000/E2,0)</f>
        <v>#DIV/0!</v>
      </c>
      <c r="C3" s="1871" t="s">
        <v>1659</v>
      </c>
      <c r="D3" s="2695"/>
      <c r="E3" s="2697"/>
      <c r="F3" s="2693"/>
      <c r="G3" s="1488"/>
      <c r="H3" s="1488"/>
      <c r="I3" s="1488"/>
      <c r="J3" s="1488"/>
      <c r="K3" s="1488"/>
      <c r="L3" s="1488"/>
      <c r="M3" s="1488"/>
      <c r="N3" s="1488"/>
      <c r="O3" s="1488"/>
      <c r="P3" s="1488"/>
      <c r="Q3" s="1488"/>
      <c r="R3" s="1488"/>
      <c r="S3" s="1488"/>
    </row>
    <row r="4" spans="1:22" ht="15.6">
      <c r="A4" s="2698"/>
      <c r="B4" s="2695"/>
      <c r="C4" s="2695"/>
      <c r="D4" s="2695"/>
      <c r="E4" s="2697"/>
      <c r="F4" s="2693"/>
      <c r="G4" s="1488"/>
      <c r="H4" s="1488"/>
      <c r="I4" s="1488"/>
      <c r="J4" s="1488"/>
      <c r="K4" s="1488"/>
      <c r="L4" s="1488"/>
      <c r="M4" s="1488"/>
      <c r="N4" s="1488"/>
      <c r="O4" s="1488"/>
      <c r="P4" s="1488"/>
      <c r="Q4" s="1488"/>
      <c r="R4" s="1488"/>
      <c r="S4" s="1488"/>
    </row>
    <row r="5" spans="1:22" ht="14.4">
      <c r="A5" s="2592" t="s">
        <v>1653</v>
      </c>
      <c r="B5" s="3660" t="s">
        <v>1654</v>
      </c>
      <c r="C5" s="3661"/>
      <c r="D5" s="2694"/>
      <c r="E5" s="1873" t="s">
        <v>1655</v>
      </c>
      <c r="F5" s="1874" t="s">
        <v>1656</v>
      </c>
      <c r="G5" s="1488"/>
      <c r="H5" s="1488"/>
      <c r="I5" s="1488"/>
      <c r="J5" s="1488"/>
      <c r="K5" s="1488"/>
      <c r="L5" s="1488"/>
      <c r="M5" s="1488"/>
      <c r="N5" s="1488"/>
      <c r="O5" s="1488"/>
      <c r="P5" s="1488"/>
      <c r="Q5" s="1488"/>
      <c r="R5" s="1488"/>
      <c r="S5" s="1488"/>
    </row>
    <row r="6" spans="1:22" ht="14.4">
      <c r="A6" s="2593" t="str">
        <f>'数据-取费表'!AN6</f>
        <v>收益法 (元)</v>
      </c>
      <c r="B6" s="2591" t="e">
        <f ca="1">IF(F6="是",'数据-取费表'!AO6,0)</f>
        <v>#DIV/0!</v>
      </c>
      <c r="C6" s="1871" t="s">
        <v>1651</v>
      </c>
      <c r="D6" s="2695"/>
      <c r="E6" s="2595">
        <f>IF(OR(A6=0,F6="否"),0,'数据-取费表'!K6+'数据-取费表'!S6)</f>
        <v>195.03</v>
      </c>
      <c r="F6" s="1875" t="s">
        <v>1657</v>
      </c>
      <c r="G6" s="1488"/>
      <c r="H6" s="1488"/>
      <c r="I6" s="1488"/>
      <c r="J6" s="1488"/>
      <c r="K6" s="1488"/>
      <c r="L6" s="1488"/>
      <c r="M6" s="1488"/>
      <c r="N6" s="1488"/>
      <c r="O6" s="1488"/>
      <c r="P6" s="1488"/>
      <c r="Q6" s="1488"/>
      <c r="R6" s="1488"/>
      <c r="S6" s="1488"/>
    </row>
    <row r="7" spans="1:22" ht="14.4">
      <c r="A7" s="2593">
        <f>'数据-取费表'!AN7</f>
        <v>0</v>
      </c>
      <c r="B7" s="2591" t="e">
        <f ca="1">IF(F7="是",'数据-取费表'!AO7,0)</f>
        <v>#REF!</v>
      </c>
      <c r="C7" s="1871" t="s">
        <v>1651</v>
      </c>
      <c r="D7" s="2695"/>
      <c r="E7" s="2595">
        <f>IF(OR(A7=0,F7="否"),0,'数据-取费表'!K7+'数据-取费表'!S7)</f>
        <v>0</v>
      </c>
      <c r="F7" s="1875" t="s">
        <v>1657</v>
      </c>
      <c r="G7" s="1488"/>
      <c r="H7" s="1488"/>
      <c r="I7" s="1488"/>
      <c r="J7" s="1488"/>
      <c r="K7" s="1488"/>
      <c r="L7" s="1488"/>
      <c r="M7" s="1488"/>
      <c r="N7" s="1488"/>
      <c r="O7" s="1488"/>
      <c r="P7" s="1488"/>
      <c r="Q7" s="1488"/>
      <c r="R7" s="1488"/>
      <c r="S7" s="1488"/>
    </row>
    <row r="8" spans="1:22" ht="14.4">
      <c r="A8" s="2593">
        <f>'数据-取费表'!AN8</f>
        <v>0</v>
      </c>
      <c r="B8" s="2591" t="e">
        <f ca="1">IF(F8="是",'数据-取费表'!AO8,0)</f>
        <v>#REF!</v>
      </c>
      <c r="C8" s="1871" t="s">
        <v>1651</v>
      </c>
      <c r="D8" s="2695"/>
      <c r="E8" s="2595">
        <f>IF(OR(A8=0,F8="否"),0,'数据-取费表'!K8+'数据-取费表'!S8)</f>
        <v>0</v>
      </c>
      <c r="F8" s="1875" t="s">
        <v>1657</v>
      </c>
      <c r="G8" s="1488"/>
      <c r="H8" s="1488"/>
      <c r="I8" s="1488"/>
      <c r="J8" s="1488"/>
      <c r="K8" s="1488"/>
      <c r="L8" s="1488"/>
      <c r="M8" s="1488"/>
      <c r="N8" s="1488"/>
      <c r="O8" s="1488"/>
      <c r="P8" s="1488"/>
      <c r="Q8" s="1488"/>
      <c r="R8" s="1488"/>
      <c r="S8" s="1488"/>
    </row>
    <row r="9" spans="1:22" ht="14.4">
      <c r="A9" s="2593">
        <f>'数据-取费表'!AN9</f>
        <v>0</v>
      </c>
      <c r="B9" s="2591" t="e">
        <f ca="1">IF(F9="是",'数据-取费表'!AO9,0)</f>
        <v>#REF!</v>
      </c>
      <c r="C9" s="1871" t="s">
        <v>1651</v>
      </c>
      <c r="D9" s="2695"/>
      <c r="E9" s="2595">
        <f>IF(OR(A9=0,F9="否"),0,'数据-取费表'!K9+'数据-取费表'!S9)</f>
        <v>0</v>
      </c>
      <c r="F9" s="1875" t="s">
        <v>1657</v>
      </c>
      <c r="G9" s="1488"/>
      <c r="H9" s="1488"/>
      <c r="I9" s="1488"/>
      <c r="J9" s="1488"/>
      <c r="K9" s="1488"/>
      <c r="L9" s="1488"/>
      <c r="M9" s="1488"/>
      <c r="N9" s="1488"/>
      <c r="O9" s="1488"/>
      <c r="P9" s="1488"/>
      <c r="Q9" s="1488"/>
      <c r="R9" s="1488"/>
      <c r="S9" s="1488"/>
    </row>
    <row r="10" spans="1:22" ht="14.4">
      <c r="A10" s="2593">
        <f>'数据-取费表'!AN10</f>
        <v>0</v>
      </c>
      <c r="B10" s="2591" t="e">
        <f ca="1">IF(F10="是",'数据-取费表'!AO10,0)</f>
        <v>#REF!</v>
      </c>
      <c r="C10" s="1871" t="s">
        <v>1651</v>
      </c>
      <c r="D10" s="2695"/>
      <c r="E10" s="259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593">
        <f>'数据-取费表'!AN11</f>
        <v>0</v>
      </c>
      <c r="B11" s="2591" t="e">
        <f ca="1">IF(F11="是",'数据-取费表'!AO11,0)</f>
        <v>#REF!</v>
      </c>
      <c r="C11" s="1871" t="s">
        <v>1651</v>
      </c>
      <c r="D11" s="2695"/>
      <c r="E11" s="259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593">
        <f>'数据-取费表'!AN12</f>
        <v>0</v>
      </c>
      <c r="B12" s="2591" t="e">
        <f ca="1">IF(F12="是",'数据-取费表'!AO12,0)</f>
        <v>#REF!</v>
      </c>
      <c r="C12" s="1871" t="s">
        <v>1651</v>
      </c>
      <c r="D12" s="2695"/>
      <c r="E12" s="259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4">
        <f>'数据-取费表'!AN13</f>
        <v>0</v>
      </c>
      <c r="B13" s="2591" t="e">
        <f ca="1">IF(F13="是",'数据-取费表'!AO13,0)</f>
        <v>#REF!</v>
      </c>
      <c r="C13" s="1876" t="s">
        <v>1651</v>
      </c>
      <c r="D13" s="2696"/>
      <c r="E13" s="259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1661</v>
      </c>
      <c r="C1" s="1238" t="s">
        <v>1662</v>
      </c>
      <c r="D1" s="1225"/>
      <c r="E1" s="3412"/>
      <c r="F1" s="1878"/>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1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699"/>
      <c r="M2" s="2700"/>
      <c r="N2" s="2700"/>
      <c r="O2" s="270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195.03</v>
      </c>
      <c r="E3" s="907"/>
      <c r="F3" s="1887"/>
      <c r="G3" s="907"/>
      <c r="H3" s="907"/>
      <c r="I3" s="907"/>
      <c r="J3" s="907"/>
      <c r="K3" s="1883"/>
      <c r="L3" s="2699"/>
      <c r="M3" s="2700"/>
      <c r="N3" s="2700"/>
      <c r="O3" s="2700"/>
      <c r="P3" s="1884"/>
      <c r="Q3" s="1885"/>
      <c r="R3" s="1885"/>
      <c r="S3" s="1885"/>
      <c r="T3" s="1885"/>
      <c r="U3" s="1885"/>
      <c r="V3" s="1885"/>
      <c r="W3" s="1885"/>
      <c r="X3" s="1885"/>
      <c r="Y3" s="1885"/>
      <c r="Z3" s="1885"/>
      <c r="AA3" s="1885"/>
      <c r="AB3" s="1885"/>
      <c r="AC3" s="1061"/>
    </row>
    <row r="4" spans="1:29" ht="14.4">
      <c r="A4" s="355" t="s">
        <v>1666</v>
      </c>
      <c r="B4" s="356"/>
      <c r="C4" s="3680" t="s">
        <v>1667</v>
      </c>
      <c r="D4" s="3681"/>
      <c r="E4" s="3682" t="s">
        <v>1668</v>
      </c>
      <c r="F4" s="3683"/>
      <c r="G4" s="3680" t="s">
        <v>1669</v>
      </c>
      <c r="H4" s="3681"/>
      <c r="I4" s="3680" t="s">
        <v>1670</v>
      </c>
      <c r="J4" s="3681"/>
      <c r="K4" s="1888" t="s">
        <v>1671</v>
      </c>
      <c r="L4" s="2701"/>
      <c r="M4" s="2702"/>
      <c r="N4" s="2702"/>
      <c r="O4" s="2702"/>
      <c r="P4" s="3684" t="s">
        <v>1672</v>
      </c>
      <c r="Q4" s="3685"/>
      <c r="R4" s="3690" t="s">
        <v>1668</v>
      </c>
      <c r="S4" s="3691"/>
      <c r="T4" s="3690" t="s">
        <v>1669</v>
      </c>
      <c r="U4" s="3691"/>
      <c r="V4" s="3696" t="s">
        <v>1670</v>
      </c>
      <c r="W4" s="3696"/>
      <c r="X4" s="1354"/>
      <c r="Y4" s="3690" t="s">
        <v>1672</v>
      </c>
      <c r="Z4" s="3691"/>
      <c r="AA4" s="3677" t="s">
        <v>1668</v>
      </c>
      <c r="AB4" s="3677" t="s">
        <v>1669</v>
      </c>
      <c r="AC4" s="3677" t="s">
        <v>1670</v>
      </c>
    </row>
    <row r="5" spans="1:29">
      <c r="A5" s="358"/>
      <c r="B5" s="359"/>
      <c r="C5" s="3699" t="s">
        <v>1673</v>
      </c>
      <c r="D5" s="3700"/>
      <c r="E5" s="3706" t="s">
        <v>1674</v>
      </c>
      <c r="F5" s="3707"/>
      <c r="G5" s="3699" t="s">
        <v>1675</v>
      </c>
      <c r="H5" s="3700"/>
      <c r="I5" s="3699" t="s">
        <v>1676</v>
      </c>
      <c r="J5" s="3700"/>
      <c r="K5" s="1889"/>
      <c r="L5" s="2701"/>
      <c r="M5" s="2702"/>
      <c r="N5" s="2702"/>
      <c r="O5" s="2702"/>
      <c r="P5" s="3686"/>
      <c r="Q5" s="3687"/>
      <c r="R5" s="3692"/>
      <c r="S5" s="3693"/>
      <c r="T5" s="3692"/>
      <c r="U5" s="3693"/>
      <c r="V5" s="3696"/>
      <c r="W5" s="3696"/>
      <c r="X5" s="1354"/>
      <c r="Y5" s="3692"/>
      <c r="Z5" s="3693"/>
      <c r="AA5" s="3678"/>
      <c r="AB5" s="3678"/>
      <c r="AC5" s="3678"/>
    </row>
    <row r="6" spans="1:29" ht="15" thickBot="1">
      <c r="A6" s="360"/>
      <c r="B6" s="361"/>
      <c r="C6" s="3697" t="s">
        <v>1677</v>
      </c>
      <c r="D6" s="3698"/>
      <c r="E6" s="3704" t="s">
        <v>1677</v>
      </c>
      <c r="F6" s="3705"/>
      <c r="G6" s="3697" t="s">
        <v>1677</v>
      </c>
      <c r="H6" s="3698"/>
      <c r="I6" s="3697" t="s">
        <v>1677</v>
      </c>
      <c r="J6" s="3698"/>
      <c r="K6" s="1889" t="s">
        <v>1678</v>
      </c>
      <c r="L6" s="2701"/>
      <c r="M6" s="2702"/>
      <c r="N6" s="2702"/>
      <c r="O6" s="2702"/>
      <c r="P6" s="3688"/>
      <c r="Q6" s="3689"/>
      <c r="R6" s="3692"/>
      <c r="S6" s="3693"/>
      <c r="T6" s="3694"/>
      <c r="U6" s="3695"/>
      <c r="V6" s="3696"/>
      <c r="W6" s="3696"/>
      <c r="X6" s="1354"/>
      <c r="Y6" s="3694"/>
      <c r="Z6" s="3695"/>
      <c r="AA6" s="3679"/>
      <c r="AB6" s="3679"/>
      <c r="AC6" s="3679"/>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0"/>
      <c r="L7" s="2703"/>
      <c r="M7" s="2704"/>
      <c r="N7" s="2704"/>
      <c r="O7" s="2704"/>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3"/>
      <c r="M8" s="2704"/>
      <c r="N8" s="2704"/>
      <c r="O8" s="2704"/>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3"/>
      <c r="M9" s="2704"/>
      <c r="N9" s="2704"/>
      <c r="O9" s="2704"/>
      <c r="P9" s="3676"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1890"/>
      <c r="L10" s="2705"/>
      <c r="M10" s="2706"/>
      <c r="N10" s="2706"/>
      <c r="O10" s="2706"/>
      <c r="P10" s="3676"/>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7"/>
      <c r="M11" s="2702"/>
      <c r="N11" s="2702"/>
      <c r="O11" s="2702"/>
      <c r="P11" s="3676"/>
      <c r="Q11" s="1342"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3"/>
      <c r="M12" s="2704"/>
      <c r="N12" s="2704"/>
      <c r="O12" s="2704"/>
      <c r="P12" s="3676"/>
      <c r="Q12" s="1342">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8"/>
      <c r="M13" s="2702"/>
      <c r="N13" s="2702"/>
      <c r="O13" s="2702"/>
      <c r="P13" s="3676"/>
      <c r="Q13" s="1342">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8"/>
      <c r="M14" s="2702"/>
      <c r="N14" s="2702"/>
      <c r="O14" s="2702"/>
      <c r="P14" s="3676"/>
      <c r="Q14" s="1342">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8"/>
      <c r="M15" s="2702"/>
      <c r="N15" s="2702"/>
      <c r="O15" s="2702"/>
      <c r="P15" s="3674" t="s">
        <v>1691</v>
      </c>
      <c r="Q15" s="1351" t="str">
        <f t="shared" si="6"/>
        <v>居住社区成熟度</v>
      </c>
      <c r="R15" s="705" t="s">
        <v>18</v>
      </c>
      <c r="S15" s="706">
        <f t="shared" si="0"/>
        <v>100</v>
      </c>
      <c r="T15" s="705" t="s">
        <v>18</v>
      </c>
      <c r="U15" s="706">
        <f t="shared" si="1"/>
        <v>100</v>
      </c>
      <c r="V15" s="705" t="s">
        <v>18</v>
      </c>
      <c r="W15" s="706">
        <f t="shared" si="2"/>
        <v>100</v>
      </c>
      <c r="X15" s="1354"/>
      <c r="Y15" s="366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8"/>
      <c r="M16" s="2702"/>
      <c r="N16" s="2702"/>
      <c r="O16" s="2702"/>
      <c r="P16" s="3675"/>
      <c r="Q16" s="1351"/>
      <c r="R16" s="705"/>
      <c r="S16" s="706"/>
      <c r="T16" s="705"/>
      <c r="U16" s="706"/>
      <c r="V16" s="705"/>
      <c r="W16" s="706"/>
      <c r="X16" s="1354"/>
      <c r="Y16" s="3668"/>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8"/>
      <c r="M17" s="2702"/>
      <c r="N17" s="2702"/>
      <c r="O17" s="2702"/>
      <c r="P17" s="3675"/>
      <c r="Q17" s="1351" t="str">
        <f>B17</f>
        <v>交通便捷度</v>
      </c>
      <c r="R17" s="705" t="s">
        <v>18</v>
      </c>
      <c r="S17" s="706">
        <f>F17</f>
        <v>100</v>
      </c>
      <c r="T17" s="705" t="s">
        <v>18</v>
      </c>
      <c r="U17" s="706">
        <f>H17</f>
        <v>100</v>
      </c>
      <c r="V17" s="705" t="s">
        <v>18</v>
      </c>
      <c r="W17" s="706">
        <f>J17</f>
        <v>100</v>
      </c>
      <c r="X17" s="1354"/>
      <c r="Y17" s="366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8"/>
      <c r="M18" s="2702"/>
      <c r="N18" s="2702"/>
      <c r="O18" s="2702"/>
      <c r="P18" s="3675"/>
      <c r="Q18" s="1351"/>
      <c r="R18" s="705"/>
      <c r="S18" s="706"/>
      <c r="T18" s="705"/>
      <c r="U18" s="706"/>
      <c r="V18" s="705"/>
      <c r="W18" s="706"/>
      <c r="X18" s="1354"/>
      <c r="Y18" s="3668"/>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8"/>
      <c r="M19" s="2702"/>
      <c r="N19" s="2702"/>
      <c r="O19" s="2702"/>
      <c r="P19" s="3675"/>
      <c r="Q19" s="1351" t="str">
        <f>B19</f>
        <v>公共配套设施</v>
      </c>
      <c r="R19" s="705" t="s">
        <v>18</v>
      </c>
      <c r="S19" s="706">
        <f>F19</f>
        <v>100</v>
      </c>
      <c r="T19" s="705" t="s">
        <v>18</v>
      </c>
      <c r="U19" s="706">
        <f>H19</f>
        <v>100</v>
      </c>
      <c r="V19" s="705" t="s">
        <v>18</v>
      </c>
      <c r="W19" s="706">
        <f>J19</f>
        <v>100</v>
      </c>
      <c r="X19" s="1354"/>
      <c r="Y19" s="366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8"/>
      <c r="M20" s="2702"/>
      <c r="N20" s="2702"/>
      <c r="O20" s="2702"/>
      <c r="P20" s="3675"/>
      <c r="Q20" s="1351"/>
      <c r="R20" s="705"/>
      <c r="S20" s="706"/>
      <c r="T20" s="705"/>
      <c r="U20" s="706"/>
      <c r="V20" s="705"/>
      <c r="W20" s="706"/>
      <c r="X20" s="1354"/>
      <c r="Y20" s="3668"/>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8"/>
      <c r="M21" s="2702"/>
      <c r="N21" s="2702"/>
      <c r="O21" s="2702"/>
      <c r="P21" s="3675"/>
      <c r="Q21" s="1351" t="str">
        <f>B21</f>
        <v>基础设施水平</v>
      </c>
      <c r="R21" s="705" t="s">
        <v>14</v>
      </c>
      <c r="S21" s="706">
        <f>F21</f>
        <v>100</v>
      </c>
      <c r="T21" s="705" t="s">
        <v>14</v>
      </c>
      <c r="U21" s="706">
        <f>H21</f>
        <v>100</v>
      </c>
      <c r="V21" s="705" t="s">
        <v>14</v>
      </c>
      <c r="W21" s="706">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08"/>
      <c r="M22" s="2702"/>
      <c r="N22" s="2702"/>
      <c r="O22" s="2702"/>
      <c r="P22" s="3675"/>
      <c r="Q22" s="1351"/>
      <c r="R22" s="705"/>
      <c r="S22" s="706"/>
      <c r="T22" s="705"/>
      <c r="U22" s="706"/>
      <c r="V22" s="705"/>
      <c r="W22" s="706"/>
      <c r="X22" s="1354"/>
      <c r="Y22" s="3668"/>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8"/>
      <c r="M23" s="2702"/>
      <c r="N23" s="2702"/>
      <c r="O23" s="2702"/>
      <c r="P23" s="3675"/>
      <c r="Q23" s="1351" t="str">
        <f>B23</f>
        <v>自然及人文环境</v>
      </c>
      <c r="R23" s="705" t="s">
        <v>18</v>
      </c>
      <c r="S23" s="706">
        <f>F23</f>
        <v>100</v>
      </c>
      <c r="T23" s="705" t="s">
        <v>18</v>
      </c>
      <c r="U23" s="706">
        <f>H23</f>
        <v>100</v>
      </c>
      <c r="V23" s="705" t="s">
        <v>18</v>
      </c>
      <c r="W23" s="706">
        <f>J23</f>
        <v>100</v>
      </c>
      <c r="X23" s="1354"/>
      <c r="Y23" s="366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8"/>
      <c r="M24" s="2702"/>
      <c r="N24" s="2702"/>
      <c r="O24" s="2702"/>
      <c r="P24" s="3675"/>
      <c r="Q24" s="1351"/>
      <c r="R24" s="705"/>
      <c r="S24" s="706"/>
      <c r="T24" s="705"/>
      <c r="U24" s="706"/>
      <c r="V24" s="705"/>
      <c r="W24" s="706"/>
      <c r="X24" s="1354"/>
      <c r="Y24" s="366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08"/>
      <c r="M25" s="2702"/>
      <c r="N25" s="2702"/>
      <c r="O25" s="2702"/>
      <c r="P25" s="367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08"/>
      <c r="M26" s="2702"/>
      <c r="N26" s="2702"/>
      <c r="O26" s="2702"/>
      <c r="P26" s="3675"/>
      <c r="Q26" s="1351" t="str">
        <f t="shared" si="11"/>
        <v>朝向</v>
      </c>
      <c r="R26" s="705" t="s">
        <v>18</v>
      </c>
      <c r="S26" s="706">
        <f t="shared" si="12"/>
        <v>100</v>
      </c>
      <c r="T26" s="705" t="s">
        <v>18</v>
      </c>
      <c r="U26" s="706">
        <f t="shared" si="13"/>
        <v>100</v>
      </c>
      <c r="V26" s="705" t="s">
        <v>18</v>
      </c>
      <c r="W26" s="706">
        <f t="shared" si="14"/>
        <v>100</v>
      </c>
      <c r="X26" s="1354"/>
      <c r="Y26" s="366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3"/>
      <c r="M27" s="2704"/>
      <c r="N27" s="2704"/>
      <c r="O27" s="2704"/>
      <c r="P27" s="3675"/>
      <c r="Q27" s="1342">
        <f t="shared" si="11"/>
        <v>111</v>
      </c>
      <c r="R27" s="701" t="s">
        <v>18</v>
      </c>
      <c r="S27" s="702">
        <f t="shared" si="12"/>
        <v>100</v>
      </c>
      <c r="T27" s="701" t="s">
        <v>18</v>
      </c>
      <c r="U27" s="702">
        <f t="shared" si="13"/>
        <v>100</v>
      </c>
      <c r="V27" s="701" t="s">
        <v>18</v>
      </c>
      <c r="W27" s="702">
        <f t="shared" si="14"/>
        <v>100</v>
      </c>
      <c r="X27" s="703"/>
      <c r="Y27" s="366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8"/>
      <c r="M28" s="2702"/>
      <c r="N28" s="2702"/>
      <c r="O28" s="2702"/>
      <c r="P28" s="3675"/>
      <c r="Q28" s="1351">
        <f t="shared" si="11"/>
        <v>111</v>
      </c>
      <c r="R28" s="705" t="s">
        <v>18</v>
      </c>
      <c r="S28" s="706">
        <f t="shared" si="12"/>
        <v>100</v>
      </c>
      <c r="T28" s="705" t="s">
        <v>18</v>
      </c>
      <c r="U28" s="706">
        <f t="shared" si="13"/>
        <v>100</v>
      </c>
      <c r="V28" s="705" t="s">
        <v>18</v>
      </c>
      <c r="W28" s="706">
        <f t="shared" si="14"/>
        <v>100</v>
      </c>
      <c r="X28" s="1354"/>
      <c r="Y28" s="366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8"/>
      <c r="M29" s="2702"/>
      <c r="N29" s="2702"/>
      <c r="O29" s="2702"/>
      <c r="P29" s="3675"/>
      <c r="Q29" s="1351">
        <f t="shared" si="11"/>
        <v>111</v>
      </c>
      <c r="R29" s="705" t="s">
        <v>18</v>
      </c>
      <c r="S29" s="706">
        <f t="shared" si="12"/>
        <v>100</v>
      </c>
      <c r="T29" s="705" t="s">
        <v>18</v>
      </c>
      <c r="U29" s="706">
        <f t="shared" si="13"/>
        <v>100</v>
      </c>
      <c r="V29" s="705" t="s">
        <v>18</v>
      </c>
      <c r="W29" s="706">
        <f t="shared" si="14"/>
        <v>100</v>
      </c>
      <c r="X29" s="1354"/>
      <c r="Y29" s="366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8"/>
      <c r="M30" s="2702"/>
      <c r="N30" s="2702"/>
      <c r="O30" s="2702"/>
      <c r="P30" s="3675"/>
      <c r="Q30" s="1351">
        <f t="shared" si="11"/>
        <v>111</v>
      </c>
      <c r="R30" s="705" t="s">
        <v>18</v>
      </c>
      <c r="S30" s="706">
        <f t="shared" si="12"/>
        <v>100</v>
      </c>
      <c r="T30" s="705" t="s">
        <v>18</v>
      </c>
      <c r="U30" s="706">
        <f t="shared" si="13"/>
        <v>100</v>
      </c>
      <c r="V30" s="705" t="s">
        <v>18</v>
      </c>
      <c r="W30" s="706">
        <f t="shared" si="14"/>
        <v>100</v>
      </c>
      <c r="X30" s="1354"/>
      <c r="Y30" s="3668"/>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8"/>
      <c r="M31" s="2702"/>
      <c r="N31" s="2702"/>
      <c r="O31" s="2702"/>
      <c r="P31" s="3675"/>
      <c r="Q31" s="1351">
        <f t="shared" si="11"/>
        <v>111</v>
      </c>
      <c r="R31" s="705" t="s">
        <v>18</v>
      </c>
      <c r="S31" s="706">
        <f t="shared" si="12"/>
        <v>100</v>
      </c>
      <c r="T31" s="705" t="s">
        <v>18</v>
      </c>
      <c r="U31" s="706">
        <f t="shared" si="13"/>
        <v>100</v>
      </c>
      <c r="V31" s="705" t="s">
        <v>18</v>
      </c>
      <c r="W31" s="706">
        <f t="shared" si="14"/>
        <v>100</v>
      </c>
      <c r="X31" s="1354"/>
      <c r="Y31" s="366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8"/>
      <c r="M32" s="2702"/>
      <c r="N32" s="2702"/>
      <c r="O32" s="2702"/>
      <c r="P32" s="3669" t="s">
        <v>1696</v>
      </c>
      <c r="Q32" s="1351" t="str">
        <f t="shared" si="11"/>
        <v>建筑类型</v>
      </c>
      <c r="R32" s="705" t="s">
        <v>18</v>
      </c>
      <c r="S32" s="706">
        <f t="shared" si="12"/>
        <v>100</v>
      </c>
      <c r="T32" s="705" t="s">
        <v>18</v>
      </c>
      <c r="U32" s="706">
        <f t="shared" si="13"/>
        <v>100</v>
      </c>
      <c r="V32" s="705" t="s">
        <v>18</v>
      </c>
      <c r="W32" s="706">
        <f t="shared" si="14"/>
        <v>100</v>
      </c>
      <c r="X32" s="1354"/>
      <c r="Y32" s="367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7"/>
      <c r="M33" s="2709"/>
      <c r="N33" s="2709"/>
      <c r="O33" s="2709"/>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8"/>
      <c r="M34" s="2702"/>
      <c r="N34" s="2702"/>
      <c r="O34" s="2702"/>
      <c r="P34" s="3670"/>
      <c r="Q34" s="1351" t="str">
        <f t="shared" si="11"/>
        <v>建筑结构</v>
      </c>
      <c r="R34" s="705" t="s">
        <v>18</v>
      </c>
      <c r="S34" s="706">
        <f t="shared" si="12"/>
        <v>100</v>
      </c>
      <c r="T34" s="705" t="s">
        <v>18</v>
      </c>
      <c r="U34" s="706">
        <f t="shared" si="13"/>
        <v>100</v>
      </c>
      <c r="V34" s="705" t="s">
        <v>18</v>
      </c>
      <c r="W34" s="706">
        <f t="shared" si="14"/>
        <v>100</v>
      </c>
      <c r="X34" s="1354"/>
      <c r="Y34" s="367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8"/>
      <c r="M35" s="2702"/>
      <c r="N35" s="2702"/>
      <c r="O35" s="2702"/>
      <c r="P35" s="3670"/>
      <c r="Q35" s="1351" t="str">
        <f t="shared" si="11"/>
        <v>建筑品质</v>
      </c>
      <c r="R35" s="705" t="s">
        <v>18</v>
      </c>
      <c r="S35" s="706">
        <f t="shared" si="12"/>
        <v>100</v>
      </c>
      <c r="T35" s="705" t="s">
        <v>18</v>
      </c>
      <c r="U35" s="706">
        <f t="shared" si="13"/>
        <v>100</v>
      </c>
      <c r="V35" s="705" t="s">
        <v>18</v>
      </c>
      <c r="W35" s="706">
        <f t="shared" si="14"/>
        <v>100</v>
      </c>
      <c r="X35" s="1354"/>
      <c r="Y35" s="367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8"/>
      <c r="M36" s="2702"/>
      <c r="N36" s="2702"/>
      <c r="O36" s="2702"/>
      <c r="P36" s="3670"/>
      <c r="Q36" s="1351" t="str">
        <f t="shared" si="11"/>
        <v>公共部分装修</v>
      </c>
      <c r="R36" s="705" t="s">
        <v>18</v>
      </c>
      <c r="S36" s="706">
        <f t="shared" si="12"/>
        <v>100</v>
      </c>
      <c r="T36" s="705" t="s">
        <v>18</v>
      </c>
      <c r="U36" s="706">
        <f t="shared" si="13"/>
        <v>100</v>
      </c>
      <c r="V36" s="705" t="s">
        <v>18</v>
      </c>
      <c r="W36" s="706">
        <f t="shared" si="14"/>
        <v>100</v>
      </c>
      <c r="X36" s="1354"/>
      <c r="Y36" s="367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3"/>
      <c r="M37" s="2704"/>
      <c r="N37" s="2704"/>
      <c r="O37" s="2704"/>
      <c r="P37" s="3670"/>
      <c r="Q37" s="1342"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8"/>
      <c r="M38" s="2702"/>
      <c r="N38" s="2702"/>
      <c r="O38" s="2702"/>
      <c r="P38" s="3670" t="s">
        <v>1696</v>
      </c>
      <c r="Q38" s="1351" t="str">
        <f t="shared" si="11"/>
        <v>物业管理</v>
      </c>
      <c r="R38" s="705" t="s">
        <v>18</v>
      </c>
      <c r="S38" s="706">
        <f t="shared" si="12"/>
        <v>100</v>
      </c>
      <c r="T38" s="705" t="s">
        <v>18</v>
      </c>
      <c r="U38" s="706">
        <f t="shared" si="13"/>
        <v>100</v>
      </c>
      <c r="V38" s="705" t="s">
        <v>18</v>
      </c>
      <c r="W38" s="706">
        <f t="shared" si="14"/>
        <v>100</v>
      </c>
      <c r="X38" s="1354"/>
      <c r="Y38" s="367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8"/>
      <c r="M39" s="2702"/>
      <c r="N39" s="2702"/>
      <c r="O39" s="2702"/>
      <c r="P39" s="3670"/>
      <c r="Q39" s="1351" t="str">
        <f t="shared" si="11"/>
        <v>市政基础设施</v>
      </c>
      <c r="R39" s="705" t="s">
        <v>18</v>
      </c>
      <c r="S39" s="706">
        <f t="shared" si="12"/>
        <v>100</v>
      </c>
      <c r="T39" s="705" t="s">
        <v>18</v>
      </c>
      <c r="U39" s="706">
        <f t="shared" si="13"/>
        <v>100</v>
      </c>
      <c r="V39" s="705" t="s">
        <v>18</v>
      </c>
      <c r="W39" s="706">
        <f t="shared" si="14"/>
        <v>100</v>
      </c>
      <c r="X39" s="1354"/>
      <c r="Y39" s="367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8"/>
      <c r="M40" s="2702"/>
      <c r="N40" s="2702"/>
      <c r="O40" s="2702"/>
      <c r="P40" s="3670"/>
      <c r="Q40" s="1351" t="str">
        <f t="shared" si="11"/>
        <v>房型</v>
      </c>
      <c r="R40" s="705" t="s">
        <v>18</v>
      </c>
      <c r="S40" s="706">
        <f t="shared" si="12"/>
        <v>100</v>
      </c>
      <c r="T40" s="705" t="s">
        <v>18</v>
      </c>
      <c r="U40" s="706">
        <f t="shared" si="13"/>
        <v>100</v>
      </c>
      <c r="V40" s="705" t="s">
        <v>18</v>
      </c>
      <c r="W40" s="706">
        <f t="shared" si="14"/>
        <v>100</v>
      </c>
      <c r="X40" s="1354"/>
      <c r="Y40" s="3672"/>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7"/>
      <c r="M41" s="2709"/>
      <c r="N41" s="2709"/>
      <c r="O41" s="2709"/>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8"/>
      <c r="M42" s="2702"/>
      <c r="N42" s="2702"/>
      <c r="O42" s="2702"/>
      <c r="P42" s="3670"/>
      <c r="Q42" s="1351" t="str">
        <f t="shared" si="11"/>
        <v>内部装修</v>
      </c>
      <c r="R42" s="705" t="s">
        <v>18</v>
      </c>
      <c r="S42" s="706">
        <f t="shared" si="12"/>
        <v>100</v>
      </c>
      <c r="T42" s="705" t="s">
        <v>18</v>
      </c>
      <c r="U42" s="706">
        <f t="shared" si="13"/>
        <v>100</v>
      </c>
      <c r="V42" s="705" t="s">
        <v>18</v>
      </c>
      <c r="W42" s="706">
        <f t="shared" si="14"/>
        <v>100</v>
      </c>
      <c r="X42" s="1354"/>
      <c r="Y42" s="3672"/>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8"/>
      <c r="M43" s="2702"/>
      <c r="N43" s="2702"/>
      <c r="O43" s="2702"/>
      <c r="P43" s="3670"/>
      <c r="Q43" s="1351" t="str">
        <f t="shared" si="11"/>
        <v>内部装修维护情况</v>
      </c>
      <c r="R43" s="705" t="s">
        <v>18</v>
      </c>
      <c r="S43" s="706">
        <f t="shared" si="12"/>
        <v>100</v>
      </c>
      <c r="T43" s="705" t="s">
        <v>18</v>
      </c>
      <c r="U43" s="706">
        <f t="shared" si="13"/>
        <v>100</v>
      </c>
      <c r="V43" s="705" t="s">
        <v>18</v>
      </c>
      <c r="W43" s="706">
        <f t="shared" si="14"/>
        <v>100</v>
      </c>
      <c r="X43" s="1354"/>
      <c r="Y43" s="367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3"/>
      <c r="M44" s="2704"/>
      <c r="N44" s="2704"/>
      <c r="O44" s="2704"/>
      <c r="P44" s="3670"/>
      <c r="Q44" s="1342">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8"/>
      <c r="M45" s="2702"/>
      <c r="N45" s="2702"/>
      <c r="O45" s="2702"/>
      <c r="P45" s="3670"/>
      <c r="Q45" s="1351">
        <f t="shared" si="11"/>
        <v>111</v>
      </c>
      <c r="R45" s="705" t="s">
        <v>18</v>
      </c>
      <c r="S45" s="706">
        <f t="shared" si="12"/>
        <v>100</v>
      </c>
      <c r="T45" s="705" t="s">
        <v>18</v>
      </c>
      <c r="U45" s="706">
        <f t="shared" si="13"/>
        <v>100</v>
      </c>
      <c r="V45" s="705" t="s">
        <v>18</v>
      </c>
      <c r="W45" s="706">
        <f t="shared" si="14"/>
        <v>100</v>
      </c>
      <c r="X45" s="1354"/>
      <c r="Y45" s="3672"/>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8"/>
      <c r="M46" s="2702"/>
      <c r="N46" s="2702"/>
      <c r="O46" s="2702"/>
      <c r="P46" s="3671"/>
      <c r="Q46" s="1351">
        <f t="shared" si="11"/>
        <v>111</v>
      </c>
      <c r="R46" s="705" t="s">
        <v>17</v>
      </c>
      <c r="S46" s="706">
        <f t="shared" si="12"/>
        <v>100</v>
      </c>
      <c r="T46" s="705" t="s">
        <v>17</v>
      </c>
      <c r="U46" s="706">
        <f t="shared" si="13"/>
        <v>100</v>
      </c>
      <c r="V46" s="705" t="s">
        <v>17</v>
      </c>
      <c r="W46" s="706">
        <f t="shared" si="14"/>
        <v>100</v>
      </c>
      <c r="X46" s="1354"/>
      <c r="Y46" s="3673"/>
      <c r="Z46" s="1355">
        <f t="shared" si="18"/>
        <v>111</v>
      </c>
      <c r="AA46" s="1352">
        <f t="shared" si="15"/>
        <v>1</v>
      </c>
      <c r="AB46" s="1352">
        <f t="shared" si="16"/>
        <v>1</v>
      </c>
      <c r="AC46" s="1352">
        <f t="shared" si="17"/>
        <v>1</v>
      </c>
    </row>
    <row r="47" spans="1:29" ht="14.4">
      <c r="A47" s="430" t="s">
        <v>1708</v>
      </c>
      <c r="B47" s="431"/>
      <c r="C47" s="1154" t="s">
        <v>16</v>
      </c>
      <c r="D47" s="1155"/>
      <c r="E47" s="1156"/>
      <c r="F47" s="1157"/>
      <c r="G47" s="1158"/>
      <c r="H47" s="1159"/>
      <c r="I47" s="1156"/>
      <c r="J47" s="1159"/>
      <c r="K47" s="1913"/>
      <c r="L47" s="2710"/>
      <c r="M47" s="2711"/>
      <c r="N47" s="2702"/>
      <c r="O47" s="2711"/>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10"/>
      <c r="M48" s="2711"/>
      <c r="N48" s="2711"/>
      <c r="O48" s="2711"/>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4"/>
      <c r="L49" s="2710"/>
      <c r="M49" s="2711"/>
      <c r="N49" s="2711"/>
      <c r="O49" s="2711"/>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16"/>
    </row>
    <row r="55" spans="1:29" s="451" customFormat="1">
      <c r="A55" s="2714"/>
      <c r="B55" s="2717"/>
      <c r="C55" s="2718"/>
      <c r="D55" s="2714"/>
      <c r="E55" s="2714"/>
      <c r="F55" s="2714"/>
      <c r="G55" s="2714"/>
      <c r="H55" s="2714"/>
      <c r="I55" s="2714"/>
      <c r="J55" s="2714"/>
      <c r="K55" s="2719"/>
      <c r="L55" s="2713"/>
      <c r="M55" s="2714"/>
      <c r="N55" s="2714"/>
      <c r="O55" s="2714"/>
      <c r="P55" s="1916"/>
    </row>
    <row r="56" spans="1:29">
      <c r="A56" s="2711"/>
      <c r="B56" s="2717"/>
      <c r="C56" s="2718"/>
      <c r="D56" s="2711"/>
      <c r="E56" s="2711"/>
      <c r="F56" s="2711"/>
      <c r="G56" s="2711"/>
      <c r="H56" s="2711"/>
      <c r="I56" s="2711"/>
      <c r="J56" s="2711"/>
      <c r="K56" s="2716"/>
      <c r="L56" s="2712"/>
      <c r="M56" s="2711"/>
      <c r="N56" s="2711"/>
      <c r="O56" s="2711"/>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8"/>
      <c r="C59" s="1183">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7" t="s">
        <v>1766</v>
      </c>
      <c r="C1" s="1238" t="s">
        <v>1662</v>
      </c>
      <c r="D1" s="1225"/>
      <c r="E1" s="3412"/>
      <c r="F1" s="1878"/>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195.03</v>
      </c>
      <c r="E3" s="1953"/>
      <c r="F3" s="909"/>
      <c r="G3" s="908"/>
      <c r="H3" s="908"/>
      <c r="I3" s="908"/>
      <c r="J3" s="908"/>
      <c r="K3" s="910"/>
      <c r="L3" s="2720"/>
      <c r="M3" s="2721"/>
      <c r="N3" s="2721"/>
      <c r="O3" s="2721"/>
      <c r="P3" s="1951"/>
      <c r="Q3" s="912"/>
      <c r="R3" s="912"/>
      <c r="S3" s="912"/>
      <c r="T3" s="912"/>
      <c r="U3" s="912"/>
      <c r="V3" s="912"/>
      <c r="W3" s="912"/>
      <c r="X3" s="912"/>
      <c r="Y3" s="912"/>
      <c r="Z3" s="912"/>
      <c r="AA3" s="912"/>
      <c r="AB3" s="912"/>
      <c r="AC3" s="1953"/>
    </row>
    <row r="4" spans="1:29" ht="14.4">
      <c r="A4" s="355" t="s">
        <v>1769</v>
      </c>
      <c r="B4" s="356"/>
      <c r="C4" s="3680" t="s">
        <v>1770</v>
      </c>
      <c r="D4" s="3681"/>
      <c r="E4" s="3682" t="s">
        <v>1771</v>
      </c>
      <c r="F4" s="3683"/>
      <c r="G4" s="3680" t="s">
        <v>1772</v>
      </c>
      <c r="H4" s="3681"/>
      <c r="I4" s="3680" t="s">
        <v>1773</v>
      </c>
      <c r="J4" s="3681"/>
      <c r="K4" s="559" t="s">
        <v>1774</v>
      </c>
      <c r="L4" s="2701"/>
      <c r="M4" s="2702"/>
      <c r="N4" s="2702"/>
      <c r="O4" s="2702"/>
      <c r="P4" s="3684" t="s">
        <v>1775</v>
      </c>
      <c r="Q4" s="3685"/>
      <c r="R4" s="3690" t="s">
        <v>1771</v>
      </c>
      <c r="S4" s="3691"/>
      <c r="T4" s="3690" t="s">
        <v>1772</v>
      </c>
      <c r="U4" s="3691"/>
      <c r="V4" s="3696" t="s">
        <v>1773</v>
      </c>
      <c r="W4" s="3696"/>
      <c r="X4" s="1354"/>
      <c r="Y4" s="3690" t="s">
        <v>1775</v>
      </c>
      <c r="Z4" s="3691"/>
      <c r="AA4" s="3677" t="s">
        <v>1771</v>
      </c>
      <c r="AB4" s="3696" t="s">
        <v>1772</v>
      </c>
      <c r="AC4" s="3677" t="s">
        <v>1773</v>
      </c>
    </row>
    <row r="5" spans="1:29">
      <c r="A5" s="358"/>
      <c r="B5" s="359"/>
      <c r="C5" s="3699" t="s">
        <v>1673</v>
      </c>
      <c r="D5" s="3700"/>
      <c r="E5" s="3706" t="s">
        <v>1674</v>
      </c>
      <c r="F5" s="3707"/>
      <c r="G5" s="3699" t="s">
        <v>1675</v>
      </c>
      <c r="H5" s="3700"/>
      <c r="I5" s="3699" t="s">
        <v>1676</v>
      </c>
      <c r="J5" s="3700"/>
      <c r="K5" s="559"/>
      <c r="L5" s="2701"/>
      <c r="M5" s="2702"/>
      <c r="N5" s="2702"/>
      <c r="O5" s="2702"/>
      <c r="P5" s="3686"/>
      <c r="Q5" s="3687"/>
      <c r="R5" s="3692"/>
      <c r="S5" s="3693"/>
      <c r="T5" s="3692"/>
      <c r="U5" s="3693"/>
      <c r="V5" s="3696"/>
      <c r="W5" s="3696"/>
      <c r="X5" s="1354"/>
      <c r="Y5" s="3692"/>
      <c r="Z5" s="3693"/>
      <c r="AA5" s="3678"/>
      <c r="AB5" s="3696"/>
      <c r="AC5" s="3678"/>
    </row>
    <row r="6" spans="1:29" ht="15" thickBot="1">
      <c r="A6" s="360"/>
      <c r="B6" s="361"/>
      <c r="C6" s="3697" t="s">
        <v>1677</v>
      </c>
      <c r="D6" s="3698"/>
      <c r="E6" s="3704" t="s">
        <v>1677</v>
      </c>
      <c r="F6" s="3705"/>
      <c r="G6" s="3697" t="s">
        <v>1677</v>
      </c>
      <c r="H6" s="3698"/>
      <c r="I6" s="3697" t="s">
        <v>1677</v>
      </c>
      <c r="J6" s="3698"/>
      <c r="K6" s="559" t="s">
        <v>1678</v>
      </c>
      <c r="L6" s="2701"/>
      <c r="M6" s="2702"/>
      <c r="N6" s="2702"/>
      <c r="O6" s="2702"/>
      <c r="P6" s="3688"/>
      <c r="Q6" s="3689"/>
      <c r="R6" s="3692"/>
      <c r="S6" s="3693"/>
      <c r="T6" s="3694"/>
      <c r="U6" s="3695"/>
      <c r="V6" s="3696"/>
      <c r="W6" s="3696"/>
      <c r="X6" s="1354"/>
      <c r="Y6" s="3694"/>
      <c r="Z6" s="3695"/>
      <c r="AA6" s="3679"/>
      <c r="AB6" s="3696"/>
      <c r="AC6" s="3679"/>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03"/>
      <c r="M7" s="2704"/>
      <c r="N7" s="2704"/>
      <c r="O7" s="2704"/>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676"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560"/>
      <c r="L10" s="2705"/>
      <c r="M10" s="2706"/>
      <c r="N10" s="2706"/>
      <c r="O10" s="2706"/>
      <c r="P10" s="3676"/>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676"/>
      <c r="Q11" s="1342"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676"/>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676"/>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676"/>
      <c r="Q14" s="1342">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674" t="s">
        <v>1691</v>
      </c>
      <c r="Q15" s="1351" t="str">
        <f t="shared" si="6"/>
        <v>商业繁华度</v>
      </c>
      <c r="R15" s="705" t="s">
        <v>14</v>
      </c>
      <c r="S15" s="706">
        <f t="shared" si="0"/>
        <v>100</v>
      </c>
      <c r="T15" s="705" t="s">
        <v>14</v>
      </c>
      <c r="U15" s="706">
        <f t="shared" si="1"/>
        <v>100</v>
      </c>
      <c r="V15" s="705" t="s">
        <v>14</v>
      </c>
      <c r="W15" s="706">
        <f t="shared" si="2"/>
        <v>100</v>
      </c>
      <c r="X15" s="1354"/>
      <c r="Y15" s="366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08"/>
      <c r="M16" s="2702"/>
      <c r="N16" s="2702"/>
      <c r="O16" s="2702"/>
      <c r="P16" s="3675"/>
      <c r="Q16" s="1351"/>
      <c r="R16" s="705"/>
      <c r="S16" s="706"/>
      <c r="T16" s="705"/>
      <c r="U16" s="706"/>
      <c r="V16" s="705"/>
      <c r="W16" s="706"/>
      <c r="X16" s="1354"/>
      <c r="Y16" s="3668"/>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675"/>
      <c r="Q17" s="1351" t="str">
        <f>B17</f>
        <v>交通便捷度</v>
      </c>
      <c r="R17" s="705" t="s">
        <v>14</v>
      </c>
      <c r="S17" s="706">
        <f>F17</f>
        <v>100</v>
      </c>
      <c r="T17" s="705" t="s">
        <v>14</v>
      </c>
      <c r="U17" s="706">
        <f>H17</f>
        <v>100</v>
      </c>
      <c r="V17" s="705" t="s">
        <v>14</v>
      </c>
      <c r="W17" s="706">
        <f>J17</f>
        <v>100</v>
      </c>
      <c r="X17" s="1354"/>
      <c r="Y17" s="366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08"/>
      <c r="M18" s="2702"/>
      <c r="N18" s="2702"/>
      <c r="O18" s="2702"/>
      <c r="P18" s="3675"/>
      <c r="Q18" s="1351"/>
      <c r="R18" s="705"/>
      <c r="S18" s="706"/>
      <c r="T18" s="705"/>
      <c r="U18" s="706"/>
      <c r="V18" s="705"/>
      <c r="W18" s="706"/>
      <c r="X18" s="1354"/>
      <c r="Y18" s="3668"/>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675"/>
      <c r="Q19" s="1351" t="str">
        <f>B19</f>
        <v>公共配套设施</v>
      </c>
      <c r="R19" s="705" t="s">
        <v>14</v>
      </c>
      <c r="S19" s="706">
        <f>F19</f>
        <v>100</v>
      </c>
      <c r="T19" s="705" t="s">
        <v>14</v>
      </c>
      <c r="U19" s="706">
        <f>H19</f>
        <v>100</v>
      </c>
      <c r="V19" s="705" t="s">
        <v>14</v>
      </c>
      <c r="W19" s="706">
        <f>J19</f>
        <v>100</v>
      </c>
      <c r="X19" s="1354"/>
      <c r="Y19" s="366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08"/>
      <c r="M20" s="2702"/>
      <c r="N20" s="2702"/>
      <c r="O20" s="2702"/>
      <c r="P20" s="3675"/>
      <c r="Q20" s="1351"/>
      <c r="R20" s="705"/>
      <c r="S20" s="706"/>
      <c r="T20" s="705"/>
      <c r="U20" s="706"/>
      <c r="V20" s="705"/>
      <c r="W20" s="706"/>
      <c r="X20" s="1354"/>
      <c r="Y20" s="3668"/>
      <c r="Z20" s="1355"/>
      <c r="AA20" s="1352">
        <v>1</v>
      </c>
      <c r="AB20" s="1352">
        <v>1</v>
      </c>
      <c r="AC20" s="1352">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675"/>
      <c r="Q21" s="1351" t="str">
        <f>B21</f>
        <v>基础设施水平</v>
      </c>
      <c r="R21" s="705" t="s">
        <v>14</v>
      </c>
      <c r="S21" s="706">
        <f>F21</f>
        <v>100</v>
      </c>
      <c r="T21" s="705" t="s">
        <v>14</v>
      </c>
      <c r="U21" s="706">
        <f>H21</f>
        <v>100</v>
      </c>
      <c r="V21" s="705" t="s">
        <v>14</v>
      </c>
      <c r="W21" s="706">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08"/>
      <c r="M22" s="2702"/>
      <c r="N22" s="2702"/>
      <c r="O22" s="2702"/>
      <c r="P22" s="3675"/>
      <c r="Q22" s="1351"/>
      <c r="R22" s="705"/>
      <c r="S22" s="706"/>
      <c r="T22" s="705"/>
      <c r="U22" s="706"/>
      <c r="V22" s="705"/>
      <c r="W22" s="706"/>
      <c r="X22" s="1354"/>
      <c r="Y22" s="3668"/>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675"/>
      <c r="Q23" s="1351" t="str">
        <f>B23</f>
        <v>自然及人文环境</v>
      </c>
      <c r="R23" s="705" t="s">
        <v>14</v>
      </c>
      <c r="S23" s="706">
        <f>F23</f>
        <v>100</v>
      </c>
      <c r="T23" s="705" t="s">
        <v>14</v>
      </c>
      <c r="U23" s="706">
        <f>H23</f>
        <v>100</v>
      </c>
      <c r="V23" s="705" t="s">
        <v>14</v>
      </c>
      <c r="W23" s="706">
        <f>J23</f>
        <v>100</v>
      </c>
      <c r="X23" s="1354"/>
      <c r="Y23" s="366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8"/>
      <c r="M24" s="2702"/>
      <c r="N24" s="2702"/>
      <c r="O24" s="2702"/>
      <c r="P24" s="3675"/>
      <c r="Q24" s="1351"/>
      <c r="R24" s="705"/>
      <c r="S24" s="706"/>
      <c r="T24" s="705"/>
      <c r="U24" s="706"/>
      <c r="V24" s="705"/>
      <c r="W24" s="706"/>
      <c r="X24" s="1354"/>
      <c r="Y24" s="366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675"/>
      <c r="Q25" s="1351" t="str">
        <f t="shared" ref="Q25:Q46" si="11">B25</f>
        <v>临街状况</v>
      </c>
      <c r="R25" s="705" t="s">
        <v>14</v>
      </c>
      <c r="S25" s="706">
        <f>F25</f>
        <v>100</v>
      </c>
      <c r="T25" s="705" t="s">
        <v>14</v>
      </c>
      <c r="U25" s="706">
        <f>H25</f>
        <v>100</v>
      </c>
      <c r="V25" s="705" t="s">
        <v>14</v>
      </c>
      <c r="W25" s="706">
        <f>J25</f>
        <v>100</v>
      </c>
      <c r="X25" s="1354"/>
      <c r="Y25" s="366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675"/>
      <c r="Q26" s="1351" t="str">
        <f t="shared" si="11"/>
        <v>平面位置/可视性</v>
      </c>
      <c r="R26" s="705" t="s">
        <v>14</v>
      </c>
      <c r="S26" s="706">
        <f>F26</f>
        <v>100</v>
      </c>
      <c r="T26" s="705" t="s">
        <v>14</v>
      </c>
      <c r="U26" s="706">
        <f>H26</f>
        <v>100</v>
      </c>
      <c r="V26" s="705" t="s">
        <v>14</v>
      </c>
      <c r="W26" s="706">
        <f>J26</f>
        <v>100</v>
      </c>
      <c r="X26" s="1354"/>
      <c r="Y26" s="366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03"/>
      <c r="M27" s="2704"/>
      <c r="N27" s="2704"/>
      <c r="O27" s="2704"/>
      <c r="P27" s="3675"/>
      <c r="Q27" s="1342" t="str">
        <f t="shared" si="11"/>
        <v>人流量</v>
      </c>
      <c r="R27" s="701" t="s">
        <v>14</v>
      </c>
      <c r="S27" s="702">
        <f>F27</f>
        <v>100</v>
      </c>
      <c r="T27" s="701" t="s">
        <v>14</v>
      </c>
      <c r="U27" s="702">
        <f>H27</f>
        <v>100</v>
      </c>
      <c r="V27" s="701" t="s">
        <v>14</v>
      </c>
      <c r="W27" s="702">
        <f>J27</f>
        <v>100</v>
      </c>
      <c r="X27" s="703"/>
      <c r="Y27" s="366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67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675"/>
      <c r="Q29" s="1351">
        <f t="shared" si="11"/>
        <v>111</v>
      </c>
      <c r="R29" s="705" t="s">
        <v>14</v>
      </c>
      <c r="S29" s="706">
        <f t="shared" si="12"/>
        <v>100</v>
      </c>
      <c r="T29" s="705" t="s">
        <v>14</v>
      </c>
      <c r="U29" s="706">
        <f t="shared" si="13"/>
        <v>100</v>
      </c>
      <c r="V29" s="705" t="s">
        <v>14</v>
      </c>
      <c r="W29" s="706">
        <f t="shared" si="14"/>
        <v>100</v>
      </c>
      <c r="X29" s="1354"/>
      <c r="Y29" s="366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675"/>
      <c r="Q30" s="1351">
        <f t="shared" si="11"/>
        <v>111</v>
      </c>
      <c r="R30" s="705" t="s">
        <v>14</v>
      </c>
      <c r="S30" s="706">
        <f t="shared" si="12"/>
        <v>100</v>
      </c>
      <c r="T30" s="705" t="s">
        <v>14</v>
      </c>
      <c r="U30" s="706">
        <f t="shared" si="13"/>
        <v>100</v>
      </c>
      <c r="V30" s="705" t="s">
        <v>14</v>
      </c>
      <c r="W30" s="706">
        <f t="shared" si="14"/>
        <v>100</v>
      </c>
      <c r="X30" s="1354"/>
      <c r="Y30" s="3668"/>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675"/>
      <c r="Q31" s="1351">
        <f t="shared" si="11"/>
        <v>111</v>
      </c>
      <c r="R31" s="705" t="s">
        <v>14</v>
      </c>
      <c r="S31" s="706">
        <f t="shared" si="12"/>
        <v>100</v>
      </c>
      <c r="T31" s="705" t="s">
        <v>14</v>
      </c>
      <c r="U31" s="706">
        <f t="shared" si="13"/>
        <v>100</v>
      </c>
      <c r="V31" s="705" t="s">
        <v>14</v>
      </c>
      <c r="W31" s="706">
        <f t="shared" si="14"/>
        <v>100</v>
      </c>
      <c r="X31" s="1354"/>
      <c r="Y31" s="366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8"/>
      <c r="M32" s="2702"/>
      <c r="N32" s="2702"/>
      <c r="O32" s="2702"/>
      <c r="P32" s="3669" t="s">
        <v>1696</v>
      </c>
      <c r="Q32" s="1351" t="str">
        <f t="shared" si="11"/>
        <v>商业类型</v>
      </c>
      <c r="R32" s="705" t="s">
        <v>14</v>
      </c>
      <c r="S32" s="706">
        <f t="shared" si="12"/>
        <v>100</v>
      </c>
      <c r="T32" s="705" t="s">
        <v>14</v>
      </c>
      <c r="U32" s="706">
        <f t="shared" si="13"/>
        <v>100</v>
      </c>
      <c r="V32" s="705" t="s">
        <v>14</v>
      </c>
      <c r="W32" s="706">
        <f t="shared" si="14"/>
        <v>100</v>
      </c>
      <c r="X32" s="1354"/>
      <c r="Y32" s="367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8"/>
      <c r="M34" s="2702"/>
      <c r="N34" s="2702"/>
      <c r="O34" s="2702"/>
      <c r="P34" s="3670"/>
      <c r="Q34" s="1351" t="str">
        <f t="shared" si="11"/>
        <v>建筑结构</v>
      </c>
      <c r="R34" s="705" t="s">
        <v>14</v>
      </c>
      <c r="S34" s="706">
        <f t="shared" si="12"/>
        <v>100</v>
      </c>
      <c r="T34" s="705" t="s">
        <v>14</v>
      </c>
      <c r="U34" s="706">
        <f t="shared" si="13"/>
        <v>100</v>
      </c>
      <c r="V34" s="705" t="s">
        <v>14</v>
      </c>
      <c r="W34" s="706">
        <f t="shared" si="14"/>
        <v>100</v>
      </c>
      <c r="X34" s="1354"/>
      <c r="Y34" s="367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8"/>
      <c r="M35" s="2702"/>
      <c r="N35" s="2702"/>
      <c r="O35" s="2702"/>
      <c r="P35" s="3670"/>
      <c r="Q35" s="1351" t="str">
        <f t="shared" si="11"/>
        <v>公共部分装修</v>
      </c>
      <c r="R35" s="705" t="s">
        <v>14</v>
      </c>
      <c r="S35" s="706">
        <f t="shared" si="12"/>
        <v>100</v>
      </c>
      <c r="T35" s="705" t="s">
        <v>14</v>
      </c>
      <c r="U35" s="706">
        <f t="shared" si="13"/>
        <v>100</v>
      </c>
      <c r="V35" s="705" t="s">
        <v>14</v>
      </c>
      <c r="W35" s="706">
        <f t="shared" si="14"/>
        <v>100</v>
      </c>
      <c r="X35" s="1354"/>
      <c r="Y35" s="367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670"/>
      <c r="Q36" s="1351" t="str">
        <f t="shared" si="11"/>
        <v>成新度</v>
      </c>
      <c r="R36" s="705" t="s">
        <v>14</v>
      </c>
      <c r="S36" s="706" t="e">
        <f t="shared" si="12"/>
        <v>#N/A</v>
      </c>
      <c r="T36" s="705" t="s">
        <v>14</v>
      </c>
      <c r="U36" s="706" t="e">
        <f t="shared" si="13"/>
        <v>#N/A</v>
      </c>
      <c r="V36" s="705" t="s">
        <v>14</v>
      </c>
      <c r="W36" s="706" t="e">
        <f t="shared" si="14"/>
        <v>#N/A</v>
      </c>
      <c r="X36" s="1354"/>
      <c r="Y36" s="367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3"/>
      <c r="M37" s="2704"/>
      <c r="N37" s="2704"/>
      <c r="O37" s="2704"/>
      <c r="P37" s="3670"/>
      <c r="Q37" s="1342"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8"/>
      <c r="M38" s="2702"/>
      <c r="N38" s="2702"/>
      <c r="O38" s="2702"/>
      <c r="P38" s="3670" t="s">
        <v>1696</v>
      </c>
      <c r="Q38" s="1351" t="str">
        <f t="shared" si="11"/>
        <v>业态</v>
      </c>
      <c r="R38" s="705" t="s">
        <v>14</v>
      </c>
      <c r="S38" s="706">
        <f t="shared" si="12"/>
        <v>100</v>
      </c>
      <c r="T38" s="705" t="s">
        <v>14</v>
      </c>
      <c r="U38" s="706">
        <f t="shared" si="13"/>
        <v>100</v>
      </c>
      <c r="V38" s="705" t="s">
        <v>14</v>
      </c>
      <c r="W38" s="706">
        <f t="shared" si="14"/>
        <v>100</v>
      </c>
      <c r="X38" s="1354"/>
      <c r="Y38" s="367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8"/>
      <c r="M39" s="2702"/>
      <c r="N39" s="2702"/>
      <c r="O39" s="2702"/>
      <c r="P39" s="3670"/>
      <c r="Q39" s="1351" t="str">
        <f t="shared" si="11"/>
        <v>层高</v>
      </c>
      <c r="R39" s="705" t="s">
        <v>14</v>
      </c>
      <c r="S39" s="706">
        <f t="shared" si="12"/>
        <v>100</v>
      </c>
      <c r="T39" s="705" t="s">
        <v>14</v>
      </c>
      <c r="U39" s="706">
        <f t="shared" si="13"/>
        <v>100</v>
      </c>
      <c r="V39" s="705" t="s">
        <v>14</v>
      </c>
      <c r="W39" s="706">
        <f t="shared" si="14"/>
        <v>100</v>
      </c>
      <c r="X39" s="1354"/>
      <c r="Y39" s="367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670"/>
      <c r="Q40" s="1351" t="str">
        <f t="shared" si="11"/>
        <v>单套建筑面积</v>
      </c>
      <c r="R40" s="705" t="s">
        <v>14</v>
      </c>
      <c r="S40" s="706">
        <f t="shared" si="12"/>
        <v>100</v>
      </c>
      <c r="T40" s="705" t="s">
        <v>14</v>
      </c>
      <c r="U40" s="706">
        <f t="shared" si="13"/>
        <v>100</v>
      </c>
      <c r="V40" s="705" t="s">
        <v>14</v>
      </c>
      <c r="W40" s="706">
        <f t="shared" si="14"/>
        <v>100</v>
      </c>
      <c r="X40" s="1354"/>
      <c r="Y40" s="367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8"/>
      <c r="M42" s="2702"/>
      <c r="N42" s="2702"/>
      <c r="O42" s="2702"/>
      <c r="P42" s="3670"/>
      <c r="Q42" s="1351" t="str">
        <f t="shared" si="11"/>
        <v>内部装修</v>
      </c>
      <c r="R42" s="705" t="s">
        <v>14</v>
      </c>
      <c r="S42" s="706">
        <f t="shared" si="12"/>
        <v>100</v>
      </c>
      <c r="T42" s="705" t="s">
        <v>14</v>
      </c>
      <c r="U42" s="706">
        <f t="shared" si="13"/>
        <v>100</v>
      </c>
      <c r="V42" s="705" t="s">
        <v>14</v>
      </c>
      <c r="W42" s="706">
        <f t="shared" si="14"/>
        <v>100</v>
      </c>
      <c r="X42" s="1354"/>
      <c r="Y42" s="3672"/>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8"/>
      <c r="M43" s="2702"/>
      <c r="N43" s="2702"/>
      <c r="O43" s="2702"/>
      <c r="P43" s="3670"/>
      <c r="Q43" s="1351" t="str">
        <f t="shared" si="11"/>
        <v>内部装修维护情况</v>
      </c>
      <c r="R43" s="705" t="s">
        <v>14</v>
      </c>
      <c r="S43" s="706">
        <f t="shared" si="12"/>
        <v>100</v>
      </c>
      <c r="T43" s="705" t="s">
        <v>14</v>
      </c>
      <c r="U43" s="706">
        <f t="shared" si="13"/>
        <v>100</v>
      </c>
      <c r="V43" s="705" t="s">
        <v>14</v>
      </c>
      <c r="W43" s="706">
        <f t="shared" si="14"/>
        <v>100</v>
      </c>
      <c r="X43" s="1354"/>
      <c r="Y43" s="367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670"/>
      <c r="Q44" s="1342">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670"/>
      <c r="Q45" s="1351">
        <f t="shared" si="11"/>
        <v>111</v>
      </c>
      <c r="R45" s="705" t="s">
        <v>14</v>
      </c>
      <c r="S45" s="706">
        <f t="shared" si="12"/>
        <v>100</v>
      </c>
      <c r="T45" s="705" t="s">
        <v>14</v>
      </c>
      <c r="U45" s="706">
        <f t="shared" si="13"/>
        <v>100</v>
      </c>
      <c r="V45" s="705" t="s">
        <v>14</v>
      </c>
      <c r="W45" s="706">
        <f t="shared" si="14"/>
        <v>100</v>
      </c>
      <c r="X45" s="1354"/>
      <c r="Y45" s="3672"/>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671"/>
      <c r="Q46" s="1351">
        <f t="shared" si="11"/>
        <v>111</v>
      </c>
      <c r="R46" s="705" t="s">
        <v>14</v>
      </c>
      <c r="S46" s="706">
        <f t="shared" si="12"/>
        <v>100</v>
      </c>
      <c r="T46" s="705" t="s">
        <v>14</v>
      </c>
      <c r="U46" s="706">
        <f t="shared" si="13"/>
        <v>100</v>
      </c>
      <c r="V46" s="705" t="s">
        <v>14</v>
      </c>
      <c r="W46" s="706">
        <f t="shared" si="14"/>
        <v>100</v>
      </c>
      <c r="X46" s="1354"/>
      <c r="Y46" s="3673"/>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10"/>
      <c r="M47" s="2711"/>
      <c r="N47" s="2702"/>
      <c r="O47" s="2711"/>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10"/>
      <c r="M48" s="2711"/>
      <c r="N48" s="2702"/>
      <c r="O48" s="2711"/>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10"/>
      <c r="M49" s="2711"/>
      <c r="N49" s="2702"/>
      <c r="O49" s="2711"/>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2.2" thickBot="1">
      <c r="A57" s="694" t="s">
        <v>1798</v>
      </c>
      <c r="B57" s="690"/>
      <c r="C57" s="695"/>
      <c r="D57" s="695"/>
      <c r="E57" s="695"/>
      <c r="F57" s="696"/>
      <c r="G57" s="696"/>
      <c r="H57" s="695"/>
      <c r="I57" s="695"/>
      <c r="J57" s="695"/>
      <c r="K57" s="697"/>
      <c r="L57" s="942"/>
      <c r="M57" s="940"/>
      <c r="N57" s="940"/>
      <c r="O57" s="940"/>
      <c r="P57" s="2724"/>
      <c r="Q57" s="2725"/>
      <c r="R57" s="2711"/>
      <c r="S57" s="2711"/>
      <c r="T57" s="2711"/>
      <c r="U57" s="2711"/>
      <c r="V57" s="2711"/>
      <c r="W57" s="2711"/>
      <c r="X57" s="2711"/>
      <c r="Y57" s="2711"/>
      <c r="Z57" s="2711"/>
      <c r="AA57" s="2711"/>
      <c r="AB57" s="2711"/>
      <c r="AC57" s="2711"/>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26"/>
      <c r="Q58" s="2727"/>
      <c r="R58" s="2727"/>
      <c r="S58" s="2727"/>
      <c r="T58" s="2727"/>
      <c r="U58" s="2727"/>
      <c r="V58" s="2727"/>
      <c r="W58" s="2727"/>
      <c r="X58" s="2727"/>
      <c r="Y58" s="2727"/>
      <c r="Z58" s="2727"/>
      <c r="AA58" s="2727"/>
      <c r="AB58" s="2727"/>
      <c r="AC58" s="2727"/>
    </row>
    <row r="59" spans="1:29" s="108" customFormat="1">
      <c r="A59" s="458"/>
      <c r="B59" s="459"/>
      <c r="C59" s="1183">
        <v>100</v>
      </c>
      <c r="D59" s="461"/>
      <c r="E59" s="461"/>
      <c r="F59" s="461"/>
      <c r="G59" s="461"/>
      <c r="H59" s="461"/>
      <c r="I59" s="461"/>
      <c r="J59" s="461"/>
      <c r="K59" s="461"/>
      <c r="L59" s="461"/>
      <c r="M59" s="462"/>
      <c r="N59" s="461"/>
      <c r="O59" s="462"/>
      <c r="P59" s="2728"/>
      <c r="Q59" s="2650"/>
      <c r="R59" s="2650"/>
      <c r="S59" s="2650"/>
      <c r="T59" s="2650"/>
      <c r="U59" s="2650"/>
      <c r="V59" s="2650"/>
      <c r="W59" s="2650"/>
      <c r="X59" s="2650"/>
      <c r="Y59" s="2650"/>
      <c r="Z59" s="2650"/>
      <c r="AA59" s="2650"/>
      <c r="AB59" s="2650"/>
      <c r="AC59" s="2650"/>
    </row>
    <row r="60" spans="1:29" s="108" customFormat="1" ht="15" thickBot="1">
      <c r="A60" s="464" t="s">
        <v>1716</v>
      </c>
      <c r="B60" s="465"/>
      <c r="C60" s="466"/>
      <c r="D60" s="467"/>
      <c r="E60" s="467"/>
      <c r="F60" s="467"/>
      <c r="G60" s="467"/>
      <c r="H60" s="467"/>
      <c r="I60" s="467"/>
      <c r="J60" s="467"/>
      <c r="K60" s="467"/>
      <c r="L60" s="467"/>
      <c r="M60" s="468"/>
      <c r="N60" s="467"/>
      <c r="O60" s="468"/>
      <c r="P60" s="2728"/>
      <c r="Q60" s="2725"/>
      <c r="R60" s="2650"/>
      <c r="S60" s="2650"/>
      <c r="T60" s="2650"/>
      <c r="U60" s="2650"/>
      <c r="V60" s="2650"/>
      <c r="W60" s="2650"/>
      <c r="X60" s="2650"/>
      <c r="Y60" s="2650"/>
      <c r="Z60" s="2650"/>
      <c r="AA60" s="2650"/>
      <c r="AB60" s="2650"/>
      <c r="AC60" s="2650"/>
    </row>
    <row r="61" spans="1:29" s="108" customFormat="1" ht="14.4">
      <c r="A61" s="470" t="s">
        <v>1681</v>
      </c>
      <c r="B61" s="459"/>
      <c r="C61" s="471" t="s">
        <v>1776</v>
      </c>
      <c r="D61" s="472"/>
      <c r="E61" s="472"/>
      <c r="F61" s="472"/>
      <c r="G61" s="472"/>
      <c r="H61" s="472"/>
      <c r="I61" s="472"/>
      <c r="J61" s="472"/>
      <c r="K61" s="472"/>
      <c r="L61" s="473"/>
      <c r="M61" s="474"/>
      <c r="N61" s="2738"/>
      <c r="O61" s="2738"/>
      <c r="P61" s="2729"/>
      <c r="Q61" s="2725"/>
      <c r="R61" s="2650"/>
      <c r="S61" s="2650"/>
      <c r="T61" s="2650"/>
      <c r="U61" s="2650"/>
      <c r="V61" s="2650"/>
      <c r="W61" s="2650"/>
      <c r="X61" s="2650"/>
      <c r="Y61" s="2650"/>
      <c r="Z61" s="2650"/>
      <c r="AA61" s="2650"/>
      <c r="AB61" s="2650"/>
      <c r="AC61" s="2650"/>
    </row>
    <row r="62" spans="1:29" s="108" customFormat="1" ht="14.4" thickBot="1">
      <c r="A62" s="470"/>
      <c r="B62" s="459"/>
      <c r="C62" s="460">
        <v>100</v>
      </c>
      <c r="D62" s="461"/>
      <c r="E62" s="461"/>
      <c r="F62" s="461"/>
      <c r="G62" s="461"/>
      <c r="H62" s="461"/>
      <c r="I62" s="461"/>
      <c r="J62" s="461"/>
      <c r="K62" s="461"/>
      <c r="L62" s="461"/>
      <c r="M62" s="463"/>
      <c r="N62" s="2738"/>
      <c r="O62" s="2738"/>
      <c r="P62" s="2728"/>
      <c r="Q62" s="2725"/>
      <c r="R62" s="2650"/>
      <c r="S62" s="2650"/>
      <c r="T62" s="2650"/>
      <c r="U62" s="2650"/>
      <c r="V62" s="2650"/>
      <c r="W62" s="2650"/>
      <c r="X62" s="2650"/>
      <c r="Y62" s="2650"/>
      <c r="Z62" s="2650"/>
      <c r="AA62" s="2650"/>
      <c r="AB62" s="2650"/>
      <c r="AC62" s="2650"/>
    </row>
    <row r="63" spans="1:29" ht="14.4">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4.4"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9.4"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4.4"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4.4"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4.4"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4.4"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4.4"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4.4"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4.4"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ht="14.4">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 thickTop="1">
      <c r="A82" s="483"/>
      <c r="B82" s="495" t="s">
        <v>1779</v>
      </c>
      <c r="C82" s="608" t="s">
        <v>1799</v>
      </c>
      <c r="D82" s="608" t="s">
        <v>1800</v>
      </c>
      <c r="E82" s="608" t="s">
        <v>1801</v>
      </c>
      <c r="F82" s="608" t="s">
        <v>1802</v>
      </c>
      <c r="G82" s="608" t="s">
        <v>1803</v>
      </c>
      <c r="H82" s="488"/>
      <c r="I82" s="488"/>
      <c r="J82" s="488"/>
      <c r="K82" s="488"/>
      <c r="L82" s="488"/>
      <c r="M82" s="1129"/>
      <c r="N82" s="2740"/>
      <c r="O82" s="2740"/>
      <c r="P82" s="2730"/>
      <c r="Q82" s="2725"/>
      <c r="R82" s="2711"/>
      <c r="S82" s="2711"/>
      <c r="T82" s="2711"/>
      <c r="U82" s="2711"/>
      <c r="V82" s="2711"/>
      <c r="W82" s="2711"/>
      <c r="X82" s="2711"/>
      <c r="Y82" s="2711"/>
      <c r="Z82" s="2711"/>
      <c r="AA82" s="2711"/>
      <c r="AB82" s="2711"/>
      <c r="AC82" s="271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 thickTop="1">
      <c r="A86" s="528"/>
      <c r="B86" s="487" t="s">
        <v>1804</v>
      </c>
      <c r="C86" s="503"/>
      <c r="D86" s="503"/>
      <c r="E86" s="503"/>
      <c r="F86" s="503"/>
      <c r="G86" s="503"/>
      <c r="H86" s="503"/>
      <c r="I86" s="503"/>
      <c r="J86" s="503"/>
      <c r="K86" s="503"/>
      <c r="L86" s="529"/>
      <c r="M86" s="530"/>
      <c r="N86" s="2738"/>
      <c r="O86" s="2738"/>
      <c r="P86" s="2730"/>
      <c r="Q86" s="2725"/>
      <c r="R86" s="2650"/>
      <c r="S86" s="2650"/>
      <c r="T86" s="2650"/>
      <c r="U86" s="2650"/>
      <c r="V86" s="2650"/>
      <c r="W86" s="2650"/>
      <c r="X86" s="2650"/>
      <c r="Y86" s="2650"/>
      <c r="Z86" s="2650"/>
      <c r="AA86" s="2650"/>
      <c r="AB86" s="2650"/>
      <c r="AC86" s="265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50"/>
      <c r="S87" s="2650"/>
      <c r="T87" s="2650"/>
      <c r="U87" s="2650"/>
      <c r="V87" s="2650"/>
      <c r="W87" s="2650"/>
      <c r="X87" s="2650"/>
      <c r="Y87" s="2650"/>
      <c r="Z87" s="2650"/>
      <c r="AA87" s="2650"/>
      <c r="AB87" s="2650"/>
      <c r="AC87" s="2650"/>
    </row>
    <row r="88" spans="1:29" s="108" customFormat="1" ht="14.4" thickTop="1">
      <c r="A88" s="528"/>
      <c r="B88" s="487" t="str">
        <f>B26</f>
        <v>平面位置/可视性</v>
      </c>
      <c r="C88" s="503"/>
      <c r="D88" s="503"/>
      <c r="E88" s="503"/>
      <c r="F88" s="1926"/>
      <c r="G88" s="503"/>
      <c r="H88" s="503"/>
      <c r="I88" s="503"/>
      <c r="J88" s="503"/>
      <c r="K88" s="503"/>
      <c r="L88" s="503"/>
      <c r="M88" s="530"/>
      <c r="N88" s="2738"/>
      <c r="O88" s="2738"/>
      <c r="P88" s="2730"/>
      <c r="Q88" s="2725"/>
      <c r="R88" s="2650"/>
      <c r="S88" s="2650"/>
      <c r="T88" s="2650"/>
      <c r="U88" s="2650"/>
      <c r="V88" s="2650"/>
      <c r="W88" s="2650"/>
      <c r="X88" s="2650"/>
      <c r="Y88" s="2650"/>
      <c r="Z88" s="2650"/>
      <c r="AA88" s="2650"/>
      <c r="AB88" s="2650"/>
      <c r="AC88" s="2650"/>
    </row>
    <row r="89" spans="1:29" s="108" customFormat="1" ht="14.4" thickBot="1">
      <c r="A89" s="528"/>
      <c r="B89" s="492"/>
      <c r="C89" s="509"/>
      <c r="D89" s="485"/>
      <c r="E89" s="485"/>
      <c r="F89" s="485"/>
      <c r="G89" s="485"/>
      <c r="H89" s="485"/>
      <c r="I89" s="485"/>
      <c r="J89" s="485"/>
      <c r="K89" s="485"/>
      <c r="L89" s="485"/>
      <c r="M89" s="485"/>
      <c r="N89" s="2740"/>
      <c r="O89" s="2740"/>
      <c r="P89" s="2730"/>
      <c r="Q89" s="2725"/>
      <c r="R89" s="2650"/>
      <c r="S89" s="2650"/>
      <c r="T89" s="2650"/>
      <c r="U89" s="2650"/>
      <c r="V89" s="2650"/>
      <c r="W89" s="2650"/>
      <c r="X89" s="2650"/>
      <c r="Y89" s="2650"/>
      <c r="Z89" s="2650"/>
      <c r="AA89" s="2650"/>
      <c r="AB89" s="2650"/>
      <c r="AC89" s="2650"/>
    </row>
    <row r="90" spans="1:29" s="422" customFormat="1" ht="14.4"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4.4"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4.4"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4.4"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4.4"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4.4"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4.4"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4.4"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4.4" thickBot="1">
      <c r="A99" s="1927"/>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ht="14.4">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4.4"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4.4"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4.4"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4.4"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4.4"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4.4"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4.4"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4.4" thickBot="1">
      <c r="A131" s="1927"/>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3"/>
      <c r="F3" s="909"/>
      <c r="G3" s="908"/>
      <c r="H3" s="908"/>
      <c r="I3" s="908"/>
      <c r="J3" s="908"/>
      <c r="K3" s="910"/>
      <c r="L3" s="2720"/>
      <c r="M3" s="2721"/>
      <c r="N3" s="2721"/>
      <c r="O3" s="2721"/>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01"/>
      <c r="M4" s="2702"/>
      <c r="N4" s="2702"/>
      <c r="O4" s="2702"/>
      <c r="P4" s="3714" t="s">
        <v>1775</v>
      </c>
      <c r="Q4" s="3715"/>
      <c r="R4" s="3718" t="s">
        <v>1771</v>
      </c>
      <c r="S4" s="3719"/>
      <c r="T4" s="3718" t="s">
        <v>1772</v>
      </c>
      <c r="U4" s="3719"/>
      <c r="V4" s="3720" t="s">
        <v>1773</v>
      </c>
      <c r="W4" s="3720"/>
      <c r="X4" s="1957"/>
      <c r="Y4" s="3718" t="s">
        <v>1775</v>
      </c>
      <c r="Z4" s="3719"/>
      <c r="AA4" s="3722" t="s">
        <v>1771</v>
      </c>
      <c r="AB4" s="3722" t="s">
        <v>1772</v>
      </c>
      <c r="AC4" s="3711" t="s">
        <v>1773</v>
      </c>
    </row>
    <row r="5" spans="1:29">
      <c r="A5" s="358"/>
      <c r="B5" s="359"/>
      <c r="C5" s="3699" t="s">
        <v>1673</v>
      </c>
      <c r="D5" s="3700"/>
      <c r="E5" s="3706" t="s">
        <v>1674</v>
      </c>
      <c r="F5" s="3707"/>
      <c r="G5" s="3699" t="s">
        <v>1675</v>
      </c>
      <c r="H5" s="3700"/>
      <c r="I5" s="3699" t="s">
        <v>1676</v>
      </c>
      <c r="J5" s="3700"/>
      <c r="K5" s="559"/>
      <c r="L5" s="2701"/>
      <c r="M5" s="2702"/>
      <c r="N5" s="2702"/>
      <c r="O5" s="2702"/>
      <c r="P5" s="3716"/>
      <c r="Q5" s="3687"/>
      <c r="R5" s="3692"/>
      <c r="S5" s="3693"/>
      <c r="T5" s="3692"/>
      <c r="U5" s="3693"/>
      <c r="V5" s="3696"/>
      <c r="W5" s="3696"/>
      <c r="X5" s="1354"/>
      <c r="Y5" s="3692"/>
      <c r="Z5" s="3693"/>
      <c r="AA5" s="3678"/>
      <c r="AB5" s="3678"/>
      <c r="AC5" s="3712"/>
    </row>
    <row r="6" spans="1:29" ht="15" thickBot="1">
      <c r="A6" s="360"/>
      <c r="B6" s="361"/>
      <c r="C6" s="3697" t="s">
        <v>1677</v>
      </c>
      <c r="D6" s="3698"/>
      <c r="E6" s="3704" t="s">
        <v>1677</v>
      </c>
      <c r="F6" s="3705"/>
      <c r="G6" s="3697" t="s">
        <v>1677</v>
      </c>
      <c r="H6" s="3698"/>
      <c r="I6" s="3697" t="s">
        <v>1677</v>
      </c>
      <c r="J6" s="3698"/>
      <c r="K6" s="559" t="s">
        <v>1678</v>
      </c>
      <c r="L6" s="2701"/>
      <c r="M6" s="2702"/>
      <c r="N6" s="2702"/>
      <c r="O6" s="2702"/>
      <c r="P6" s="3717"/>
      <c r="Q6" s="3689"/>
      <c r="R6" s="3692"/>
      <c r="S6" s="3693"/>
      <c r="T6" s="3694"/>
      <c r="U6" s="3695"/>
      <c r="V6" s="3696"/>
      <c r="W6" s="3696"/>
      <c r="X6" s="1354"/>
      <c r="Y6" s="3694"/>
      <c r="Z6" s="3695"/>
      <c r="AA6" s="3679"/>
      <c r="AB6" s="3679"/>
      <c r="AC6" s="3713"/>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03"/>
      <c r="M7" s="2704"/>
      <c r="N7" s="2704"/>
      <c r="O7" s="2704"/>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676"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8">
        <f t="shared" si="5"/>
        <v>1</v>
      </c>
    </row>
    <row r="10" spans="1:29" s="378" customFormat="1" ht="28.8">
      <c r="A10" s="374"/>
      <c r="B10" s="375" t="s">
        <v>1688</v>
      </c>
      <c r="C10" s="3420"/>
      <c r="D10" s="127">
        <v>100</v>
      </c>
      <c r="E10" s="3420"/>
      <c r="F10" s="127">
        <f>SUMIF(66:66,E10,67:67)-SUMIF(66:66,C10,67:67)+100</f>
        <v>100</v>
      </c>
      <c r="G10" s="3421"/>
      <c r="H10" s="127">
        <f>SUMIF(66:66,G10,67:67)-SUMIF(66:66,C10,67:67)+100</f>
        <v>100</v>
      </c>
      <c r="I10" s="3420"/>
      <c r="J10" s="127">
        <f>SUMIF(66:66,I10,67:67)-SUMIF(66:66,C10,67:67)+100</f>
        <v>100</v>
      </c>
      <c r="K10" s="560"/>
      <c r="L10" s="2705"/>
      <c r="M10" s="2706"/>
      <c r="N10" s="2706"/>
      <c r="O10" s="2706"/>
      <c r="P10" s="3676"/>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676"/>
      <c r="Q11" s="1342"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3"/>
      <c r="M12" s="2704"/>
      <c r="N12" s="2704"/>
      <c r="O12" s="2704"/>
      <c r="P12" s="3676"/>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8"/>
      <c r="M13" s="2702"/>
      <c r="N13" s="2702"/>
      <c r="O13" s="2702"/>
      <c r="P13" s="3676"/>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8"/>
      <c r="M14" s="2702"/>
      <c r="N14" s="2702"/>
      <c r="O14" s="2702"/>
      <c r="P14" s="3676"/>
      <c r="Q14" s="1342">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674" t="s">
        <v>1691</v>
      </c>
      <c r="Q15" s="1351" t="str">
        <f t="shared" si="6"/>
        <v>办公集聚程度</v>
      </c>
      <c r="R15" s="705" t="s">
        <v>14</v>
      </c>
      <c r="S15" s="706">
        <f t="shared" si="0"/>
        <v>100</v>
      </c>
      <c r="T15" s="705" t="s">
        <v>14</v>
      </c>
      <c r="U15" s="706">
        <f t="shared" si="1"/>
        <v>100</v>
      </c>
      <c r="V15" s="705" t="s">
        <v>14</v>
      </c>
      <c r="W15" s="706">
        <f t="shared" si="2"/>
        <v>100</v>
      </c>
      <c r="X15" s="1354"/>
      <c r="Y15" s="366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8"/>
      <c r="M16" s="2702"/>
      <c r="N16" s="2702"/>
      <c r="O16" s="2702"/>
      <c r="P16" s="3675"/>
      <c r="Q16" s="1351"/>
      <c r="R16" s="705"/>
      <c r="S16" s="706"/>
      <c r="T16" s="705"/>
      <c r="U16" s="706"/>
      <c r="V16" s="705"/>
      <c r="W16" s="706"/>
      <c r="X16" s="1354"/>
      <c r="Y16" s="3668"/>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675"/>
      <c r="Q17" s="1351" t="str">
        <f>B17</f>
        <v>交通便捷度</v>
      </c>
      <c r="R17" s="705" t="s">
        <v>14</v>
      </c>
      <c r="S17" s="706">
        <f>F17</f>
        <v>100</v>
      </c>
      <c r="T17" s="705" t="s">
        <v>14</v>
      </c>
      <c r="U17" s="706">
        <f>H17</f>
        <v>100</v>
      </c>
      <c r="V17" s="705" t="s">
        <v>14</v>
      </c>
      <c r="W17" s="706">
        <f>J17</f>
        <v>100</v>
      </c>
      <c r="X17" s="1354"/>
      <c r="Y17" s="366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8"/>
      <c r="M18" s="2702"/>
      <c r="N18" s="2702"/>
      <c r="O18" s="2702"/>
      <c r="P18" s="3675"/>
      <c r="Q18" s="1351"/>
      <c r="R18" s="705"/>
      <c r="S18" s="706"/>
      <c r="T18" s="705"/>
      <c r="U18" s="706"/>
      <c r="V18" s="705"/>
      <c r="W18" s="706"/>
      <c r="X18" s="1354"/>
      <c r="Y18" s="3668"/>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675"/>
      <c r="Q19" s="1351" t="str">
        <f>B19</f>
        <v>公共配套设施</v>
      </c>
      <c r="R19" s="705" t="s">
        <v>14</v>
      </c>
      <c r="S19" s="706">
        <f>F19</f>
        <v>100</v>
      </c>
      <c r="T19" s="705" t="s">
        <v>14</v>
      </c>
      <c r="U19" s="706">
        <f>H19</f>
        <v>100</v>
      </c>
      <c r="V19" s="705" t="s">
        <v>14</v>
      </c>
      <c r="W19" s="706">
        <f>J19</f>
        <v>100</v>
      </c>
      <c r="X19" s="1354"/>
      <c r="Y19" s="366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8"/>
      <c r="M20" s="2702"/>
      <c r="N20" s="2702"/>
      <c r="O20" s="2702"/>
      <c r="P20" s="3675"/>
      <c r="Q20" s="1351"/>
      <c r="R20" s="705"/>
      <c r="S20" s="706"/>
      <c r="T20" s="705"/>
      <c r="U20" s="706"/>
      <c r="V20" s="705"/>
      <c r="W20" s="706"/>
      <c r="X20" s="1354"/>
      <c r="Y20" s="3668"/>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675"/>
      <c r="Q21" s="1351" t="str">
        <f>B21</f>
        <v>基础设施水平</v>
      </c>
      <c r="R21" s="705" t="s">
        <v>14</v>
      </c>
      <c r="S21" s="706">
        <f>F21</f>
        <v>100</v>
      </c>
      <c r="T21" s="705" t="s">
        <v>14</v>
      </c>
      <c r="U21" s="706">
        <f>H21</f>
        <v>100</v>
      </c>
      <c r="V21" s="705" t="s">
        <v>14</v>
      </c>
      <c r="W21" s="706">
        <f>J21</f>
        <v>100</v>
      </c>
      <c r="X21" s="1354"/>
      <c r="Y21" s="366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08"/>
      <c r="M22" s="2702"/>
      <c r="N22" s="2702"/>
      <c r="O22" s="2702"/>
      <c r="P22" s="3675"/>
      <c r="Q22" s="1351"/>
      <c r="R22" s="705"/>
      <c r="S22" s="706"/>
      <c r="T22" s="705"/>
      <c r="U22" s="706"/>
      <c r="V22" s="705"/>
      <c r="W22" s="706"/>
      <c r="X22" s="1354"/>
      <c r="Y22" s="3668"/>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675"/>
      <c r="Q23" s="1351" t="str">
        <f>B23</f>
        <v>环境质量</v>
      </c>
      <c r="R23" s="705" t="s">
        <v>14</v>
      </c>
      <c r="S23" s="706">
        <f>F23</f>
        <v>100</v>
      </c>
      <c r="T23" s="705" t="s">
        <v>14</v>
      </c>
      <c r="U23" s="706">
        <f>H23</f>
        <v>100</v>
      </c>
      <c r="V23" s="705" t="s">
        <v>14</v>
      </c>
      <c r="W23" s="706">
        <f>J23</f>
        <v>100</v>
      </c>
      <c r="X23" s="1354"/>
      <c r="Y23" s="366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8"/>
      <c r="M24" s="2702"/>
      <c r="N24" s="2702"/>
      <c r="O24" s="2702"/>
      <c r="P24" s="3675"/>
      <c r="Q24" s="1351"/>
      <c r="R24" s="705"/>
      <c r="S24" s="706"/>
      <c r="T24" s="705"/>
      <c r="U24" s="706"/>
      <c r="V24" s="705"/>
      <c r="W24" s="706"/>
      <c r="X24" s="1354"/>
      <c r="Y24" s="3668"/>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08"/>
      <c r="M25" s="2702"/>
      <c r="N25" s="2702"/>
      <c r="O25" s="2702"/>
      <c r="P25" s="3675"/>
      <c r="Q25" s="1351" t="str">
        <f>B25</f>
        <v>毗邻道路的类型与等级</v>
      </c>
      <c r="R25" s="705" t="s">
        <v>14</v>
      </c>
      <c r="S25" s="706">
        <f>F25</f>
        <v>100</v>
      </c>
      <c r="T25" s="705" t="s">
        <v>14</v>
      </c>
      <c r="U25" s="706">
        <f>H25</f>
        <v>100</v>
      </c>
      <c r="V25" s="705" t="s">
        <v>14</v>
      </c>
      <c r="W25" s="706">
        <f>J25</f>
        <v>100</v>
      </c>
      <c r="X25" s="1354"/>
      <c r="Y25" s="366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8"/>
      <c r="M26" s="2702"/>
      <c r="N26" s="2702"/>
      <c r="O26" s="2702"/>
      <c r="P26" s="3675"/>
      <c r="Q26" s="1351"/>
      <c r="R26" s="705"/>
      <c r="S26" s="706"/>
      <c r="T26" s="705"/>
      <c r="U26" s="706"/>
      <c r="V26" s="705"/>
      <c r="W26" s="706"/>
      <c r="X26" s="1354"/>
      <c r="Y26" s="366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675"/>
      <c r="Q27" s="1351" t="str">
        <f t="shared" ref="Q27:Q47" si="11">B27</f>
        <v>楼层</v>
      </c>
      <c r="R27" s="705" t="s">
        <v>14</v>
      </c>
      <c r="S27" s="706">
        <f>F27</f>
        <v>100</v>
      </c>
      <c r="T27" s="705" t="s">
        <v>14</v>
      </c>
      <c r="U27" s="706">
        <f>H27</f>
        <v>100</v>
      </c>
      <c r="V27" s="705" t="s">
        <v>14</v>
      </c>
      <c r="W27" s="706">
        <f>J27</f>
        <v>100</v>
      </c>
      <c r="X27" s="1354"/>
      <c r="Y27" s="366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03"/>
      <c r="M28" s="2704"/>
      <c r="N28" s="2704"/>
      <c r="O28" s="2704"/>
      <c r="P28" s="3675"/>
      <c r="Q28" s="1342" t="str">
        <f t="shared" si="11"/>
        <v>朝向</v>
      </c>
      <c r="R28" s="701" t="s">
        <v>14</v>
      </c>
      <c r="S28" s="702">
        <f>F28</f>
        <v>100</v>
      </c>
      <c r="T28" s="701" t="s">
        <v>14</v>
      </c>
      <c r="U28" s="702">
        <f>H28</f>
        <v>100</v>
      </c>
      <c r="V28" s="701" t="s">
        <v>14</v>
      </c>
      <c r="W28" s="702">
        <f>J28</f>
        <v>100</v>
      </c>
      <c r="X28" s="703"/>
      <c r="Y28" s="366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8"/>
      <c r="M29" s="2702"/>
      <c r="N29" s="2702"/>
      <c r="O29" s="2702"/>
      <c r="P29" s="3675"/>
      <c r="Q29" s="1351">
        <f t="shared" si="11"/>
        <v>111</v>
      </c>
      <c r="R29" s="705" t="s">
        <v>14</v>
      </c>
      <c r="S29" s="706">
        <f t="shared" ref="S29:S47" si="12">F29</f>
        <v>100</v>
      </c>
      <c r="T29" s="705" t="s">
        <v>14</v>
      </c>
      <c r="U29" s="706">
        <f t="shared" ref="U29:U47" si="13">H29</f>
        <v>100</v>
      </c>
      <c r="V29" s="705" t="s">
        <v>14</v>
      </c>
      <c r="W29" s="706">
        <f t="shared" ref="W29:W47" si="14">J29</f>
        <v>100</v>
      </c>
      <c r="X29" s="1354"/>
      <c r="Y29" s="366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8"/>
      <c r="M30" s="2702"/>
      <c r="N30" s="2702"/>
      <c r="O30" s="2702"/>
      <c r="P30" s="3675"/>
      <c r="Q30" s="1351">
        <f t="shared" si="11"/>
        <v>111</v>
      </c>
      <c r="R30" s="705" t="s">
        <v>14</v>
      </c>
      <c r="S30" s="706">
        <f t="shared" si="12"/>
        <v>100</v>
      </c>
      <c r="T30" s="705" t="s">
        <v>14</v>
      </c>
      <c r="U30" s="706">
        <f t="shared" si="13"/>
        <v>100</v>
      </c>
      <c r="V30" s="705" t="s">
        <v>14</v>
      </c>
      <c r="W30" s="706">
        <f t="shared" si="14"/>
        <v>100</v>
      </c>
      <c r="X30" s="1354"/>
      <c r="Y30" s="366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8"/>
      <c r="M31" s="2702"/>
      <c r="N31" s="2702"/>
      <c r="O31" s="2702"/>
      <c r="P31" s="3675"/>
      <c r="Q31" s="1351">
        <f t="shared" si="11"/>
        <v>111</v>
      </c>
      <c r="R31" s="705" t="s">
        <v>14</v>
      </c>
      <c r="S31" s="706">
        <f t="shared" si="12"/>
        <v>100</v>
      </c>
      <c r="T31" s="705" t="s">
        <v>14</v>
      </c>
      <c r="U31" s="706">
        <f t="shared" si="13"/>
        <v>100</v>
      </c>
      <c r="V31" s="705" t="s">
        <v>14</v>
      </c>
      <c r="W31" s="706">
        <f t="shared" si="14"/>
        <v>100</v>
      </c>
      <c r="X31" s="1354"/>
      <c r="Y31" s="3668"/>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8"/>
      <c r="M32" s="2702"/>
      <c r="N32" s="2702"/>
      <c r="O32" s="2702"/>
      <c r="P32" s="3675"/>
      <c r="Q32" s="1351">
        <f t="shared" si="11"/>
        <v>111</v>
      </c>
      <c r="R32" s="705" t="s">
        <v>14</v>
      </c>
      <c r="S32" s="706">
        <f t="shared" si="12"/>
        <v>100</v>
      </c>
      <c r="T32" s="705" t="s">
        <v>14</v>
      </c>
      <c r="U32" s="706">
        <f t="shared" si="13"/>
        <v>100</v>
      </c>
      <c r="V32" s="705" t="s">
        <v>14</v>
      </c>
      <c r="W32" s="706">
        <f t="shared" si="14"/>
        <v>100</v>
      </c>
      <c r="X32" s="1354"/>
      <c r="Y32" s="366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8"/>
      <c r="M33" s="2702"/>
      <c r="N33" s="2702"/>
      <c r="O33" s="2702"/>
      <c r="P33" s="3669" t="s">
        <v>1696</v>
      </c>
      <c r="Q33" s="1351" t="str">
        <f t="shared" si="11"/>
        <v>建筑类型</v>
      </c>
      <c r="R33" s="705" t="s">
        <v>14</v>
      </c>
      <c r="S33" s="706">
        <f t="shared" si="12"/>
        <v>100</v>
      </c>
      <c r="T33" s="705" t="s">
        <v>14</v>
      </c>
      <c r="U33" s="706">
        <f t="shared" si="13"/>
        <v>100</v>
      </c>
      <c r="V33" s="705" t="s">
        <v>14</v>
      </c>
      <c r="W33" s="706">
        <f t="shared" si="14"/>
        <v>100</v>
      </c>
      <c r="X33" s="1354"/>
      <c r="Y33" s="367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670"/>
      <c r="Q35" s="1351" t="str">
        <f t="shared" si="11"/>
        <v>建筑结构</v>
      </c>
      <c r="R35" s="705" t="s">
        <v>14</v>
      </c>
      <c r="S35" s="706">
        <f t="shared" si="12"/>
        <v>100</v>
      </c>
      <c r="T35" s="705" t="s">
        <v>14</v>
      </c>
      <c r="U35" s="706">
        <f t="shared" si="13"/>
        <v>100</v>
      </c>
      <c r="V35" s="705" t="s">
        <v>14</v>
      </c>
      <c r="W35" s="706">
        <f t="shared" si="14"/>
        <v>100</v>
      </c>
      <c r="X35" s="1354"/>
      <c r="Y35" s="367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670"/>
      <c r="Q36" s="1351" t="str">
        <f t="shared" si="11"/>
        <v>公共部分装修</v>
      </c>
      <c r="R36" s="705" t="s">
        <v>14</v>
      </c>
      <c r="S36" s="706">
        <f t="shared" si="12"/>
        <v>100</v>
      </c>
      <c r="T36" s="705" t="s">
        <v>14</v>
      </c>
      <c r="U36" s="706">
        <f t="shared" si="13"/>
        <v>100</v>
      </c>
      <c r="V36" s="705" t="s">
        <v>14</v>
      </c>
      <c r="W36" s="706">
        <f t="shared" si="14"/>
        <v>100</v>
      </c>
      <c r="X36" s="1354"/>
      <c r="Y36" s="367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670"/>
      <c r="Q37" s="1351" t="str">
        <f t="shared" si="11"/>
        <v>成新度</v>
      </c>
      <c r="R37" s="705" t="s">
        <v>14</v>
      </c>
      <c r="S37" s="706" t="e">
        <f t="shared" si="12"/>
        <v>#N/A</v>
      </c>
      <c r="T37" s="705" t="s">
        <v>14</v>
      </c>
      <c r="U37" s="706" t="e">
        <f t="shared" si="13"/>
        <v>#N/A</v>
      </c>
      <c r="V37" s="705" t="s">
        <v>14</v>
      </c>
      <c r="W37" s="706" t="e">
        <f t="shared" si="14"/>
        <v>#N/A</v>
      </c>
      <c r="X37" s="1354"/>
      <c r="Y37" s="367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670"/>
      <c r="Q38" s="1342"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670" t="s">
        <v>1696</v>
      </c>
      <c r="Q39" s="1351" t="str">
        <f t="shared" si="11"/>
        <v>物业管理</v>
      </c>
      <c r="R39" s="705" t="s">
        <v>14</v>
      </c>
      <c r="S39" s="706">
        <f t="shared" si="12"/>
        <v>100</v>
      </c>
      <c r="T39" s="705" t="s">
        <v>14</v>
      </c>
      <c r="U39" s="706">
        <f t="shared" si="13"/>
        <v>100</v>
      </c>
      <c r="V39" s="705" t="s">
        <v>14</v>
      </c>
      <c r="W39" s="706">
        <f t="shared" si="14"/>
        <v>100</v>
      </c>
      <c r="X39" s="1354"/>
      <c r="Y39" s="367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670"/>
      <c r="Q40" s="1351" t="str">
        <f t="shared" si="11"/>
        <v>市政基础设施</v>
      </c>
      <c r="R40" s="705" t="s">
        <v>14</v>
      </c>
      <c r="S40" s="706">
        <f t="shared" si="12"/>
        <v>100</v>
      </c>
      <c r="T40" s="705" t="s">
        <v>14</v>
      </c>
      <c r="U40" s="706">
        <f t="shared" si="13"/>
        <v>100</v>
      </c>
      <c r="V40" s="705" t="s">
        <v>14</v>
      </c>
      <c r="W40" s="706">
        <f t="shared" si="14"/>
        <v>100</v>
      </c>
      <c r="X40" s="1354"/>
      <c r="Y40" s="367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670"/>
      <c r="Q41" s="1351" t="str">
        <f t="shared" si="11"/>
        <v>层高</v>
      </c>
      <c r="R41" s="705" t="s">
        <v>14</v>
      </c>
      <c r="S41" s="706">
        <f t="shared" si="12"/>
        <v>100</v>
      </c>
      <c r="T41" s="705" t="s">
        <v>14</v>
      </c>
      <c r="U41" s="706">
        <f t="shared" si="13"/>
        <v>100</v>
      </c>
      <c r="V41" s="705" t="s">
        <v>14</v>
      </c>
      <c r="W41" s="706">
        <f t="shared" si="14"/>
        <v>100</v>
      </c>
      <c r="X41" s="1354"/>
      <c r="Y41" s="367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670"/>
      <c r="Q43" s="1351" t="str">
        <f t="shared" si="11"/>
        <v>内部装修</v>
      </c>
      <c r="R43" s="705" t="s">
        <v>14</v>
      </c>
      <c r="S43" s="706">
        <f t="shared" si="12"/>
        <v>100</v>
      </c>
      <c r="T43" s="705" t="s">
        <v>14</v>
      </c>
      <c r="U43" s="706">
        <f t="shared" si="13"/>
        <v>100</v>
      </c>
      <c r="V43" s="705" t="s">
        <v>14</v>
      </c>
      <c r="W43" s="706">
        <f t="shared" si="14"/>
        <v>100</v>
      </c>
      <c r="X43" s="1354"/>
      <c r="Y43" s="3672"/>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8"/>
      <c r="M44" s="2702"/>
      <c r="N44" s="2702"/>
      <c r="O44" s="2702"/>
      <c r="P44" s="3670"/>
      <c r="Q44" s="1351" t="str">
        <f t="shared" si="11"/>
        <v>内部装修维护情况</v>
      </c>
      <c r="R44" s="705" t="s">
        <v>14</v>
      </c>
      <c r="S44" s="706">
        <f t="shared" si="12"/>
        <v>100</v>
      </c>
      <c r="T44" s="705" t="s">
        <v>14</v>
      </c>
      <c r="U44" s="706">
        <f t="shared" si="13"/>
        <v>100</v>
      </c>
      <c r="V44" s="705" t="s">
        <v>14</v>
      </c>
      <c r="W44" s="706">
        <f t="shared" si="14"/>
        <v>100</v>
      </c>
      <c r="X44" s="1354"/>
      <c r="Y44" s="367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670"/>
      <c r="Q45" s="1342">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670"/>
      <c r="Q46" s="1351">
        <f t="shared" si="11"/>
        <v>111</v>
      </c>
      <c r="R46" s="705" t="s">
        <v>14</v>
      </c>
      <c r="S46" s="706">
        <f t="shared" si="12"/>
        <v>100</v>
      </c>
      <c r="T46" s="705" t="s">
        <v>14</v>
      </c>
      <c r="U46" s="706">
        <f t="shared" si="13"/>
        <v>100</v>
      </c>
      <c r="V46" s="705" t="s">
        <v>14</v>
      </c>
      <c r="W46" s="706">
        <f t="shared" si="14"/>
        <v>100</v>
      </c>
      <c r="X46" s="1354"/>
      <c r="Y46" s="3672"/>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671"/>
      <c r="Q47" s="1351">
        <f t="shared" si="11"/>
        <v>111</v>
      </c>
      <c r="R47" s="705" t="s">
        <v>14</v>
      </c>
      <c r="S47" s="706">
        <f t="shared" si="12"/>
        <v>100</v>
      </c>
      <c r="T47" s="705" t="s">
        <v>14</v>
      </c>
      <c r="U47" s="706">
        <f t="shared" si="13"/>
        <v>100</v>
      </c>
      <c r="V47" s="705" t="s">
        <v>14</v>
      </c>
      <c r="W47" s="706">
        <f t="shared" si="14"/>
        <v>100</v>
      </c>
      <c r="X47" s="1354"/>
      <c r="Y47" s="3673"/>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10"/>
      <c r="M48" s="2702"/>
      <c r="N48" s="2702"/>
      <c r="O48" s="2702"/>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10"/>
      <c r="M49" s="2702"/>
      <c r="N49" s="2702"/>
      <c r="O49" s="2702"/>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10"/>
      <c r="M50" s="2702"/>
      <c r="N50" s="2702"/>
      <c r="O50" s="2702"/>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5"/>
      <c r="Y50" s="1945"/>
      <c r="Z50" s="1945"/>
      <c r="AA50" s="1945"/>
      <c r="AB50" s="1945"/>
      <c r="AC50" s="1946"/>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2.2" thickBot="1">
      <c r="A58" s="694" t="s">
        <v>1798</v>
      </c>
      <c r="B58" s="690"/>
      <c r="C58" s="695"/>
      <c r="D58" s="695"/>
      <c r="E58" s="695"/>
      <c r="F58" s="696"/>
      <c r="G58" s="696"/>
      <c r="H58" s="695"/>
      <c r="I58" s="695"/>
      <c r="J58" s="695"/>
      <c r="K58" s="697"/>
      <c r="L58" s="942"/>
      <c r="M58" s="940"/>
      <c r="N58" s="2755"/>
      <c r="O58" s="2755"/>
      <c r="P58" s="2744"/>
      <c r="Q58" s="2725"/>
      <c r="R58" s="2711"/>
      <c r="S58" s="2711"/>
      <c r="T58" s="2711"/>
      <c r="U58" s="2711"/>
      <c r="V58" s="2711"/>
      <c r="W58" s="2711"/>
      <c r="X58" s="2711"/>
      <c r="Y58" s="2711"/>
      <c r="Z58" s="2711"/>
      <c r="AA58" s="2711"/>
      <c r="AB58" s="2711"/>
      <c r="AC58" s="2711"/>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45"/>
      <c r="Q59" s="2727"/>
      <c r="R59" s="2727"/>
      <c r="S59" s="2727"/>
      <c r="T59" s="2727"/>
      <c r="U59" s="2727"/>
      <c r="V59" s="2727"/>
      <c r="W59" s="2727"/>
      <c r="X59" s="2727"/>
      <c r="Y59" s="2727"/>
      <c r="Z59" s="2727"/>
      <c r="AA59" s="2727"/>
      <c r="AB59" s="2727"/>
      <c r="AC59" s="2727"/>
    </row>
    <row r="60" spans="1:29" s="108" customFormat="1">
      <c r="A60" s="458"/>
      <c r="B60" s="459"/>
      <c r="C60" s="1183">
        <v>100</v>
      </c>
      <c r="D60" s="461"/>
      <c r="E60" s="461"/>
      <c r="F60" s="461"/>
      <c r="G60" s="461"/>
      <c r="H60" s="461"/>
      <c r="I60" s="461"/>
      <c r="J60" s="461"/>
      <c r="K60" s="461"/>
      <c r="L60" s="461"/>
      <c r="M60" s="462"/>
      <c r="N60" s="461"/>
      <c r="O60" s="462"/>
      <c r="P60" s="2746"/>
      <c r="Q60" s="2650"/>
      <c r="R60" s="2650"/>
      <c r="S60" s="2650"/>
      <c r="T60" s="2650"/>
      <c r="U60" s="2650"/>
      <c r="V60" s="2650"/>
      <c r="W60" s="2650"/>
      <c r="X60" s="2650"/>
      <c r="Y60" s="2650"/>
      <c r="Z60" s="2650"/>
      <c r="AA60" s="2650"/>
      <c r="AB60" s="2650"/>
      <c r="AC60" s="2650"/>
    </row>
    <row r="61" spans="1:29" s="108" customFormat="1" ht="15" thickBot="1">
      <c r="A61" s="464" t="s">
        <v>1716</v>
      </c>
      <c r="B61" s="465"/>
      <c r="C61" s="466"/>
      <c r="D61" s="467"/>
      <c r="E61" s="467"/>
      <c r="F61" s="467"/>
      <c r="G61" s="467"/>
      <c r="H61" s="467"/>
      <c r="I61" s="467"/>
      <c r="J61" s="467"/>
      <c r="K61" s="467"/>
      <c r="L61" s="467"/>
      <c r="M61" s="468"/>
      <c r="N61" s="467"/>
      <c r="O61" s="468"/>
      <c r="P61" s="2746"/>
      <c r="Q61" s="2725"/>
      <c r="R61" s="2650"/>
      <c r="S61" s="2650"/>
      <c r="T61" s="2650"/>
      <c r="U61" s="2650"/>
      <c r="V61" s="2650"/>
      <c r="W61" s="2650"/>
      <c r="X61" s="2650"/>
      <c r="Y61" s="2650"/>
      <c r="Z61" s="2650"/>
      <c r="AA61" s="2650"/>
      <c r="AB61" s="2650"/>
      <c r="AC61" s="2650"/>
    </row>
    <row r="62" spans="1:29" s="108" customFormat="1" ht="14.4">
      <c r="A62" s="470" t="s">
        <v>1681</v>
      </c>
      <c r="B62" s="459"/>
      <c r="C62" s="471" t="s">
        <v>1776</v>
      </c>
      <c r="D62" s="472"/>
      <c r="E62" s="472"/>
      <c r="F62" s="472"/>
      <c r="G62" s="472"/>
      <c r="H62" s="472"/>
      <c r="I62" s="472"/>
      <c r="J62" s="472"/>
      <c r="K62" s="472"/>
      <c r="L62" s="473"/>
      <c r="M62" s="474"/>
      <c r="N62" s="2738"/>
      <c r="O62" s="2738"/>
      <c r="P62" s="2747"/>
      <c r="Q62" s="2725"/>
      <c r="R62" s="2650"/>
      <c r="S62" s="2650"/>
      <c r="T62" s="2650"/>
      <c r="U62" s="2650"/>
      <c r="V62" s="2650"/>
      <c r="W62" s="2650"/>
      <c r="X62" s="2650"/>
      <c r="Y62" s="2650"/>
      <c r="Z62" s="2650"/>
      <c r="AA62" s="2650"/>
      <c r="AB62" s="2650"/>
      <c r="AC62" s="2650"/>
    </row>
    <row r="63" spans="1:29" s="108" customFormat="1" ht="14.4" thickBot="1">
      <c r="A63" s="470"/>
      <c r="B63" s="459"/>
      <c r="C63" s="460">
        <v>100</v>
      </c>
      <c r="D63" s="461"/>
      <c r="E63" s="461"/>
      <c r="F63" s="461"/>
      <c r="G63" s="461"/>
      <c r="H63" s="461"/>
      <c r="I63" s="461"/>
      <c r="J63" s="461"/>
      <c r="K63" s="461"/>
      <c r="L63" s="461"/>
      <c r="M63" s="463"/>
      <c r="N63" s="2738"/>
      <c r="O63" s="2738"/>
      <c r="P63" s="2746"/>
      <c r="Q63" s="2725"/>
      <c r="R63" s="2650"/>
      <c r="S63" s="2650"/>
      <c r="T63" s="2650"/>
      <c r="U63" s="2650"/>
      <c r="V63" s="2650"/>
      <c r="W63" s="2650"/>
      <c r="X63" s="2650"/>
      <c r="Y63" s="2650"/>
      <c r="Z63" s="2650"/>
      <c r="AA63" s="2650"/>
      <c r="AB63" s="2650"/>
      <c r="AC63" s="2650"/>
    </row>
    <row r="64" spans="1:29" ht="14.4">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4.4"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9.4"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4.4"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4.4"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4.4"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4.4"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4.4"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4.4"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4.4"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ht="14.4">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 thickTop="1">
      <c r="A83" s="483"/>
      <c r="B83" s="495" t="s">
        <v>1813</v>
      </c>
      <c r="C83" s="608" t="s">
        <v>1799</v>
      </c>
      <c r="D83" s="608" t="s">
        <v>1800</v>
      </c>
      <c r="E83" s="608" t="s">
        <v>1801</v>
      </c>
      <c r="F83" s="608" t="s">
        <v>1802</v>
      </c>
      <c r="G83" s="608" t="s">
        <v>1803</v>
      </c>
      <c r="H83" s="488"/>
      <c r="I83" s="488"/>
      <c r="J83" s="488"/>
      <c r="K83" s="488"/>
      <c r="L83" s="488"/>
      <c r="M83" s="1129"/>
      <c r="N83" s="2740"/>
      <c r="O83" s="2740"/>
      <c r="P83" s="2748"/>
      <c r="Q83" s="2725"/>
      <c r="R83" s="2711"/>
      <c r="S83" s="2711"/>
      <c r="T83" s="2711"/>
      <c r="U83" s="2711"/>
      <c r="V83" s="2711"/>
      <c r="W83" s="2711"/>
      <c r="X83" s="2711"/>
      <c r="Y83" s="2711"/>
      <c r="Z83" s="2711"/>
      <c r="AA83" s="2711"/>
      <c r="AB83" s="2711"/>
      <c r="AC83" s="271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9.4" thickTop="1">
      <c r="A87" s="528"/>
      <c r="B87" s="487" t="s">
        <v>1823</v>
      </c>
      <c r="C87" s="503"/>
      <c r="D87" s="503"/>
      <c r="E87" s="503"/>
      <c r="F87" s="503"/>
      <c r="G87" s="503"/>
      <c r="H87" s="503"/>
      <c r="I87" s="503"/>
      <c r="J87" s="503"/>
      <c r="K87" s="503"/>
      <c r="L87" s="529"/>
      <c r="M87" s="530"/>
      <c r="N87" s="2738"/>
      <c r="O87" s="2738"/>
      <c r="P87" s="2748"/>
      <c r="Q87" s="2725"/>
      <c r="R87" s="2650"/>
      <c r="S87" s="2650"/>
      <c r="T87" s="2650"/>
      <c r="U87" s="2650"/>
      <c r="V87" s="2650"/>
      <c r="W87" s="2650"/>
      <c r="X87" s="2650"/>
      <c r="Y87" s="2650"/>
      <c r="Z87" s="2650"/>
      <c r="AA87" s="2650"/>
      <c r="AB87" s="2650"/>
      <c r="AC87" s="265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50"/>
      <c r="S88" s="2650"/>
      <c r="T88" s="2650"/>
      <c r="U88" s="2650"/>
      <c r="V88" s="2650"/>
      <c r="W88" s="2650"/>
      <c r="X88" s="2650"/>
      <c r="Y88" s="2650"/>
      <c r="Z88" s="2650"/>
      <c r="AA88" s="2650"/>
      <c r="AB88" s="2650"/>
      <c r="AC88" s="2650"/>
    </row>
    <row r="89" spans="1:29" s="108" customFormat="1" ht="14.4" thickTop="1">
      <c r="A89" s="528"/>
      <c r="B89" s="487" t="str">
        <f>B27</f>
        <v>楼层</v>
      </c>
      <c r="C89" s="503"/>
      <c r="D89" s="503"/>
      <c r="E89" s="503"/>
      <c r="F89" s="1926"/>
      <c r="G89" s="503"/>
      <c r="H89" s="503"/>
      <c r="I89" s="503"/>
      <c r="J89" s="503"/>
      <c r="K89" s="503"/>
      <c r="L89" s="503"/>
      <c r="M89" s="530"/>
      <c r="N89" s="2738"/>
      <c r="O89" s="2738"/>
      <c r="P89" s="2748"/>
      <c r="Q89" s="2725"/>
      <c r="R89" s="2650"/>
      <c r="S89" s="2650"/>
      <c r="T89" s="2650"/>
      <c r="U89" s="2650"/>
      <c r="V89" s="2650"/>
      <c r="W89" s="2650"/>
      <c r="X89" s="2650"/>
      <c r="Y89" s="2650"/>
      <c r="Z89" s="2650"/>
      <c r="AA89" s="2650"/>
      <c r="AB89" s="2650"/>
      <c r="AC89" s="265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50"/>
      <c r="S90" s="2650"/>
      <c r="T90" s="2650"/>
      <c r="U90" s="2650"/>
      <c r="V90" s="2650"/>
      <c r="W90" s="2650"/>
      <c r="X90" s="2650"/>
      <c r="Y90" s="2650"/>
      <c r="Z90" s="2650"/>
      <c r="AA90" s="2650"/>
      <c r="AB90" s="2650"/>
      <c r="AC90" s="2650"/>
    </row>
    <row r="91" spans="1:29" s="422" customFormat="1" ht="14.4"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4.4"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4.4"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4.4"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4.4"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4.4"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4.4"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4.4"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4.4" thickBot="1">
      <c r="A100" s="1927"/>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ht="14.4">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4.4"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7"/>
      <c r="M119" s="1968"/>
      <c r="N119" s="2740"/>
      <c r="O119" s="2740"/>
      <c r="P119" s="2753"/>
      <c r="Q119" s="2754"/>
      <c r="R119" s="2711"/>
      <c r="S119" s="2711"/>
      <c r="T119" s="2711"/>
      <c r="U119" s="2711"/>
      <c r="V119" s="2711"/>
      <c r="W119" s="2711"/>
      <c r="X119" s="2711"/>
      <c r="Y119" s="2711"/>
      <c r="Z119" s="2711"/>
      <c r="AA119" s="2711"/>
      <c r="AB119" s="2711"/>
      <c r="AC119" s="271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4.4"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4.4"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4.4"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4.4"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4.4"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4.4"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4.4" thickBot="1">
      <c r="A132" s="1927"/>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4"/>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4"/>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4"/>
      <c r="Y6" s="3694"/>
      <c r="Z6" s="3695"/>
      <c r="AA6" s="3679"/>
      <c r="AB6" s="3679"/>
      <c r="AC6" s="3679"/>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20"/>
      <c r="D10" s="127">
        <v>100</v>
      </c>
      <c r="E10" s="3420"/>
      <c r="F10" s="127">
        <f>SUMIF(59:59,E10,60:60)-SUMIF(59:59,C10,60:60)+100</f>
        <v>100</v>
      </c>
      <c r="G10" s="3421"/>
      <c r="H10" s="127">
        <f>SUMIF(59:59,G10,60:60)-SUMIF(59:59,C10,60:60)+100</f>
        <v>100</v>
      </c>
      <c r="I10" s="3420"/>
      <c r="J10" s="127">
        <f>SUMIF(59:59,I10,60:60)-SUMIF(59:59,C10,60:60)+100</f>
        <v>100</v>
      </c>
      <c r="K10" s="560"/>
      <c r="L10" s="918"/>
      <c r="M10" s="919"/>
      <c r="N10" s="919"/>
      <c r="O10" s="920"/>
      <c r="P10" s="3665"/>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2"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5"/>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5"/>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5"/>
      <c r="Q14" s="1342">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1" t="str">
        <f t="shared" si="6"/>
        <v>产业集聚程度</v>
      </c>
      <c r="R15" s="705" t="s">
        <v>14</v>
      </c>
      <c r="S15" s="706">
        <f t="shared" si="0"/>
        <v>100</v>
      </c>
      <c r="T15" s="705" t="s">
        <v>14</v>
      </c>
      <c r="U15" s="706">
        <f t="shared" si="1"/>
        <v>100</v>
      </c>
      <c r="V15" s="705" t="s">
        <v>14</v>
      </c>
      <c r="W15" s="706">
        <f t="shared" si="2"/>
        <v>100</v>
      </c>
      <c r="X15" s="1354"/>
      <c r="Y15" s="366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8"/>
      <c r="Q16" s="1351"/>
      <c r="R16" s="705"/>
      <c r="S16" s="706"/>
      <c r="T16" s="705"/>
      <c r="U16" s="706"/>
      <c r="V16" s="705"/>
      <c r="W16" s="706"/>
      <c r="X16" s="1354"/>
      <c r="Y16" s="3668"/>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1" t="str">
        <f>B17</f>
        <v>交通便捷度</v>
      </c>
      <c r="R17" s="705" t="s">
        <v>14</v>
      </c>
      <c r="S17" s="706">
        <f>F17</f>
        <v>100</v>
      </c>
      <c r="T17" s="705" t="s">
        <v>14</v>
      </c>
      <c r="U17" s="706">
        <f>H17</f>
        <v>100</v>
      </c>
      <c r="V17" s="705" t="s">
        <v>14</v>
      </c>
      <c r="W17" s="706">
        <f>J17</f>
        <v>100</v>
      </c>
      <c r="X17" s="1354"/>
      <c r="Y17" s="366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8"/>
      <c r="Q18" s="1351"/>
      <c r="R18" s="705"/>
      <c r="S18" s="706"/>
      <c r="T18" s="705"/>
      <c r="U18" s="706"/>
      <c r="V18" s="705"/>
      <c r="W18" s="706"/>
      <c r="X18" s="1354"/>
      <c r="Y18" s="3668"/>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1" t="str">
        <f>B19</f>
        <v>公共配套设施</v>
      </c>
      <c r="R19" s="705" t="s">
        <v>14</v>
      </c>
      <c r="S19" s="706">
        <f>F19</f>
        <v>100</v>
      </c>
      <c r="T19" s="705" t="s">
        <v>14</v>
      </c>
      <c r="U19" s="706">
        <f>H19</f>
        <v>100</v>
      </c>
      <c r="V19" s="705" t="s">
        <v>14</v>
      </c>
      <c r="W19" s="706">
        <f>J19</f>
        <v>100</v>
      </c>
      <c r="X19" s="1354"/>
      <c r="Y19" s="366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8"/>
      <c r="Q20" s="1351"/>
      <c r="R20" s="705"/>
      <c r="S20" s="706"/>
      <c r="T20" s="705"/>
      <c r="U20" s="706"/>
      <c r="V20" s="705"/>
      <c r="W20" s="706"/>
      <c r="X20" s="1354"/>
      <c r="Y20" s="3668"/>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1" t="str">
        <f>B21</f>
        <v>基础设施水平</v>
      </c>
      <c r="R21" s="705" t="s">
        <v>14</v>
      </c>
      <c r="S21" s="706">
        <f>F21</f>
        <v>100</v>
      </c>
      <c r="T21" s="705" t="s">
        <v>14</v>
      </c>
      <c r="U21" s="706">
        <f>H21</f>
        <v>100</v>
      </c>
      <c r="V21" s="705" t="s">
        <v>14</v>
      </c>
      <c r="W21" s="706">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8"/>
      <c r="Q22" s="1351"/>
      <c r="R22" s="705"/>
      <c r="S22" s="706"/>
      <c r="T22" s="705"/>
      <c r="U22" s="706"/>
      <c r="V22" s="705"/>
      <c r="W22" s="706"/>
      <c r="X22" s="1354"/>
      <c r="Y22" s="3668"/>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1" t="str">
        <f>B23</f>
        <v>环境质量</v>
      </c>
      <c r="R23" s="705" t="s">
        <v>14</v>
      </c>
      <c r="S23" s="706">
        <f>F23</f>
        <v>100</v>
      </c>
      <c r="T23" s="705" t="s">
        <v>14</v>
      </c>
      <c r="U23" s="706">
        <f>H23</f>
        <v>100</v>
      </c>
      <c r="V23" s="705" t="s">
        <v>14</v>
      </c>
      <c r="W23" s="706">
        <f>J23</f>
        <v>100</v>
      </c>
      <c r="X23" s="1354"/>
      <c r="Y23" s="366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8"/>
      <c r="Q24" s="1351"/>
      <c r="R24" s="705"/>
      <c r="S24" s="706"/>
      <c r="T24" s="705"/>
      <c r="U24" s="706"/>
      <c r="V24" s="705"/>
      <c r="W24" s="706"/>
      <c r="X24" s="1354"/>
      <c r="Y24" s="366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1">
        <f>B25</f>
        <v>111</v>
      </c>
      <c r="R25" s="705" t="s">
        <v>14</v>
      </c>
      <c r="S25" s="706">
        <f>F25</f>
        <v>100</v>
      </c>
      <c r="T25" s="705" t="s">
        <v>14</v>
      </c>
      <c r="U25" s="706">
        <f>H25</f>
        <v>100</v>
      </c>
      <c r="V25" s="705" t="s">
        <v>14</v>
      </c>
      <c r="W25" s="706">
        <f>J25</f>
        <v>100</v>
      </c>
      <c r="X25" s="1354"/>
      <c r="Y25" s="366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1">
        <f t="shared" ref="Q26:Q40" si="11">B26</f>
        <v>111</v>
      </c>
      <c r="R26" s="705" t="s">
        <v>14</v>
      </c>
      <c r="S26" s="706">
        <f>F26</f>
        <v>100</v>
      </c>
      <c r="T26" s="705" t="s">
        <v>14</v>
      </c>
      <c r="U26" s="706">
        <f>H26</f>
        <v>100</v>
      </c>
      <c r="V26" s="705" t="s">
        <v>14</v>
      </c>
      <c r="W26" s="706">
        <f>J26</f>
        <v>100</v>
      </c>
      <c r="X26" s="1354"/>
      <c r="Y26" s="366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2">
        <f t="shared" si="11"/>
        <v>111</v>
      </c>
      <c r="R27" s="701" t="s">
        <v>14</v>
      </c>
      <c r="S27" s="702">
        <f>F27</f>
        <v>100</v>
      </c>
      <c r="T27" s="701" t="s">
        <v>14</v>
      </c>
      <c r="U27" s="702">
        <f>H27</f>
        <v>100</v>
      </c>
      <c r="V27" s="701" t="s">
        <v>14</v>
      </c>
      <c r="W27" s="702">
        <f>J27</f>
        <v>100</v>
      </c>
      <c r="X27" s="703"/>
      <c r="Y27" s="3668"/>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1">
        <f t="shared" si="11"/>
        <v>111</v>
      </c>
      <c r="R28" s="705" t="s">
        <v>14</v>
      </c>
      <c r="S28" s="706">
        <f t="shared" ref="S28:S40" si="12">F28</f>
        <v>100</v>
      </c>
      <c r="T28" s="705" t="s">
        <v>14</v>
      </c>
      <c r="U28" s="706">
        <f t="shared" ref="U28:U40" si="13">H28</f>
        <v>100</v>
      </c>
      <c r="V28" s="705" t="s">
        <v>14</v>
      </c>
      <c r="W28" s="706">
        <f t="shared" ref="W28:W40" si="14">J28</f>
        <v>100</v>
      </c>
      <c r="X28" s="1354"/>
      <c r="Y28" s="3668"/>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3" t="s">
        <v>1696</v>
      </c>
      <c r="Q29" s="1351" t="str">
        <f t="shared" si="11"/>
        <v>建筑类型</v>
      </c>
      <c r="R29" s="705" t="s">
        <v>14</v>
      </c>
      <c r="S29" s="706">
        <f t="shared" si="12"/>
        <v>100</v>
      </c>
      <c r="T29" s="705" t="s">
        <v>14</v>
      </c>
      <c r="U29" s="706">
        <f t="shared" si="13"/>
        <v>100</v>
      </c>
      <c r="V29" s="705" t="s">
        <v>14</v>
      </c>
      <c r="W29" s="706">
        <f t="shared" si="14"/>
        <v>100</v>
      </c>
      <c r="X29" s="1354"/>
      <c r="Y29" s="367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1" t="str">
        <f t="shared" si="11"/>
        <v>建筑结构</v>
      </c>
      <c r="R31" s="705" t="s">
        <v>14</v>
      </c>
      <c r="S31" s="706">
        <f t="shared" si="12"/>
        <v>100</v>
      </c>
      <c r="T31" s="705" t="s">
        <v>14</v>
      </c>
      <c r="U31" s="706">
        <f t="shared" si="13"/>
        <v>100</v>
      </c>
      <c r="V31" s="705" t="s">
        <v>14</v>
      </c>
      <c r="W31" s="706">
        <f t="shared" si="14"/>
        <v>100</v>
      </c>
      <c r="X31" s="1354"/>
      <c r="Y31" s="367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1" t="str">
        <f t="shared" si="11"/>
        <v>公共部分装修</v>
      </c>
      <c r="R32" s="705" t="s">
        <v>14</v>
      </c>
      <c r="S32" s="706">
        <f t="shared" si="12"/>
        <v>100</v>
      </c>
      <c r="T32" s="705" t="s">
        <v>14</v>
      </c>
      <c r="U32" s="706">
        <f t="shared" si="13"/>
        <v>100</v>
      </c>
      <c r="V32" s="705" t="s">
        <v>14</v>
      </c>
      <c r="W32" s="706">
        <f t="shared" si="14"/>
        <v>100</v>
      </c>
      <c r="X32" s="1354"/>
      <c r="Y32" s="367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1" t="str">
        <f t="shared" si="11"/>
        <v>成新度</v>
      </c>
      <c r="R33" s="705" t="s">
        <v>14</v>
      </c>
      <c r="S33" s="706" t="e">
        <f t="shared" si="12"/>
        <v>#N/A</v>
      </c>
      <c r="T33" s="705" t="s">
        <v>14</v>
      </c>
      <c r="U33" s="706" t="e">
        <f t="shared" si="13"/>
        <v>#N/A</v>
      </c>
      <c r="V33" s="705" t="s">
        <v>14</v>
      </c>
      <c r="W33" s="706" t="e">
        <f t="shared" si="14"/>
        <v>#N/A</v>
      </c>
      <c r="X33" s="1354"/>
      <c r="Y33" s="367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2"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1" t="str">
        <f t="shared" si="11"/>
        <v>市政基础设施</v>
      </c>
      <c r="R35" s="705" t="s">
        <v>14</v>
      </c>
      <c r="S35" s="706">
        <f t="shared" si="12"/>
        <v>100</v>
      </c>
      <c r="T35" s="705" t="s">
        <v>14</v>
      </c>
      <c r="U35" s="706">
        <f t="shared" si="13"/>
        <v>100</v>
      </c>
      <c r="V35" s="705" t="s">
        <v>14</v>
      </c>
      <c r="W35" s="706">
        <f t="shared" si="14"/>
        <v>100</v>
      </c>
      <c r="X35" s="1354"/>
      <c r="Y35" s="367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1" t="str">
        <f t="shared" si="11"/>
        <v>内部装修</v>
      </c>
      <c r="R36" s="705" t="s">
        <v>14</v>
      </c>
      <c r="S36" s="706">
        <f t="shared" si="12"/>
        <v>100</v>
      </c>
      <c r="T36" s="705" t="s">
        <v>14</v>
      </c>
      <c r="U36" s="706">
        <f t="shared" si="13"/>
        <v>100</v>
      </c>
      <c r="V36" s="705" t="s">
        <v>14</v>
      </c>
      <c r="W36" s="706">
        <f t="shared" si="14"/>
        <v>100</v>
      </c>
      <c r="X36" s="1354"/>
      <c r="Y36" s="367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1" t="str">
        <f t="shared" si="11"/>
        <v>内部装修状况</v>
      </c>
      <c r="R37" s="705" t="s">
        <v>14</v>
      </c>
      <c r="S37" s="706">
        <f t="shared" si="12"/>
        <v>100</v>
      </c>
      <c r="T37" s="705" t="s">
        <v>14</v>
      </c>
      <c r="U37" s="706">
        <f t="shared" si="13"/>
        <v>100</v>
      </c>
      <c r="V37" s="705" t="s">
        <v>14</v>
      </c>
      <c r="W37" s="706">
        <f t="shared" si="14"/>
        <v>100</v>
      </c>
      <c r="X37" s="1354"/>
      <c r="Y37" s="367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1">
        <f t="shared" si="11"/>
        <v>111</v>
      </c>
      <c r="R39" s="705" t="s">
        <v>14</v>
      </c>
      <c r="S39" s="706">
        <f t="shared" si="12"/>
        <v>100</v>
      </c>
      <c r="T39" s="705" t="s">
        <v>14</v>
      </c>
      <c r="U39" s="706">
        <f t="shared" si="13"/>
        <v>100</v>
      </c>
      <c r="V39" s="705" t="s">
        <v>14</v>
      </c>
      <c r="W39" s="706">
        <f t="shared" si="14"/>
        <v>100</v>
      </c>
      <c r="X39" s="1354"/>
      <c r="Y39" s="3672"/>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1">
        <f t="shared" si="11"/>
        <v>111</v>
      </c>
      <c r="R40" s="705" t="s">
        <v>14</v>
      </c>
      <c r="S40" s="706">
        <f t="shared" si="12"/>
        <v>100</v>
      </c>
      <c r="T40" s="705" t="s">
        <v>14</v>
      </c>
      <c r="U40" s="706">
        <f t="shared" si="13"/>
        <v>100</v>
      </c>
      <c r="V40" s="705" t="s">
        <v>14</v>
      </c>
      <c r="W40" s="706">
        <f t="shared" si="14"/>
        <v>100</v>
      </c>
      <c r="X40" s="1354"/>
      <c r="Y40" s="3673"/>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11"/>
      <c r="B44" s="2711"/>
      <c r="C44" s="2711"/>
      <c r="D44" s="2711"/>
      <c r="E44" s="2711"/>
      <c r="F44" s="2711"/>
      <c r="G44" s="2715"/>
      <c r="H44" s="2711"/>
      <c r="I44" s="2711"/>
      <c r="J44" s="2711"/>
      <c r="K44" s="2716"/>
      <c r="L44" s="889"/>
      <c r="M44" s="927"/>
      <c r="N44" s="927"/>
      <c r="O44" s="927"/>
    </row>
    <row r="45" spans="1:29">
      <c r="A45" s="2711"/>
      <c r="B45" s="2711"/>
      <c r="C45" s="2711"/>
      <c r="D45" s="2711"/>
      <c r="E45" s="2711"/>
      <c r="F45" s="2711"/>
      <c r="G45" s="2711"/>
      <c r="H45" s="2711"/>
      <c r="I45" s="2711"/>
      <c r="J45" s="2711"/>
      <c r="K45" s="2716"/>
      <c r="L45" s="889"/>
      <c r="M45" s="927"/>
      <c r="N45" s="927"/>
      <c r="O45" s="927"/>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9"/>
      <c r="M46" s="927"/>
      <c r="N46" s="927"/>
      <c r="O46" s="927"/>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9"/>
      <c r="M47" s="927"/>
      <c r="N47" s="927"/>
      <c r="O47" s="927"/>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30"/>
      <c r="M48" s="928"/>
      <c r="N48" s="928"/>
      <c r="O48" s="928"/>
    </row>
    <row r="49" spans="1:17" s="451" customFormat="1">
      <c r="A49" s="2714"/>
      <c r="B49" s="2717"/>
      <c r="C49" s="2718"/>
      <c r="D49" s="2714"/>
      <c r="E49" s="2714"/>
      <c r="F49" s="2714"/>
      <c r="G49" s="2714"/>
      <c r="H49" s="2714"/>
      <c r="I49" s="2714"/>
      <c r="J49" s="2714"/>
      <c r="K49" s="2719"/>
      <c r="L49" s="930"/>
      <c r="M49" s="928"/>
      <c r="N49" s="928"/>
      <c r="O49" s="928"/>
    </row>
    <row r="50" spans="1:17">
      <c r="A50" s="2711"/>
      <c r="B50" s="2717"/>
      <c r="C50" s="2718"/>
      <c r="D50" s="2711"/>
      <c r="E50" s="2711"/>
      <c r="F50" s="2711"/>
      <c r="G50" s="2711"/>
      <c r="H50" s="2711"/>
      <c r="I50" s="2711"/>
      <c r="J50" s="2711"/>
      <c r="K50" s="271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56"/>
      <c r="O54" s="275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受贵公司委托，我公司对北京市东城区南竹杆胡同2号房地产抵押价值进行了预评估。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2024年9月4日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本次评估采用的主估价方法为基准地价系数修正法和基准地价系数修正法。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19"/>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0"/>
      <c r="M3" s="2721" t="e">
        <f ca="1">IF(C2="——",IF(B37="元/平方米",ROUND(C39*D3/10000,0),ROUND(F3*C39/10000,0)),IF(B37="元/平方米",ROUND(C39*D3/10000,0),ROUND(F3*C39/10000,0))-D2)</f>
        <v>#DIV/0!</v>
      </c>
      <c r="N3" s="2721"/>
      <c r="O3" s="2721"/>
      <c r="P3" s="1165"/>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01"/>
      <c r="M4" s="2702"/>
      <c r="N4" s="2702"/>
      <c r="O4" s="2702"/>
      <c r="P4" s="3684" t="s">
        <v>1775</v>
      </c>
      <c r="Q4" s="3685"/>
      <c r="R4" s="3690" t="s">
        <v>1771</v>
      </c>
      <c r="S4" s="3691"/>
      <c r="T4" s="3690" t="s">
        <v>1772</v>
      </c>
      <c r="U4" s="3691"/>
      <c r="V4" s="3696" t="s">
        <v>1773</v>
      </c>
      <c r="W4" s="3696"/>
      <c r="X4" s="1354"/>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01"/>
      <c r="M5" s="2702"/>
      <c r="N5" s="2702"/>
      <c r="O5" s="2702"/>
      <c r="P5" s="3686"/>
      <c r="Q5" s="3687"/>
      <c r="R5" s="3692"/>
      <c r="S5" s="3693"/>
      <c r="T5" s="3692"/>
      <c r="U5" s="3693"/>
      <c r="V5" s="3696"/>
      <c r="W5" s="3696"/>
      <c r="X5" s="1354"/>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2701"/>
      <c r="M6" s="2702"/>
      <c r="N6" s="2702"/>
      <c r="O6" s="2702"/>
      <c r="P6" s="3688"/>
      <c r="Q6" s="3689"/>
      <c r="R6" s="3692"/>
      <c r="S6" s="3693"/>
      <c r="T6" s="3694"/>
      <c r="U6" s="3695"/>
      <c r="V6" s="3696"/>
      <c r="W6" s="3696"/>
      <c r="X6" s="1354"/>
      <c r="Y6" s="3694"/>
      <c r="Z6" s="3695"/>
      <c r="AA6" s="3679"/>
      <c r="AB6" s="3679"/>
      <c r="AC6" s="3679"/>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03"/>
      <c r="M7" s="2704"/>
      <c r="N7" s="2704"/>
      <c r="O7" s="2704"/>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665" t="s">
        <v>1686</v>
      </c>
      <c r="Q9" s="1342"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8.8">
      <c r="A10" s="589"/>
      <c r="B10" s="590" t="s">
        <v>1688</v>
      </c>
      <c r="C10" s="3420"/>
      <c r="D10" s="127">
        <v>100</v>
      </c>
      <c r="E10" s="3420"/>
      <c r="F10" s="127">
        <f>SUMIF(55:55,E10,56:56)-SUMIF(55:55,C10,56:56)+100</f>
        <v>100</v>
      </c>
      <c r="G10" s="3421"/>
      <c r="H10" s="127">
        <f>SUMIF(55:55,G10,56:56)-SUMIF(55:55,C10,56:56)+100</f>
        <v>100</v>
      </c>
      <c r="I10" s="3420"/>
      <c r="J10" s="127">
        <f>SUMIF(55:55,I10,56:56)-SUMIF(55:55,C10,56:56)+100</f>
        <v>100</v>
      </c>
      <c r="K10" s="560"/>
      <c r="L10" s="2705"/>
      <c r="M10" s="2706"/>
      <c r="N10" s="2706"/>
      <c r="O10" s="2706"/>
      <c r="P10" s="3665"/>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665"/>
      <c r="Q11" s="1342">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665"/>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665"/>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667" t="s">
        <v>1691</v>
      </c>
      <c r="Q14" s="1351" t="str">
        <f t="shared" si="6"/>
        <v>交通便捷度</v>
      </c>
      <c r="R14" s="705" t="s">
        <v>14</v>
      </c>
      <c r="S14" s="706">
        <f t="shared" si="0"/>
        <v>100</v>
      </c>
      <c r="T14" s="705" t="s">
        <v>14</v>
      </c>
      <c r="U14" s="706">
        <f t="shared" si="1"/>
        <v>100</v>
      </c>
      <c r="V14" s="705" t="s">
        <v>14</v>
      </c>
      <c r="W14" s="706">
        <f t="shared" si="2"/>
        <v>100</v>
      </c>
      <c r="X14" s="1354"/>
      <c r="Y14" s="366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8"/>
      <c r="M15" s="2702"/>
      <c r="N15" s="2702"/>
      <c r="O15" s="2702"/>
      <c r="P15" s="3668"/>
      <c r="Q15" s="1351"/>
      <c r="R15" s="705"/>
      <c r="S15" s="706"/>
      <c r="T15" s="705"/>
      <c r="U15" s="706"/>
      <c r="V15" s="705"/>
      <c r="W15" s="706"/>
      <c r="X15" s="1354"/>
      <c r="Y15" s="3668"/>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668"/>
      <c r="Q16" s="1351" t="str">
        <f>B16</f>
        <v>公共配套设施</v>
      </c>
      <c r="R16" s="705" t="s">
        <v>14</v>
      </c>
      <c r="S16" s="706">
        <f>F16</f>
        <v>100</v>
      </c>
      <c r="T16" s="705" t="s">
        <v>14</v>
      </c>
      <c r="U16" s="706">
        <f>H16</f>
        <v>100</v>
      </c>
      <c r="V16" s="705" t="s">
        <v>14</v>
      </c>
      <c r="W16" s="706">
        <f>J16</f>
        <v>100</v>
      </c>
      <c r="X16" s="1354"/>
      <c r="Y16" s="366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8"/>
      <c r="M17" s="2702"/>
      <c r="N17" s="2702"/>
      <c r="O17" s="2702"/>
      <c r="P17" s="3668"/>
      <c r="Q17" s="1351"/>
      <c r="R17" s="705"/>
      <c r="S17" s="706"/>
      <c r="T17" s="705"/>
      <c r="U17" s="706"/>
      <c r="V17" s="705"/>
      <c r="W17" s="706"/>
      <c r="X17" s="1354"/>
      <c r="Y17" s="3668"/>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668"/>
      <c r="Q18" s="1351" t="str">
        <f>B18</f>
        <v>基础设施水平</v>
      </c>
      <c r="R18" s="705" t="s">
        <v>14</v>
      </c>
      <c r="S18" s="706">
        <f>F18</f>
        <v>100</v>
      </c>
      <c r="T18" s="705" t="s">
        <v>14</v>
      </c>
      <c r="U18" s="706">
        <f>H18</f>
        <v>100</v>
      </c>
      <c r="V18" s="705" t="s">
        <v>14</v>
      </c>
      <c r="W18" s="706">
        <f>J18</f>
        <v>100</v>
      </c>
      <c r="X18" s="1354"/>
      <c r="Y18" s="366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08"/>
      <c r="M19" s="2702"/>
      <c r="N19" s="2702"/>
      <c r="O19" s="2702"/>
      <c r="P19" s="3668"/>
      <c r="Q19" s="1351"/>
      <c r="R19" s="705"/>
      <c r="S19" s="706"/>
      <c r="T19" s="705"/>
      <c r="U19" s="706"/>
      <c r="V19" s="705"/>
      <c r="W19" s="706"/>
      <c r="X19" s="1354"/>
      <c r="Y19" s="3668"/>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668"/>
      <c r="Q20" s="1351" t="str">
        <f>B20</f>
        <v>自然及人文环境</v>
      </c>
      <c r="R20" s="705" t="s">
        <v>14</v>
      </c>
      <c r="S20" s="706">
        <f>F20</f>
        <v>100</v>
      </c>
      <c r="T20" s="705" t="s">
        <v>14</v>
      </c>
      <c r="U20" s="706">
        <f>H20</f>
        <v>100</v>
      </c>
      <c r="V20" s="705" t="s">
        <v>14</v>
      </c>
      <c r="W20" s="706">
        <f>J20</f>
        <v>100</v>
      </c>
      <c r="X20" s="1354"/>
      <c r="Y20" s="366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8"/>
      <c r="M21" s="2702"/>
      <c r="N21" s="2702"/>
      <c r="O21" s="2702"/>
      <c r="P21" s="3668"/>
      <c r="Q21" s="1351"/>
      <c r="R21" s="705"/>
      <c r="S21" s="706"/>
      <c r="T21" s="705"/>
      <c r="U21" s="706"/>
      <c r="V21" s="705"/>
      <c r="W21" s="706"/>
      <c r="X21" s="1354"/>
      <c r="Y21" s="366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668"/>
      <c r="Q22" s="1351" t="str">
        <f>B22</f>
        <v>楼层</v>
      </c>
      <c r="R22" s="705" t="s">
        <v>14</v>
      </c>
      <c r="S22" s="706">
        <f>F22</f>
        <v>100</v>
      </c>
      <c r="T22" s="705" t="s">
        <v>14</v>
      </c>
      <c r="U22" s="706">
        <f>H22</f>
        <v>100</v>
      </c>
      <c r="V22" s="705" t="s">
        <v>14</v>
      </c>
      <c r="W22" s="706">
        <f>J22</f>
        <v>100</v>
      </c>
      <c r="X22" s="1354"/>
      <c r="Y22" s="366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668"/>
      <c r="Q23" s="1351">
        <f>B23</f>
        <v>111</v>
      </c>
      <c r="R23" s="705" t="s">
        <v>14</v>
      </c>
      <c r="S23" s="706">
        <f>F23</f>
        <v>100</v>
      </c>
      <c r="T23" s="705" t="s">
        <v>14</v>
      </c>
      <c r="U23" s="706">
        <f>H23</f>
        <v>100</v>
      </c>
      <c r="V23" s="705" t="s">
        <v>14</v>
      </c>
      <c r="W23" s="706">
        <f>J23</f>
        <v>100</v>
      </c>
      <c r="X23" s="1354"/>
      <c r="Y23" s="366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668"/>
      <c r="Q24" s="1351">
        <f t="shared" ref="Q24:Q36" si="11">B24</f>
        <v>111</v>
      </c>
      <c r="R24" s="705" t="s">
        <v>14</v>
      </c>
      <c r="S24" s="706">
        <f>F24</f>
        <v>100</v>
      </c>
      <c r="T24" s="705" t="s">
        <v>14</v>
      </c>
      <c r="U24" s="706">
        <f>H24</f>
        <v>100</v>
      </c>
      <c r="V24" s="705" t="s">
        <v>14</v>
      </c>
      <c r="W24" s="706">
        <f>J24</f>
        <v>100</v>
      </c>
      <c r="X24" s="1354"/>
      <c r="Y24" s="3668"/>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668"/>
      <c r="Q25" s="1342">
        <f t="shared" si="11"/>
        <v>111</v>
      </c>
      <c r="R25" s="701" t="s">
        <v>14</v>
      </c>
      <c r="S25" s="702">
        <f>F25</f>
        <v>100</v>
      </c>
      <c r="T25" s="701" t="s">
        <v>14</v>
      </c>
      <c r="U25" s="702">
        <f>H25</f>
        <v>100</v>
      </c>
      <c r="V25" s="701" t="s">
        <v>14</v>
      </c>
      <c r="W25" s="702">
        <f>J25</f>
        <v>100</v>
      </c>
      <c r="X25" s="703"/>
      <c r="Y25" s="3668"/>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72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672"/>
      <c r="Q28" s="1351" t="str">
        <f t="shared" si="11"/>
        <v>公共部分装修</v>
      </c>
      <c r="R28" s="705" t="s">
        <v>14</v>
      </c>
      <c r="S28" s="706">
        <f t="shared" si="12"/>
        <v>100</v>
      </c>
      <c r="T28" s="705" t="s">
        <v>14</v>
      </c>
      <c r="U28" s="706">
        <f t="shared" si="13"/>
        <v>100</v>
      </c>
      <c r="V28" s="705" t="s">
        <v>14</v>
      </c>
      <c r="W28" s="706">
        <f t="shared" si="14"/>
        <v>100</v>
      </c>
      <c r="X28" s="1354"/>
      <c r="Y28" s="367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672"/>
      <c r="Q29" s="1351" t="str">
        <f t="shared" si="11"/>
        <v>成新率</v>
      </c>
      <c r="R29" s="705" t="s">
        <v>14</v>
      </c>
      <c r="S29" s="706" t="e">
        <f t="shared" si="12"/>
        <v>#N/A</v>
      </c>
      <c r="T29" s="705" t="s">
        <v>14</v>
      </c>
      <c r="U29" s="706" t="e">
        <f t="shared" si="13"/>
        <v>#N/A</v>
      </c>
      <c r="V29" s="705" t="s">
        <v>14</v>
      </c>
      <c r="W29" s="706" t="e">
        <f t="shared" si="14"/>
        <v>#N/A</v>
      </c>
      <c r="X29" s="1354"/>
      <c r="Y29" s="367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672"/>
      <c r="Q30" s="1351" t="str">
        <f t="shared" si="11"/>
        <v>物业等级</v>
      </c>
      <c r="R30" s="705" t="s">
        <v>14</v>
      </c>
      <c r="S30" s="706">
        <f t="shared" si="12"/>
        <v>100</v>
      </c>
      <c r="T30" s="705" t="s">
        <v>14</v>
      </c>
      <c r="U30" s="706">
        <f t="shared" si="13"/>
        <v>100</v>
      </c>
      <c r="V30" s="705" t="s">
        <v>14</v>
      </c>
      <c r="W30" s="706">
        <f t="shared" si="14"/>
        <v>100</v>
      </c>
      <c r="X30" s="1354"/>
      <c r="Y30" s="367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672"/>
      <c r="Q31" s="1342"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672" t="s">
        <v>1696</v>
      </c>
      <c r="Q32" s="1351" t="str">
        <f t="shared" si="11"/>
        <v>车位类型</v>
      </c>
      <c r="R32" s="705" t="s">
        <v>14</v>
      </c>
      <c r="S32" s="706">
        <f t="shared" si="12"/>
        <v>100</v>
      </c>
      <c r="T32" s="705" t="s">
        <v>14</v>
      </c>
      <c r="U32" s="706">
        <f t="shared" si="13"/>
        <v>100</v>
      </c>
      <c r="V32" s="705" t="s">
        <v>14</v>
      </c>
      <c r="W32" s="706">
        <f t="shared" si="14"/>
        <v>100</v>
      </c>
      <c r="X32" s="1354"/>
      <c r="Y32" s="367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672"/>
      <c r="Q33" s="1351" t="str">
        <f t="shared" si="11"/>
        <v>是否直接入户</v>
      </c>
      <c r="R33" s="705" t="s">
        <v>14</v>
      </c>
      <c r="S33" s="706">
        <f t="shared" si="12"/>
        <v>100</v>
      </c>
      <c r="T33" s="705" t="s">
        <v>14</v>
      </c>
      <c r="U33" s="706">
        <f t="shared" si="13"/>
        <v>100</v>
      </c>
      <c r="V33" s="705" t="s">
        <v>14</v>
      </c>
      <c r="W33" s="706">
        <f t="shared" si="14"/>
        <v>100</v>
      </c>
      <c r="X33" s="1354"/>
      <c r="Y33" s="367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672"/>
      <c r="Q34" s="1351">
        <f t="shared" si="11"/>
        <v>111</v>
      </c>
      <c r="R34" s="705" t="s">
        <v>14</v>
      </c>
      <c r="S34" s="706">
        <f t="shared" si="12"/>
        <v>100</v>
      </c>
      <c r="T34" s="705" t="s">
        <v>14</v>
      </c>
      <c r="U34" s="706">
        <f t="shared" si="13"/>
        <v>100</v>
      </c>
      <c r="V34" s="705" t="s">
        <v>14</v>
      </c>
      <c r="W34" s="706">
        <f t="shared" si="14"/>
        <v>100</v>
      </c>
      <c r="X34" s="1354"/>
      <c r="Y34" s="367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672"/>
      <c r="Q36" s="1351">
        <f t="shared" si="11"/>
        <v>111</v>
      </c>
      <c r="R36" s="705" t="s">
        <v>14</v>
      </c>
      <c r="S36" s="706">
        <f t="shared" si="12"/>
        <v>100</v>
      </c>
      <c r="T36" s="705" t="s">
        <v>14</v>
      </c>
      <c r="U36" s="706">
        <f t="shared" si="13"/>
        <v>100</v>
      </c>
      <c r="V36" s="705" t="s">
        <v>14</v>
      </c>
      <c r="W36" s="706">
        <f t="shared" si="14"/>
        <v>100</v>
      </c>
      <c r="X36" s="1354"/>
      <c r="Y36" s="3672"/>
      <c r="Z36" s="1355">
        <f t="shared" si="15"/>
        <v>111</v>
      </c>
      <c r="AA36" s="1352">
        <f t="shared" si="3"/>
        <v>1</v>
      </c>
      <c r="AB36" s="1352">
        <f t="shared" si="4"/>
        <v>1</v>
      </c>
      <c r="AC36" s="1352">
        <f t="shared" si="5"/>
        <v>1</v>
      </c>
    </row>
    <row r="37" spans="1:29" ht="14.4">
      <c r="A37" s="430" t="s">
        <v>1844</v>
      </c>
      <c r="B37" s="1972" t="s">
        <v>3356</v>
      </c>
      <c r="C37" s="1154" t="s">
        <v>0</v>
      </c>
      <c r="D37" s="1155"/>
      <c r="E37" s="1156"/>
      <c r="F37" s="1157"/>
      <c r="G37" s="1158"/>
      <c r="H37" s="1159"/>
      <c r="I37" s="1156"/>
      <c r="J37" s="1159"/>
      <c r="K37" s="568"/>
      <c r="L37" s="2710"/>
      <c r="M37" s="2711"/>
      <c r="N37" s="2702"/>
      <c r="O37" s="2711"/>
      <c r="P37" s="3665" t="str">
        <f>A37</f>
        <v>成交单价</v>
      </c>
      <c r="Q37" s="3665"/>
      <c r="R37" s="3666">
        <f>E37</f>
        <v>0</v>
      </c>
      <c r="S37" s="3666"/>
      <c r="T37" s="3666">
        <f>G37</f>
        <v>0</v>
      </c>
      <c r="U37" s="3666"/>
      <c r="V37" s="3666">
        <f>I37</f>
        <v>0</v>
      </c>
      <c r="W37" s="3666"/>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10"/>
      <c r="M38" s="2711"/>
      <c r="N38" s="2711"/>
      <c r="O38" s="2711"/>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10"/>
      <c r="M39" s="2711"/>
      <c r="N39" s="2711"/>
      <c r="O39" s="2711"/>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2.2" thickBot="1">
      <c r="A47" s="1166" t="s">
        <v>1850</v>
      </c>
      <c r="B47" s="927"/>
      <c r="C47" s="940"/>
      <c r="D47" s="940"/>
      <c r="E47" s="940"/>
      <c r="F47" s="1167"/>
      <c r="G47" s="1167"/>
      <c r="H47" s="940"/>
      <c r="I47" s="940"/>
      <c r="J47" s="940"/>
      <c r="K47" s="941"/>
      <c r="L47" s="942"/>
      <c r="M47" s="940"/>
      <c r="N47" s="2755"/>
      <c r="O47" s="2755"/>
      <c r="P47" s="2744"/>
      <c r="Q47" s="2725"/>
      <c r="R47" s="2711"/>
      <c r="S47" s="2711"/>
      <c r="T47" s="2711"/>
      <c r="U47" s="2711"/>
      <c r="V47" s="2711"/>
      <c r="W47" s="2711"/>
      <c r="X47" s="2711"/>
      <c r="Y47" s="2711"/>
      <c r="Z47" s="2711"/>
      <c r="AA47" s="2711"/>
      <c r="AB47" s="2711"/>
      <c r="AC47" s="2711"/>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45"/>
      <c r="Q48" s="2727"/>
      <c r="R48" s="2727"/>
      <c r="S48" s="2727"/>
      <c r="T48" s="2727"/>
      <c r="U48" s="2727"/>
      <c r="V48" s="2727"/>
      <c r="W48" s="2727"/>
      <c r="X48" s="2727"/>
      <c r="Y48" s="2727"/>
      <c r="Z48" s="2727"/>
      <c r="AA48" s="2727"/>
      <c r="AB48" s="2727"/>
      <c r="AC48" s="2727"/>
    </row>
    <row r="49" spans="1:29" s="108" customFormat="1">
      <c r="A49" s="458"/>
      <c r="B49" s="459"/>
      <c r="C49" s="1177">
        <v>100</v>
      </c>
      <c r="D49" s="461"/>
      <c r="E49" s="461"/>
      <c r="F49" s="461"/>
      <c r="G49" s="461"/>
      <c r="H49" s="461"/>
      <c r="I49" s="461"/>
      <c r="J49" s="461"/>
      <c r="K49" s="461"/>
      <c r="L49" s="461"/>
      <c r="M49" s="462"/>
      <c r="N49" s="461"/>
      <c r="O49" s="462"/>
      <c r="P49" s="2746"/>
      <c r="Q49" s="2650"/>
      <c r="R49" s="2650"/>
      <c r="S49" s="2650"/>
      <c r="T49" s="2650"/>
      <c r="U49" s="2650"/>
      <c r="V49" s="2650"/>
      <c r="W49" s="2650"/>
      <c r="X49" s="2650"/>
      <c r="Y49" s="2650"/>
      <c r="Z49" s="2650"/>
      <c r="AA49" s="2650"/>
      <c r="AB49" s="2650"/>
      <c r="AC49" s="2650"/>
    </row>
    <row r="50" spans="1:29" s="108" customFormat="1" ht="15" thickBot="1">
      <c r="A50" s="464" t="s">
        <v>1716</v>
      </c>
      <c r="B50" s="465"/>
      <c r="C50" s="466"/>
      <c r="D50" s="467"/>
      <c r="E50" s="467"/>
      <c r="F50" s="467"/>
      <c r="G50" s="467"/>
      <c r="H50" s="467"/>
      <c r="I50" s="467"/>
      <c r="J50" s="467"/>
      <c r="K50" s="467"/>
      <c r="L50" s="467"/>
      <c r="M50" s="468"/>
      <c r="N50" s="467"/>
      <c r="O50" s="468"/>
      <c r="P50" s="2746"/>
      <c r="Q50" s="2725"/>
      <c r="R50" s="2650"/>
      <c r="S50" s="2650"/>
      <c r="T50" s="2650"/>
      <c r="U50" s="2650"/>
      <c r="V50" s="2650"/>
      <c r="W50" s="2650"/>
      <c r="X50" s="2650"/>
      <c r="Y50" s="2650"/>
      <c r="Z50" s="2650"/>
      <c r="AA50" s="2650"/>
      <c r="AB50" s="2650"/>
      <c r="AC50" s="2650"/>
    </row>
    <row r="51" spans="1:29" s="108" customFormat="1" ht="14.4">
      <c r="A51" s="470" t="s">
        <v>1681</v>
      </c>
      <c r="B51" s="459"/>
      <c r="C51" s="471" t="s">
        <v>1776</v>
      </c>
      <c r="D51" s="472"/>
      <c r="E51" s="472"/>
      <c r="F51" s="472"/>
      <c r="G51" s="472"/>
      <c r="H51" s="472"/>
      <c r="I51" s="472"/>
      <c r="J51" s="472"/>
      <c r="K51" s="472"/>
      <c r="L51" s="473"/>
      <c r="M51" s="474"/>
      <c r="N51" s="2738"/>
      <c r="O51" s="2738"/>
      <c r="P51" s="2747"/>
      <c r="Q51" s="2725"/>
      <c r="R51" s="2650"/>
      <c r="S51" s="2650"/>
      <c r="T51" s="2650"/>
      <c r="U51" s="2650"/>
      <c r="V51" s="2650"/>
      <c r="W51" s="2650"/>
      <c r="X51" s="2650"/>
      <c r="Y51" s="2650"/>
      <c r="Z51" s="2650"/>
      <c r="AA51" s="2650"/>
      <c r="AB51" s="2650"/>
      <c r="AC51" s="2650"/>
    </row>
    <row r="52" spans="1:29" s="108" customFormat="1" ht="14.4" thickBot="1">
      <c r="A52" s="470"/>
      <c r="B52" s="459"/>
      <c r="C52" s="587">
        <v>100</v>
      </c>
      <c r="D52" s="461"/>
      <c r="E52" s="461"/>
      <c r="F52" s="461"/>
      <c r="G52" s="461"/>
      <c r="H52" s="461"/>
      <c r="I52" s="461"/>
      <c r="J52" s="461"/>
      <c r="K52" s="461"/>
      <c r="L52" s="461"/>
      <c r="M52" s="463"/>
      <c r="N52" s="2738"/>
      <c r="O52" s="2738"/>
      <c r="P52" s="2746"/>
      <c r="Q52" s="2725"/>
      <c r="R52" s="2650"/>
      <c r="S52" s="2650"/>
      <c r="T52" s="2650"/>
      <c r="U52" s="2650"/>
      <c r="V52" s="2650"/>
      <c r="W52" s="2650"/>
      <c r="X52" s="2650"/>
      <c r="Y52" s="2650"/>
      <c r="Z52" s="2650"/>
      <c r="AA52" s="2650"/>
      <c r="AB52" s="2650"/>
      <c r="AC52" s="2650"/>
    </row>
    <row r="53" spans="1:29" ht="14.4">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4.4"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9.4"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4.4"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4.4"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4.4"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4.4"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4.4"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4.4"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4.4"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 thickTop="1">
      <c r="A67" s="483"/>
      <c r="B67" s="495" t="s">
        <v>1813</v>
      </c>
      <c r="C67" s="608" t="s">
        <v>1799</v>
      </c>
      <c r="D67" s="608" t="s">
        <v>1800</v>
      </c>
      <c r="E67" s="608" t="s">
        <v>1801</v>
      </c>
      <c r="F67" s="608" t="s">
        <v>1802</v>
      </c>
      <c r="G67" s="608" t="s">
        <v>1803</v>
      </c>
      <c r="H67" s="488"/>
      <c r="I67" s="488"/>
      <c r="J67" s="488"/>
      <c r="K67" s="488"/>
      <c r="L67" s="488"/>
      <c r="M67" s="1129"/>
      <c r="N67" s="2740"/>
      <c r="O67" s="2740"/>
      <c r="P67" s="2748"/>
      <c r="Q67" s="2725"/>
      <c r="R67" s="2711"/>
      <c r="S67" s="2711"/>
      <c r="T67" s="2711"/>
      <c r="U67" s="2711"/>
      <c r="V67" s="2711"/>
      <c r="W67" s="2711"/>
      <c r="X67" s="2711"/>
      <c r="Y67" s="2711"/>
      <c r="Z67" s="2711"/>
      <c r="AA67" s="2711"/>
      <c r="AB67" s="2711"/>
      <c r="AC67" s="271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4.4" thickTop="1">
      <c r="A73" s="528"/>
      <c r="B73" s="487">
        <f>B23</f>
        <v>111</v>
      </c>
      <c r="C73" s="498"/>
      <c r="D73" s="498"/>
      <c r="E73" s="498"/>
      <c r="F73" s="498"/>
      <c r="G73" s="503"/>
      <c r="H73" s="503"/>
      <c r="I73" s="503"/>
      <c r="J73" s="503"/>
      <c r="K73" s="503"/>
      <c r="L73" s="529"/>
      <c r="M73" s="530"/>
      <c r="N73" s="2738"/>
      <c r="O73" s="2738"/>
      <c r="P73" s="2748"/>
      <c r="Q73" s="2725"/>
      <c r="R73" s="2650"/>
      <c r="S73" s="2650"/>
      <c r="T73" s="2650"/>
      <c r="U73" s="2650"/>
      <c r="V73" s="2650"/>
      <c r="W73" s="2650"/>
      <c r="X73" s="2650"/>
      <c r="Y73" s="2650"/>
      <c r="Z73" s="2650"/>
      <c r="AA73" s="2650"/>
      <c r="AB73" s="2650"/>
      <c r="AC73" s="2650"/>
    </row>
    <row r="74" spans="1:29" s="108" customFormat="1" ht="14.4" thickBot="1">
      <c r="A74" s="528"/>
      <c r="B74" s="492"/>
      <c r="C74" s="509"/>
      <c r="D74" s="485"/>
      <c r="E74" s="485"/>
      <c r="F74" s="485"/>
      <c r="G74" s="485"/>
      <c r="H74" s="485"/>
      <c r="I74" s="485"/>
      <c r="J74" s="485"/>
      <c r="K74" s="485"/>
      <c r="L74" s="485"/>
      <c r="M74" s="486"/>
      <c r="N74" s="2740"/>
      <c r="O74" s="2740"/>
      <c r="P74" s="2748"/>
      <c r="Q74" s="2725"/>
      <c r="R74" s="2650"/>
      <c r="S74" s="2650"/>
      <c r="T74" s="2650"/>
      <c r="U74" s="2650"/>
      <c r="V74" s="2650"/>
      <c r="W74" s="2650"/>
      <c r="X74" s="2650"/>
      <c r="Y74" s="2650"/>
      <c r="Z74" s="2650"/>
      <c r="AA74" s="2650"/>
      <c r="AB74" s="2650"/>
      <c r="AC74" s="2650"/>
    </row>
    <row r="75" spans="1:29" s="108" customFormat="1" ht="14.4" thickTop="1">
      <c r="A75" s="528"/>
      <c r="B75" s="487">
        <f>B24</f>
        <v>111</v>
      </c>
      <c r="C75" s="498"/>
      <c r="D75" s="498"/>
      <c r="E75" s="498"/>
      <c r="F75" s="498"/>
      <c r="G75" s="503"/>
      <c r="H75" s="503"/>
      <c r="I75" s="503"/>
      <c r="J75" s="503"/>
      <c r="K75" s="503"/>
      <c r="L75" s="503"/>
      <c r="M75" s="530"/>
      <c r="N75" s="2738"/>
      <c r="O75" s="2738"/>
      <c r="P75" s="2748"/>
      <c r="Q75" s="2725"/>
      <c r="R75" s="2650"/>
      <c r="S75" s="2650"/>
      <c r="T75" s="2650"/>
      <c r="U75" s="2650"/>
      <c r="V75" s="2650"/>
      <c r="W75" s="2650"/>
      <c r="X75" s="2650"/>
      <c r="Y75" s="2650"/>
      <c r="Z75" s="2650"/>
      <c r="AA75" s="2650"/>
      <c r="AB75" s="2650"/>
      <c r="AC75" s="2650"/>
    </row>
    <row r="76" spans="1:29" s="108" customFormat="1" ht="14.4" thickBot="1">
      <c r="A76" s="528"/>
      <c r="B76" s="492"/>
      <c r="C76" s="509"/>
      <c r="D76" s="485"/>
      <c r="E76" s="485"/>
      <c r="F76" s="485"/>
      <c r="G76" s="485"/>
      <c r="H76" s="485"/>
      <c r="I76" s="485"/>
      <c r="J76" s="485"/>
      <c r="K76" s="485"/>
      <c r="L76" s="485"/>
      <c r="M76" s="486"/>
      <c r="N76" s="2740"/>
      <c r="O76" s="2740"/>
      <c r="P76" s="2748"/>
      <c r="Q76" s="2725"/>
      <c r="R76" s="2650"/>
      <c r="S76" s="2650"/>
      <c r="T76" s="2650"/>
      <c r="U76" s="2650"/>
      <c r="V76" s="2650"/>
      <c r="W76" s="2650"/>
      <c r="X76" s="2650"/>
      <c r="Y76" s="2650"/>
      <c r="Z76" s="2650"/>
      <c r="AA76" s="2650"/>
      <c r="AB76" s="2650"/>
      <c r="AC76" s="2650"/>
    </row>
    <row r="77" spans="1:29" s="422" customFormat="1" ht="14.4"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4.4"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9.4"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4.4"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4.4"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4.4"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4.4"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4.4"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4.4"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4.4"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4.4"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4.4"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01"/>
      <c r="M4" s="2702"/>
      <c r="N4" s="2702"/>
      <c r="O4" s="2702"/>
      <c r="P4" s="3684" t="s">
        <v>1775</v>
      </c>
      <c r="Q4" s="3685"/>
      <c r="R4" s="3690" t="s">
        <v>1771</v>
      </c>
      <c r="S4" s="3691"/>
      <c r="T4" s="3690" t="s">
        <v>1772</v>
      </c>
      <c r="U4" s="3691"/>
      <c r="V4" s="3696" t="s">
        <v>1773</v>
      </c>
      <c r="W4" s="3696"/>
      <c r="X4" s="1354"/>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01"/>
      <c r="M5" s="2702"/>
      <c r="N5" s="2702"/>
      <c r="O5" s="2702"/>
      <c r="P5" s="3686"/>
      <c r="Q5" s="3687"/>
      <c r="R5" s="3692"/>
      <c r="S5" s="3693"/>
      <c r="T5" s="3692"/>
      <c r="U5" s="3693"/>
      <c r="V5" s="3696"/>
      <c r="W5" s="3696"/>
      <c r="X5" s="1354"/>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2701"/>
      <c r="M6" s="2702"/>
      <c r="N6" s="2702"/>
      <c r="O6" s="2702"/>
      <c r="P6" s="3688"/>
      <c r="Q6" s="3689"/>
      <c r="R6" s="3692"/>
      <c r="S6" s="3693"/>
      <c r="T6" s="3694"/>
      <c r="U6" s="3695"/>
      <c r="V6" s="3696"/>
      <c r="W6" s="3696"/>
      <c r="X6" s="1354"/>
      <c r="Y6" s="3694"/>
      <c r="Z6" s="3695"/>
      <c r="AA6" s="3679"/>
      <c r="AB6" s="3679"/>
      <c r="AC6" s="3679"/>
    </row>
    <row r="7" spans="1:29" s="108" customFormat="1" ht="15" thickBot="1">
      <c r="A7" s="362" t="s">
        <v>1679</v>
      </c>
      <c r="B7" s="363"/>
      <c r="C7" s="364">
        <f>'数据-取费表'!B2</f>
        <v>45539</v>
      </c>
      <c r="D7" s="365">
        <v>100</v>
      </c>
      <c r="E7" s="366"/>
      <c r="F7" s="367">
        <f>SUMIF(46:46,YEAR(E7)&amp;"-"&amp;MONTH(E7),47:47)</f>
        <v>0</v>
      </c>
      <c r="G7" s="1973"/>
      <c r="H7" s="365">
        <f>SUMIF(46:46,YEAR(G7)&amp;"-"&amp;MONTH(G7),47:47)</f>
        <v>0</v>
      </c>
      <c r="I7" s="366"/>
      <c r="J7" s="365">
        <f>SUMIF(46:46,YEAR(I7)&amp;"-"&amp;MONTH(I7),47:47)</f>
        <v>0</v>
      </c>
      <c r="K7" s="560"/>
      <c r="L7" s="2703"/>
      <c r="M7" s="2704"/>
      <c r="N7" s="2704"/>
      <c r="O7" s="2704"/>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665" t="s">
        <v>1686</v>
      </c>
      <c r="Q9" s="1342"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8.8">
      <c r="A10" s="374"/>
      <c r="B10" s="375" t="s">
        <v>1688</v>
      </c>
      <c r="C10" s="3420"/>
      <c r="D10" s="127">
        <v>100</v>
      </c>
      <c r="E10" s="3420"/>
      <c r="F10" s="376">
        <f>SUMIF(53:53,E10,54:54)-SUMIF(53:53,C10,54:54)+100</f>
        <v>100</v>
      </c>
      <c r="G10" s="3420"/>
      <c r="H10" s="127">
        <f>SUMIF(53:53,G10,54:54)-SUMIF(53:53,C10,54:54)+100</f>
        <v>100</v>
      </c>
      <c r="I10" s="3420"/>
      <c r="J10" s="127">
        <f>SUMIF(53:53,I10,54:54)-SUMIF(53:53,C10,54:54)+100</f>
        <v>100</v>
      </c>
      <c r="K10" s="560"/>
      <c r="L10" s="2705"/>
      <c r="M10" s="2706"/>
      <c r="N10" s="2706"/>
      <c r="O10" s="2759"/>
      <c r="P10" s="3665"/>
      <c r="Q10" s="1342"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665"/>
      <c r="Q11" s="1342">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665"/>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8"/>
      <c r="M13" s="2702"/>
      <c r="N13" s="2702"/>
      <c r="O13" s="2760"/>
      <c r="P13" s="3665"/>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667" t="s">
        <v>1691</v>
      </c>
      <c r="Q14" s="1351" t="str">
        <f t="shared" si="6"/>
        <v>交通便捷度</v>
      </c>
      <c r="R14" s="705" t="s">
        <v>14</v>
      </c>
      <c r="S14" s="706">
        <f t="shared" si="0"/>
        <v>100</v>
      </c>
      <c r="T14" s="705" t="s">
        <v>14</v>
      </c>
      <c r="U14" s="706">
        <f t="shared" si="1"/>
        <v>100</v>
      </c>
      <c r="V14" s="705" t="s">
        <v>14</v>
      </c>
      <c r="W14" s="706">
        <f t="shared" si="2"/>
        <v>100</v>
      </c>
      <c r="X14" s="1354"/>
      <c r="Y14" s="366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8"/>
      <c r="M15" s="2702"/>
      <c r="N15" s="2702"/>
      <c r="O15" s="2760"/>
      <c r="P15" s="3668"/>
      <c r="Q15" s="1351"/>
      <c r="R15" s="705"/>
      <c r="S15" s="706"/>
      <c r="T15" s="705"/>
      <c r="U15" s="706"/>
      <c r="V15" s="705"/>
      <c r="W15" s="706"/>
      <c r="X15" s="1354"/>
      <c r="Y15" s="3668"/>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668"/>
      <c r="Q16" s="1351" t="str">
        <f>B16</f>
        <v>公共配套设施</v>
      </c>
      <c r="R16" s="705" t="s">
        <v>14</v>
      </c>
      <c r="S16" s="706">
        <f>F16</f>
        <v>100</v>
      </c>
      <c r="T16" s="705" t="s">
        <v>14</v>
      </c>
      <c r="U16" s="706">
        <f>H16</f>
        <v>100</v>
      </c>
      <c r="V16" s="705" t="s">
        <v>14</v>
      </c>
      <c r="W16" s="706">
        <f>J16</f>
        <v>100</v>
      </c>
      <c r="X16" s="1354"/>
      <c r="Y16" s="366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8"/>
      <c r="M17" s="2702"/>
      <c r="N17" s="2702"/>
      <c r="O17" s="2760"/>
      <c r="P17" s="3668"/>
      <c r="Q17" s="1351"/>
      <c r="R17" s="705"/>
      <c r="S17" s="706"/>
      <c r="T17" s="705"/>
      <c r="U17" s="706"/>
      <c r="V17" s="705"/>
      <c r="W17" s="706"/>
      <c r="X17" s="1354"/>
      <c r="Y17" s="3668"/>
      <c r="Z17" s="1355"/>
      <c r="AA17" s="1352">
        <v>1</v>
      </c>
      <c r="AB17" s="1352">
        <v>1</v>
      </c>
      <c r="AC17" s="1352">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668"/>
      <c r="Q18" s="1351" t="str">
        <f>B18</f>
        <v>基础设施水平</v>
      </c>
      <c r="R18" s="705" t="s">
        <v>14</v>
      </c>
      <c r="S18" s="706">
        <f>F18</f>
        <v>100</v>
      </c>
      <c r="T18" s="705" t="s">
        <v>14</v>
      </c>
      <c r="U18" s="706">
        <f>H18</f>
        <v>100</v>
      </c>
      <c r="V18" s="705" t="s">
        <v>14</v>
      </c>
      <c r="W18" s="706">
        <f>J18</f>
        <v>100</v>
      </c>
      <c r="X18" s="1354"/>
      <c r="Y18" s="366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08"/>
      <c r="M19" s="2702"/>
      <c r="N19" s="2702"/>
      <c r="O19" s="2760"/>
      <c r="P19" s="3668"/>
      <c r="Q19" s="1351"/>
      <c r="R19" s="705"/>
      <c r="S19" s="706"/>
      <c r="T19" s="705"/>
      <c r="U19" s="706"/>
      <c r="V19" s="705"/>
      <c r="W19" s="706"/>
      <c r="X19" s="1354"/>
      <c r="Y19" s="3668"/>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668"/>
      <c r="Q20" s="1351" t="str">
        <f>B20</f>
        <v>自然及人文环境</v>
      </c>
      <c r="R20" s="705" t="s">
        <v>14</v>
      </c>
      <c r="S20" s="706">
        <f>F20</f>
        <v>100</v>
      </c>
      <c r="T20" s="705" t="s">
        <v>14</v>
      </c>
      <c r="U20" s="706">
        <f>H20</f>
        <v>100</v>
      </c>
      <c r="V20" s="705" t="s">
        <v>14</v>
      </c>
      <c r="W20" s="706">
        <f>J20</f>
        <v>100</v>
      </c>
      <c r="X20" s="1354"/>
      <c r="Y20" s="366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8"/>
      <c r="M21" s="2702"/>
      <c r="N21" s="2702"/>
      <c r="O21" s="2760"/>
      <c r="P21" s="3668"/>
      <c r="Q21" s="1351"/>
      <c r="R21" s="705"/>
      <c r="S21" s="706"/>
      <c r="T21" s="705"/>
      <c r="U21" s="706"/>
      <c r="V21" s="705"/>
      <c r="W21" s="706"/>
      <c r="X21" s="1354"/>
      <c r="Y21" s="366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668"/>
      <c r="Q22" s="1351" t="str">
        <f>B22</f>
        <v>楼层</v>
      </c>
      <c r="R22" s="705" t="s">
        <v>14</v>
      </c>
      <c r="S22" s="706">
        <f>F22</f>
        <v>100</v>
      </c>
      <c r="T22" s="705" t="s">
        <v>14</v>
      </c>
      <c r="U22" s="706">
        <f>H22</f>
        <v>100</v>
      </c>
      <c r="V22" s="705" t="s">
        <v>14</v>
      </c>
      <c r="W22" s="706">
        <f>J22</f>
        <v>100</v>
      </c>
      <c r="X22" s="1354"/>
      <c r="Y22" s="366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668"/>
      <c r="Q23" s="1351">
        <f>B23</f>
        <v>111</v>
      </c>
      <c r="R23" s="705" t="s">
        <v>14</v>
      </c>
      <c r="S23" s="706">
        <f>F23</f>
        <v>100</v>
      </c>
      <c r="T23" s="705" t="s">
        <v>14</v>
      </c>
      <c r="U23" s="706">
        <f>H23</f>
        <v>100</v>
      </c>
      <c r="V23" s="705" t="s">
        <v>14</v>
      </c>
      <c r="W23" s="706">
        <f>J23</f>
        <v>100</v>
      </c>
      <c r="X23" s="1354"/>
      <c r="Y23" s="366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668"/>
      <c r="Q24" s="1351">
        <f t="shared" ref="Q24:Q34" si="11">B24</f>
        <v>111</v>
      </c>
      <c r="R24" s="705" t="s">
        <v>14</v>
      </c>
      <c r="S24" s="706">
        <f>F24</f>
        <v>100</v>
      </c>
      <c r="T24" s="705" t="s">
        <v>14</v>
      </c>
      <c r="U24" s="706">
        <f>H24</f>
        <v>100</v>
      </c>
      <c r="V24" s="705" t="s">
        <v>14</v>
      </c>
      <c r="W24" s="706">
        <f>J24</f>
        <v>100</v>
      </c>
      <c r="X24" s="1354"/>
      <c r="Y24" s="3668"/>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3"/>
      <c r="M25" s="2704"/>
      <c r="N25" s="2704"/>
      <c r="O25" s="2758"/>
      <c r="P25" s="3668"/>
      <c r="Q25" s="1342">
        <f t="shared" si="11"/>
        <v>111</v>
      </c>
      <c r="R25" s="701" t="s">
        <v>14</v>
      </c>
      <c r="S25" s="702">
        <f>F25</f>
        <v>100</v>
      </c>
      <c r="T25" s="701" t="s">
        <v>14</v>
      </c>
      <c r="U25" s="702">
        <f>H25</f>
        <v>100</v>
      </c>
      <c r="V25" s="701" t="s">
        <v>14</v>
      </c>
      <c r="W25" s="702">
        <f>J25</f>
        <v>100</v>
      </c>
      <c r="X25" s="703"/>
      <c r="Y25" s="3668"/>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08"/>
      <c r="M26" s="2702"/>
      <c r="N26" s="2702"/>
      <c r="O26" s="2760"/>
      <c r="P26" s="372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672"/>
      <c r="Q28" s="1351" t="str">
        <f t="shared" si="11"/>
        <v>物业等级</v>
      </c>
      <c r="R28" s="705" t="s">
        <v>14</v>
      </c>
      <c r="S28" s="706">
        <f t="shared" si="12"/>
        <v>100</v>
      </c>
      <c r="T28" s="705" t="s">
        <v>14</v>
      </c>
      <c r="U28" s="706">
        <f t="shared" si="13"/>
        <v>100</v>
      </c>
      <c r="V28" s="705" t="s">
        <v>14</v>
      </c>
      <c r="W28" s="706">
        <f t="shared" si="14"/>
        <v>100</v>
      </c>
      <c r="X28" s="1354"/>
      <c r="Y28" s="367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672"/>
      <c r="Q29" s="1351" t="str">
        <f t="shared" si="11"/>
        <v>有无电梯</v>
      </c>
      <c r="R29" s="705" t="s">
        <v>14</v>
      </c>
      <c r="S29" s="706">
        <f t="shared" si="12"/>
        <v>100</v>
      </c>
      <c r="T29" s="705" t="s">
        <v>14</v>
      </c>
      <c r="U29" s="706">
        <f t="shared" si="13"/>
        <v>100</v>
      </c>
      <c r="V29" s="705" t="s">
        <v>14</v>
      </c>
      <c r="W29" s="706">
        <f t="shared" si="14"/>
        <v>100</v>
      </c>
      <c r="X29" s="1354"/>
      <c r="Y29" s="367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672"/>
      <c r="Q30" s="1351" t="str">
        <f t="shared" si="11"/>
        <v>建筑面积</v>
      </c>
      <c r="R30" s="705" t="s">
        <v>14</v>
      </c>
      <c r="S30" s="706" t="e">
        <f t="shared" si="12"/>
        <v>#N/A</v>
      </c>
      <c r="T30" s="705" t="s">
        <v>14</v>
      </c>
      <c r="U30" s="706" t="e">
        <f t="shared" si="13"/>
        <v>#N/A</v>
      </c>
      <c r="V30" s="705" t="s">
        <v>14</v>
      </c>
      <c r="W30" s="706" t="e">
        <f t="shared" si="14"/>
        <v>#N/A</v>
      </c>
      <c r="X30" s="1354"/>
      <c r="Y30" s="367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672"/>
      <c r="Q31" s="1342"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672" t="s">
        <v>1696</v>
      </c>
      <c r="Q32" s="1351">
        <f t="shared" si="11"/>
        <v>111</v>
      </c>
      <c r="R32" s="705" t="s">
        <v>14</v>
      </c>
      <c r="S32" s="706">
        <f t="shared" si="12"/>
        <v>100</v>
      </c>
      <c r="T32" s="705" t="s">
        <v>14</v>
      </c>
      <c r="U32" s="706">
        <f t="shared" si="13"/>
        <v>100</v>
      </c>
      <c r="V32" s="705" t="s">
        <v>14</v>
      </c>
      <c r="W32" s="706">
        <f t="shared" si="14"/>
        <v>100</v>
      </c>
      <c r="X32" s="1354"/>
      <c r="Y32" s="367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672"/>
      <c r="Q33" s="1351">
        <f t="shared" si="11"/>
        <v>111</v>
      </c>
      <c r="R33" s="705" t="s">
        <v>14</v>
      </c>
      <c r="S33" s="706">
        <f t="shared" si="12"/>
        <v>100</v>
      </c>
      <c r="T33" s="705" t="s">
        <v>14</v>
      </c>
      <c r="U33" s="706">
        <f t="shared" si="13"/>
        <v>100</v>
      </c>
      <c r="V33" s="705" t="s">
        <v>14</v>
      </c>
      <c r="W33" s="706">
        <f t="shared" si="14"/>
        <v>100</v>
      </c>
      <c r="X33" s="1354"/>
      <c r="Y33" s="3672"/>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8"/>
      <c r="M34" s="2702"/>
      <c r="N34" s="2702"/>
      <c r="O34" s="2760"/>
      <c r="P34" s="3672"/>
      <c r="Q34" s="1351">
        <f t="shared" si="11"/>
        <v>111</v>
      </c>
      <c r="R34" s="705" t="s">
        <v>14</v>
      </c>
      <c r="S34" s="706">
        <f t="shared" si="12"/>
        <v>100</v>
      </c>
      <c r="T34" s="705" t="s">
        <v>14</v>
      </c>
      <c r="U34" s="706">
        <f t="shared" si="13"/>
        <v>100</v>
      </c>
      <c r="V34" s="705" t="s">
        <v>14</v>
      </c>
      <c r="W34" s="706">
        <f t="shared" si="14"/>
        <v>100</v>
      </c>
      <c r="X34" s="1354"/>
      <c r="Y34" s="3672"/>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10"/>
      <c r="M35" s="2711"/>
      <c r="N35" s="2702"/>
      <c r="O35" s="2711"/>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10"/>
      <c r="M36" s="2711"/>
      <c r="N36" s="2702"/>
      <c r="O36" s="2711"/>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10"/>
      <c r="M37" s="2711"/>
      <c r="N37" s="2711"/>
      <c r="O37" s="2711"/>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2.2"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62"/>
      <c r="Q46" s="2727"/>
      <c r="R46" s="2727"/>
      <c r="S46" s="2727"/>
      <c r="T46" s="2727"/>
      <c r="U46" s="2727"/>
      <c r="V46" s="2727"/>
      <c r="W46" s="2727"/>
      <c r="X46" s="2727"/>
      <c r="Y46" s="2727"/>
      <c r="Z46" s="2727"/>
      <c r="AA46" s="2727"/>
      <c r="AB46" s="2727"/>
      <c r="AC46" s="2727"/>
      <c r="AD46" s="2727"/>
    </row>
    <row r="47" spans="1:30" s="108" customFormat="1">
      <c r="A47" s="458"/>
      <c r="B47" s="459"/>
      <c r="C47" s="1183">
        <v>100</v>
      </c>
      <c r="D47" s="461"/>
      <c r="E47" s="461"/>
      <c r="F47" s="461"/>
      <c r="G47" s="461"/>
      <c r="H47" s="461"/>
      <c r="I47" s="461"/>
      <c r="J47" s="461"/>
      <c r="K47" s="461"/>
      <c r="L47" s="461"/>
      <c r="M47" s="462"/>
      <c r="N47" s="461"/>
      <c r="O47" s="463"/>
      <c r="P47" s="2725"/>
      <c r="Q47" s="2650"/>
      <c r="R47" s="2650"/>
      <c r="S47" s="2650"/>
      <c r="T47" s="2650"/>
      <c r="U47" s="2650"/>
      <c r="V47" s="2650"/>
      <c r="W47" s="2650"/>
      <c r="X47" s="2650"/>
      <c r="Y47" s="2650"/>
      <c r="Z47" s="2650"/>
      <c r="AA47" s="2650"/>
      <c r="AB47" s="2650"/>
      <c r="AC47" s="2650"/>
      <c r="AD47" s="2650"/>
    </row>
    <row r="48" spans="1:30" s="108" customFormat="1" ht="15" thickBot="1">
      <c r="A48" s="464" t="s">
        <v>1716</v>
      </c>
      <c r="B48" s="465"/>
      <c r="C48" s="466"/>
      <c r="D48" s="467"/>
      <c r="E48" s="467"/>
      <c r="F48" s="467"/>
      <c r="G48" s="467"/>
      <c r="H48" s="467"/>
      <c r="I48" s="467"/>
      <c r="J48" s="467"/>
      <c r="K48" s="467"/>
      <c r="L48" s="467"/>
      <c r="M48" s="468"/>
      <c r="N48" s="467"/>
      <c r="O48" s="469"/>
      <c r="P48" s="2725"/>
      <c r="Q48" s="2725"/>
      <c r="R48" s="2650"/>
      <c r="S48" s="2650"/>
      <c r="T48" s="2650"/>
      <c r="U48" s="2650"/>
      <c r="V48" s="2650"/>
      <c r="W48" s="2650"/>
      <c r="X48" s="2650"/>
      <c r="Y48" s="2650"/>
      <c r="Z48" s="2650"/>
      <c r="AA48" s="2650"/>
      <c r="AB48" s="2650"/>
      <c r="AC48" s="2650"/>
      <c r="AD48" s="2650"/>
    </row>
    <row r="49" spans="1:30" s="108" customFormat="1" ht="14.4">
      <c r="A49" s="470" t="s">
        <v>1681</v>
      </c>
      <c r="B49" s="459"/>
      <c r="C49" s="471" t="s">
        <v>1776</v>
      </c>
      <c r="D49" s="472"/>
      <c r="E49" s="472"/>
      <c r="F49" s="472"/>
      <c r="G49" s="472"/>
      <c r="H49" s="472"/>
      <c r="I49" s="472"/>
      <c r="J49" s="472"/>
      <c r="K49" s="472"/>
      <c r="L49" s="473"/>
      <c r="M49" s="474"/>
      <c r="N49" s="2738"/>
      <c r="O49" s="2738"/>
      <c r="P49" s="2763"/>
      <c r="Q49" s="2725"/>
      <c r="R49" s="2650"/>
      <c r="S49" s="2650"/>
      <c r="T49" s="2650"/>
      <c r="U49" s="2650"/>
      <c r="V49" s="2650"/>
      <c r="W49" s="2650"/>
      <c r="X49" s="2650"/>
      <c r="Y49" s="2650"/>
      <c r="Z49" s="2650"/>
      <c r="AA49" s="2650"/>
      <c r="AB49" s="2650"/>
      <c r="AC49" s="2650"/>
      <c r="AD49" s="2650"/>
    </row>
    <row r="50" spans="1:30" s="108" customFormat="1" ht="14.4" thickBot="1">
      <c r="A50" s="470"/>
      <c r="B50" s="459"/>
      <c r="C50" s="587">
        <v>100</v>
      </c>
      <c r="D50" s="461"/>
      <c r="E50" s="461"/>
      <c r="F50" s="461"/>
      <c r="G50" s="461"/>
      <c r="H50" s="461"/>
      <c r="I50" s="461"/>
      <c r="J50" s="461"/>
      <c r="K50" s="461"/>
      <c r="L50" s="461"/>
      <c r="M50" s="463"/>
      <c r="N50" s="2738"/>
      <c r="O50" s="2738"/>
      <c r="P50" s="2725"/>
      <c r="Q50" s="2725"/>
      <c r="R50" s="2650"/>
      <c r="S50" s="2650"/>
      <c r="T50" s="2650"/>
      <c r="U50" s="2650"/>
      <c r="V50" s="2650"/>
      <c r="W50" s="2650"/>
      <c r="X50" s="2650"/>
      <c r="Y50" s="2650"/>
      <c r="Z50" s="2650"/>
      <c r="AA50" s="2650"/>
      <c r="AB50" s="2650"/>
      <c r="AC50" s="2650"/>
      <c r="AD50" s="2650"/>
    </row>
    <row r="51" spans="1:30" ht="14.4">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4.4"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9.4"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4.4"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4.4"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4.4"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4.4"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4.4"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4.4"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4.4"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9.4"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 thickTop="1">
      <c r="A65" s="483"/>
      <c r="B65" s="495" t="s">
        <v>1813</v>
      </c>
      <c r="C65" s="608" t="s">
        <v>1799</v>
      </c>
      <c r="D65" s="608" t="s">
        <v>1800</v>
      </c>
      <c r="E65" s="608" t="s">
        <v>1801</v>
      </c>
      <c r="F65" s="608" t="s">
        <v>1802</v>
      </c>
      <c r="G65" s="608" t="s">
        <v>1803</v>
      </c>
      <c r="H65" s="488"/>
      <c r="I65" s="488"/>
      <c r="J65" s="488"/>
      <c r="K65" s="488"/>
      <c r="L65" s="488"/>
      <c r="M65" s="1129"/>
      <c r="N65" s="2740"/>
      <c r="O65" s="2740"/>
      <c r="P65" s="2764"/>
      <c r="Q65" s="2725"/>
      <c r="R65" s="2711"/>
      <c r="S65" s="2711"/>
      <c r="T65" s="2711"/>
      <c r="U65" s="2711"/>
      <c r="V65" s="2711"/>
      <c r="W65" s="2711"/>
      <c r="X65" s="2711"/>
      <c r="Y65" s="2711"/>
      <c r="Z65" s="2711"/>
      <c r="AA65" s="2711"/>
      <c r="AB65" s="2711"/>
      <c r="AC65" s="2711"/>
      <c r="AD65" s="271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4.4"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4.4" thickTop="1">
      <c r="A71" s="528"/>
      <c r="B71" s="487">
        <f>B23</f>
        <v>111</v>
      </c>
      <c r="C71" s="498"/>
      <c r="D71" s="498"/>
      <c r="E71" s="498"/>
      <c r="F71" s="498"/>
      <c r="G71" s="503"/>
      <c r="H71" s="503"/>
      <c r="I71" s="503"/>
      <c r="J71" s="503"/>
      <c r="K71" s="503"/>
      <c r="L71" s="529"/>
      <c r="M71" s="530"/>
      <c r="N71" s="2738"/>
      <c r="O71" s="2738"/>
      <c r="P71" s="2764"/>
      <c r="Q71" s="2725"/>
      <c r="R71" s="2650"/>
      <c r="S71" s="2650"/>
      <c r="T71" s="2650"/>
      <c r="U71" s="2650"/>
      <c r="V71" s="2650"/>
      <c r="W71" s="2650"/>
      <c r="X71" s="2650"/>
      <c r="Y71" s="2650"/>
      <c r="Z71" s="2650"/>
      <c r="AA71" s="2650"/>
      <c r="AB71" s="2650"/>
      <c r="AC71" s="2650"/>
      <c r="AD71" s="2650"/>
    </row>
    <row r="72" spans="1:30" s="108" customFormat="1" ht="14.4" thickBot="1">
      <c r="A72" s="528"/>
      <c r="B72" s="492"/>
      <c r="C72" s="509"/>
      <c r="D72" s="485"/>
      <c r="E72" s="485"/>
      <c r="F72" s="485"/>
      <c r="G72" s="485"/>
      <c r="H72" s="485"/>
      <c r="I72" s="485"/>
      <c r="J72" s="485"/>
      <c r="K72" s="485"/>
      <c r="L72" s="485"/>
      <c r="M72" s="486"/>
      <c r="N72" s="2740"/>
      <c r="O72" s="2740"/>
      <c r="P72" s="2764"/>
      <c r="Q72" s="2725"/>
      <c r="R72" s="2650"/>
      <c r="S72" s="2650"/>
      <c r="T72" s="2650"/>
      <c r="U72" s="2650"/>
      <c r="V72" s="2650"/>
      <c r="W72" s="2650"/>
      <c r="X72" s="2650"/>
      <c r="Y72" s="2650"/>
      <c r="Z72" s="2650"/>
      <c r="AA72" s="2650"/>
      <c r="AB72" s="2650"/>
      <c r="AC72" s="2650"/>
      <c r="AD72" s="2650"/>
    </row>
    <row r="73" spans="1:30" s="108" customFormat="1" ht="14.4" thickTop="1">
      <c r="A73" s="528"/>
      <c r="B73" s="487">
        <f>B24</f>
        <v>111</v>
      </c>
      <c r="C73" s="498"/>
      <c r="D73" s="498"/>
      <c r="E73" s="498"/>
      <c r="F73" s="498"/>
      <c r="G73" s="503"/>
      <c r="H73" s="503"/>
      <c r="I73" s="503"/>
      <c r="J73" s="503"/>
      <c r="K73" s="503"/>
      <c r="L73" s="503"/>
      <c r="M73" s="530"/>
      <c r="N73" s="2738"/>
      <c r="O73" s="2738"/>
      <c r="P73" s="2764"/>
      <c r="Q73" s="2725"/>
      <c r="R73" s="2650"/>
      <c r="S73" s="2650"/>
      <c r="T73" s="2650"/>
      <c r="U73" s="2650"/>
      <c r="V73" s="2650"/>
      <c r="W73" s="2650"/>
      <c r="X73" s="2650"/>
      <c r="Y73" s="2650"/>
      <c r="Z73" s="2650"/>
      <c r="AA73" s="2650"/>
      <c r="AB73" s="2650"/>
      <c r="AC73" s="2650"/>
      <c r="AD73" s="2650"/>
    </row>
    <row r="74" spans="1:30" s="108" customFormat="1" ht="14.4" thickBot="1">
      <c r="A74" s="528"/>
      <c r="B74" s="492"/>
      <c r="C74" s="509"/>
      <c r="D74" s="485"/>
      <c r="E74" s="485"/>
      <c r="F74" s="485"/>
      <c r="G74" s="485"/>
      <c r="H74" s="485"/>
      <c r="I74" s="485"/>
      <c r="J74" s="485"/>
      <c r="K74" s="485"/>
      <c r="L74" s="485"/>
      <c r="M74" s="486"/>
      <c r="N74" s="2740"/>
      <c r="O74" s="2740"/>
      <c r="P74" s="2764"/>
      <c r="Q74" s="2725"/>
      <c r="R74" s="2650"/>
      <c r="S74" s="2650"/>
      <c r="T74" s="2650"/>
      <c r="U74" s="2650"/>
      <c r="V74" s="2650"/>
      <c r="W74" s="2650"/>
      <c r="X74" s="2650"/>
      <c r="Y74" s="2650"/>
      <c r="Z74" s="2650"/>
      <c r="AA74" s="2650"/>
      <c r="AB74" s="2650"/>
      <c r="AC74" s="2650"/>
      <c r="AD74" s="2650"/>
    </row>
    <row r="75" spans="1:30" s="422" customFormat="1" ht="14.4"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4.4"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4.4"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4.4"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4.4"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4.4"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4.4"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4.4"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4.4"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4.4"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4.4" thickTop="1">
      <c r="N97" s="2711"/>
      <c r="O97" s="2711"/>
      <c r="P97" s="2711"/>
      <c r="Q97" s="2711"/>
      <c r="R97" s="2711"/>
      <c r="S97" s="2711"/>
      <c r="T97" s="2711"/>
      <c r="U97" s="2711"/>
      <c r="V97" s="2711"/>
      <c r="W97" s="2711"/>
      <c r="X97" s="2711"/>
      <c r="Y97" s="2711"/>
      <c r="Z97" s="2711"/>
      <c r="AA97" s="2711"/>
      <c r="AB97" s="2711"/>
      <c r="AC97" s="2711"/>
      <c r="AD97" s="2711"/>
    </row>
    <row r="98" spans="1:30">
      <c r="A98" s="936"/>
      <c r="B98" s="936"/>
      <c r="C98" s="936"/>
      <c r="D98" s="936"/>
      <c r="E98" s="936"/>
      <c r="F98" s="936"/>
      <c r="G98" s="936"/>
      <c r="H98" s="936"/>
      <c r="I98" s="936"/>
      <c r="J98" s="936"/>
      <c r="K98" s="937"/>
      <c r="L98" s="938"/>
      <c r="M98" s="936"/>
      <c r="N98" s="2711"/>
      <c r="O98" s="2711"/>
      <c r="P98" s="2711"/>
      <c r="Q98" s="2711"/>
      <c r="R98" s="2711"/>
      <c r="S98" s="2711"/>
      <c r="T98" s="2711"/>
      <c r="U98" s="2711"/>
      <c r="V98" s="2711"/>
      <c r="W98" s="2711"/>
      <c r="X98" s="2711"/>
      <c r="Y98" s="2711"/>
      <c r="Z98" s="2711"/>
      <c r="AA98" s="2711"/>
      <c r="AB98" s="2711"/>
      <c r="AC98" s="2711"/>
      <c r="AD98" s="2711"/>
    </row>
    <row r="99" spans="1:30">
      <c r="A99" s="936"/>
      <c r="B99" s="936"/>
      <c r="C99" s="936"/>
      <c r="D99" s="936"/>
      <c r="E99" s="936"/>
      <c r="F99" s="936"/>
      <c r="G99" s="936"/>
      <c r="H99" s="936"/>
      <c r="I99" s="936"/>
      <c r="J99" s="936"/>
      <c r="K99" s="937"/>
      <c r="L99" s="938"/>
      <c r="M99" s="936"/>
      <c r="N99" s="2711"/>
      <c r="O99" s="2711"/>
      <c r="P99" s="2711"/>
      <c r="Q99" s="2711"/>
      <c r="R99" s="2711"/>
      <c r="S99" s="2711"/>
      <c r="T99" s="2711"/>
      <c r="U99" s="2711"/>
      <c r="V99" s="2711"/>
      <c r="W99" s="2711"/>
      <c r="X99" s="2711"/>
      <c r="Y99" s="2711"/>
      <c r="Z99" s="2711"/>
      <c r="AA99" s="2711"/>
      <c r="AB99" s="2711"/>
      <c r="AC99" s="2711"/>
      <c r="AD99" s="2711"/>
    </row>
    <row r="100" spans="1:30">
      <c r="A100" s="936"/>
      <c r="B100" s="936"/>
      <c r="C100" s="936"/>
      <c r="D100" s="936"/>
      <c r="E100" s="936"/>
      <c r="F100" s="936"/>
      <c r="G100" s="936"/>
      <c r="H100" s="936"/>
      <c r="I100" s="936"/>
      <c r="J100" s="936"/>
      <c r="K100" s="937"/>
      <c r="L100" s="938"/>
      <c r="M100" s="936"/>
      <c r="N100" s="2711"/>
      <c r="O100" s="2711"/>
      <c r="P100" s="2711"/>
      <c r="Q100" s="2711"/>
      <c r="R100" s="2711"/>
      <c r="S100" s="2711"/>
      <c r="T100" s="2711"/>
      <c r="U100" s="2711"/>
      <c r="V100" s="2711"/>
      <c r="W100" s="2711"/>
      <c r="X100" s="2711"/>
      <c r="Y100" s="2711"/>
      <c r="Z100" s="2711"/>
      <c r="AA100" s="2711"/>
      <c r="AB100" s="2711"/>
      <c r="AC100" s="2711"/>
      <c r="AD100" s="2711"/>
    </row>
    <row r="101" spans="1:30">
      <c r="A101" s="936"/>
      <c r="B101" s="936"/>
      <c r="C101" s="936"/>
      <c r="D101" s="936"/>
      <c r="E101" s="936"/>
      <c r="F101" s="936"/>
      <c r="G101" s="936"/>
      <c r="H101" s="936"/>
      <c r="I101" s="936"/>
      <c r="J101" s="936"/>
      <c r="K101" s="937"/>
      <c r="L101" s="938"/>
      <c r="M101" s="936"/>
      <c r="N101" s="2711"/>
      <c r="O101" s="2711"/>
      <c r="P101" s="2711"/>
      <c r="Q101" s="2711"/>
      <c r="R101" s="2711"/>
      <c r="S101" s="2711"/>
      <c r="T101" s="2711"/>
      <c r="U101" s="2711"/>
      <c r="V101" s="2711"/>
      <c r="W101" s="2711"/>
      <c r="X101" s="2711"/>
      <c r="Y101" s="2711"/>
      <c r="Z101" s="2711"/>
      <c r="AA101" s="2711"/>
      <c r="AB101" s="2711"/>
      <c r="AC101" s="2711"/>
      <c r="AD101" s="2711"/>
    </row>
    <row r="102" spans="1:30">
      <c r="A102" s="936"/>
      <c r="B102" s="936"/>
      <c r="C102" s="936"/>
      <c r="D102" s="936"/>
      <c r="E102" s="936"/>
      <c r="F102" s="936"/>
      <c r="G102" s="936"/>
      <c r="H102" s="936"/>
      <c r="I102" s="936"/>
      <c r="J102" s="936"/>
      <c r="K102" s="937"/>
      <c r="L102" s="938"/>
      <c r="M102" s="936"/>
      <c r="N102" s="2711"/>
      <c r="O102" s="2711"/>
      <c r="P102" s="2711"/>
      <c r="Q102" s="2711"/>
      <c r="R102" s="2711"/>
      <c r="S102" s="2711"/>
      <c r="T102" s="2711"/>
      <c r="U102" s="2711"/>
      <c r="V102" s="2711"/>
      <c r="W102" s="2711"/>
      <c r="X102" s="2711"/>
      <c r="Y102" s="2711"/>
      <c r="Z102" s="2711"/>
      <c r="AA102" s="2711"/>
      <c r="AB102" s="2711"/>
      <c r="AC102" s="2711"/>
      <c r="AD102" s="2711"/>
    </row>
    <row r="103" spans="1:30">
      <c r="A103" s="936"/>
      <c r="B103" s="936"/>
      <c r="C103" s="936"/>
      <c r="D103" s="936"/>
      <c r="E103" s="936"/>
      <c r="F103" s="936"/>
      <c r="G103" s="936"/>
      <c r="H103" s="936"/>
      <c r="I103" s="936"/>
      <c r="J103" s="936"/>
      <c r="K103" s="937"/>
      <c r="L103" s="938"/>
      <c r="M103" s="936"/>
      <c r="N103" s="936"/>
      <c r="O103" s="936"/>
      <c r="P103" s="2711"/>
      <c r="Q103" s="2711"/>
      <c r="R103" s="2711"/>
      <c r="S103" s="2711"/>
      <c r="T103" s="2711"/>
      <c r="U103" s="2711"/>
      <c r="V103" s="2711"/>
      <c r="W103" s="2711"/>
      <c r="X103" s="2711"/>
      <c r="Y103" s="2711"/>
      <c r="Z103" s="2711"/>
      <c r="AA103" s="2711"/>
      <c r="AB103" s="2711"/>
      <c r="AC103" s="2711"/>
      <c r="AD103" s="271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01"/>
      <c r="M4" s="2702"/>
      <c r="N4" s="2702"/>
      <c r="O4" s="2702"/>
      <c r="P4" s="3684" t="s">
        <v>1775</v>
      </c>
      <c r="Q4" s="3685"/>
      <c r="R4" s="3690" t="s">
        <v>1771</v>
      </c>
      <c r="S4" s="3691"/>
      <c r="T4" s="3690" t="s">
        <v>1772</v>
      </c>
      <c r="U4" s="3691"/>
      <c r="V4" s="3696" t="s">
        <v>1773</v>
      </c>
      <c r="W4" s="3696"/>
      <c r="X4" s="1354"/>
      <c r="Y4" s="3690" t="s">
        <v>1775</v>
      </c>
      <c r="Z4" s="3691"/>
      <c r="AA4" s="3677" t="s">
        <v>1771</v>
      </c>
      <c r="AB4" s="3678" t="s">
        <v>1772</v>
      </c>
      <c r="AC4" s="3677" t="s">
        <v>1773</v>
      </c>
    </row>
    <row r="5" spans="1:30">
      <c r="A5" s="358"/>
      <c r="B5" s="359"/>
      <c r="C5" s="3699" t="s">
        <v>1673</v>
      </c>
      <c r="D5" s="3700"/>
      <c r="E5" s="3706" t="s">
        <v>1674</v>
      </c>
      <c r="F5" s="3707"/>
      <c r="G5" s="3699" t="s">
        <v>1675</v>
      </c>
      <c r="H5" s="3700"/>
      <c r="I5" s="3699" t="s">
        <v>1676</v>
      </c>
      <c r="J5" s="3700"/>
      <c r="K5" s="559"/>
      <c r="L5" s="2701"/>
      <c r="M5" s="2702"/>
      <c r="N5" s="2702"/>
      <c r="O5" s="2702"/>
      <c r="P5" s="3686"/>
      <c r="Q5" s="3687"/>
      <c r="R5" s="3692"/>
      <c r="S5" s="3693"/>
      <c r="T5" s="3692"/>
      <c r="U5" s="3693"/>
      <c r="V5" s="3696"/>
      <c r="W5" s="3696"/>
      <c r="X5" s="1354"/>
      <c r="Y5" s="3692"/>
      <c r="Z5" s="3693"/>
      <c r="AA5" s="3678"/>
      <c r="AB5" s="3678"/>
      <c r="AC5" s="3678"/>
    </row>
    <row r="6" spans="1:30" ht="15" thickBot="1">
      <c r="A6" s="360"/>
      <c r="B6" s="361"/>
      <c r="C6" s="3697" t="s">
        <v>1677</v>
      </c>
      <c r="D6" s="3698"/>
      <c r="E6" s="3704" t="s">
        <v>1677</v>
      </c>
      <c r="F6" s="3705"/>
      <c r="G6" s="3697" t="s">
        <v>1677</v>
      </c>
      <c r="H6" s="3698"/>
      <c r="I6" s="3697" t="s">
        <v>1677</v>
      </c>
      <c r="J6" s="3698"/>
      <c r="K6" s="559" t="s">
        <v>1678</v>
      </c>
      <c r="L6" s="2701"/>
      <c r="M6" s="2702"/>
      <c r="N6" s="2702"/>
      <c r="O6" s="2702"/>
      <c r="P6" s="3688"/>
      <c r="Q6" s="3689"/>
      <c r="R6" s="3692"/>
      <c r="S6" s="3693"/>
      <c r="T6" s="3694"/>
      <c r="U6" s="3695"/>
      <c r="V6" s="3696"/>
      <c r="W6" s="3696"/>
      <c r="X6" s="1354"/>
      <c r="Y6" s="3694"/>
      <c r="Z6" s="3695"/>
      <c r="AA6" s="3679"/>
      <c r="AB6" s="3679"/>
      <c r="AC6" s="3679"/>
    </row>
    <row r="7" spans="1:30" s="108" customFormat="1" ht="15" thickBot="1">
      <c r="A7" s="362" t="s">
        <v>1679</v>
      </c>
      <c r="B7" s="363"/>
      <c r="C7" s="364">
        <f>'数据-取费表'!B2</f>
        <v>45539</v>
      </c>
      <c r="D7" s="365">
        <v>100</v>
      </c>
      <c r="E7" s="366"/>
      <c r="F7" s="367">
        <f>SUMIF(69:69,YEAR(E7)&amp;"-"&amp;INT((MONTH(E7)+2)/3),70:70)</f>
        <v>0</v>
      </c>
      <c r="G7" s="1973"/>
      <c r="H7" s="365">
        <f>SUMIF(69:69,YEAR(G7)&amp;"-"&amp;INT((MONTH(G7)+2)/3),70:70)</f>
        <v>0</v>
      </c>
      <c r="I7" s="1973"/>
      <c r="J7" s="365">
        <f>SUMIF(69:69,YEAR(I7)&amp;"-"&amp;INT((MONTH(I7)+2)/3),70:70)</f>
        <v>0</v>
      </c>
      <c r="K7" s="560"/>
      <c r="L7" s="2703"/>
      <c r="M7" s="2704"/>
      <c r="N7" s="2704"/>
      <c r="O7" s="2704"/>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03"/>
      <c r="M8" s="2704"/>
      <c r="N8" s="2704"/>
      <c r="O8" s="2704"/>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03"/>
      <c r="M9" s="2704"/>
      <c r="N9" s="2704"/>
      <c r="O9" s="2758"/>
      <c r="P9" s="3665"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05"/>
      <c r="M10" s="2706"/>
      <c r="N10" s="2706"/>
      <c r="O10" s="2759"/>
      <c r="P10" s="3665"/>
      <c r="Q10" s="1342"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7"/>
      <c r="M11" s="2702"/>
      <c r="N11" s="2702"/>
      <c r="O11" s="2760"/>
      <c r="P11" s="3665"/>
      <c r="Q11" s="1342"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665"/>
      <c r="Q12" s="1342"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665"/>
      <c r="Q13" s="1342">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665"/>
      <c r="Q14" s="1342">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667" t="s">
        <v>1691</v>
      </c>
      <c r="Q15" s="1351" t="str">
        <f t="shared" si="6"/>
        <v>居住社区成熟度</v>
      </c>
      <c r="R15" s="705" t="s">
        <v>14</v>
      </c>
      <c r="S15" s="706">
        <f t="shared" si="0"/>
        <v>100</v>
      </c>
      <c r="T15" s="705" t="s">
        <v>14</v>
      </c>
      <c r="U15" s="706">
        <f t="shared" si="1"/>
        <v>100</v>
      </c>
      <c r="V15" s="705" t="s">
        <v>14</v>
      </c>
      <c r="W15" s="706">
        <f t="shared" si="2"/>
        <v>100</v>
      </c>
      <c r="X15" s="1354"/>
      <c r="Y15" s="366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8"/>
      <c r="M16" s="2702"/>
      <c r="N16" s="2702"/>
      <c r="O16" s="2760"/>
      <c r="P16" s="3668"/>
      <c r="Q16" s="1351"/>
      <c r="R16" s="705"/>
      <c r="S16" s="706"/>
      <c r="T16" s="705"/>
      <c r="U16" s="706"/>
      <c r="V16" s="705"/>
      <c r="W16" s="706"/>
      <c r="X16" s="1354"/>
      <c r="Y16" s="3668"/>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668"/>
      <c r="Q17" s="1351" t="str">
        <f>B17</f>
        <v>商业繁华度</v>
      </c>
      <c r="R17" s="705" t="s">
        <v>14</v>
      </c>
      <c r="S17" s="706">
        <f>F17</f>
        <v>100</v>
      </c>
      <c r="T17" s="705" t="s">
        <v>14</v>
      </c>
      <c r="U17" s="706">
        <f>H17</f>
        <v>100</v>
      </c>
      <c r="V17" s="705" t="s">
        <v>14</v>
      </c>
      <c r="W17" s="706">
        <f>J17</f>
        <v>100</v>
      </c>
      <c r="X17" s="1354"/>
      <c r="Y17" s="366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8"/>
      <c r="M18" s="2702"/>
      <c r="N18" s="2702"/>
      <c r="O18" s="2760"/>
      <c r="P18" s="3668"/>
      <c r="Q18" s="1351"/>
      <c r="R18" s="705"/>
      <c r="S18" s="706"/>
      <c r="T18" s="705"/>
      <c r="U18" s="706"/>
      <c r="V18" s="705"/>
      <c r="W18" s="706"/>
      <c r="X18" s="1354"/>
      <c r="Y18" s="3668"/>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8"/>
      <c r="M19" s="2702"/>
      <c r="N19" s="2702"/>
      <c r="O19" s="2760"/>
      <c r="P19" s="3668"/>
      <c r="Q19" s="1351" t="str">
        <f>B19</f>
        <v>办公集聚程度</v>
      </c>
      <c r="R19" s="705" t="s">
        <v>14</v>
      </c>
      <c r="S19" s="706">
        <f>F19</f>
        <v>100</v>
      </c>
      <c r="T19" s="705" t="s">
        <v>14</v>
      </c>
      <c r="U19" s="706">
        <f>H19</f>
        <v>100</v>
      </c>
      <c r="V19" s="705" t="s">
        <v>14</v>
      </c>
      <c r="W19" s="706">
        <f>J19</f>
        <v>100</v>
      </c>
      <c r="X19" s="1354"/>
      <c r="Y19" s="366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8"/>
      <c r="M20" s="2702"/>
      <c r="N20" s="2702"/>
      <c r="O20" s="2760"/>
      <c r="P20" s="3668"/>
      <c r="Q20" s="1351"/>
      <c r="R20" s="705"/>
      <c r="S20" s="706"/>
      <c r="T20" s="705"/>
      <c r="U20" s="706"/>
      <c r="V20" s="705"/>
      <c r="W20" s="706"/>
      <c r="X20" s="1354"/>
      <c r="Y20" s="3668"/>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8"/>
      <c r="M21" s="2702"/>
      <c r="N21" s="2702"/>
      <c r="O21" s="2760"/>
      <c r="P21" s="3668"/>
      <c r="Q21" s="1351" t="str">
        <f>B21</f>
        <v>交通便捷度</v>
      </c>
      <c r="R21" s="705" t="s">
        <v>14</v>
      </c>
      <c r="S21" s="706">
        <f>F21</f>
        <v>100</v>
      </c>
      <c r="T21" s="705" t="s">
        <v>14</v>
      </c>
      <c r="U21" s="706">
        <f>H21</f>
        <v>100</v>
      </c>
      <c r="V21" s="705" t="s">
        <v>14</v>
      </c>
      <c r="W21" s="706">
        <f>J21</f>
        <v>100</v>
      </c>
      <c r="X21" s="1354"/>
      <c r="Y21" s="366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08"/>
      <c r="M22" s="2702"/>
      <c r="N22" s="2702"/>
      <c r="O22" s="2760"/>
      <c r="P22" s="3668"/>
      <c r="Q22" s="1351"/>
      <c r="R22" s="705"/>
      <c r="S22" s="706"/>
      <c r="T22" s="705"/>
      <c r="U22" s="706"/>
      <c r="V22" s="705"/>
      <c r="W22" s="706"/>
      <c r="X22" s="1354"/>
      <c r="Y22" s="3668"/>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8"/>
      <c r="M23" s="2702"/>
      <c r="N23" s="2702"/>
      <c r="O23" s="2760"/>
      <c r="P23" s="3668"/>
      <c r="Q23" s="1351" t="str">
        <f t="shared" ref="Q23:Q37" si="8">B23</f>
        <v>区域土地利用方向</v>
      </c>
      <c r="R23" s="705" t="s">
        <v>14</v>
      </c>
      <c r="S23" s="706">
        <f>F23</f>
        <v>100</v>
      </c>
      <c r="T23" s="705" t="s">
        <v>14</v>
      </c>
      <c r="U23" s="706">
        <f>H23</f>
        <v>100</v>
      </c>
      <c r="V23" s="705" t="s">
        <v>14</v>
      </c>
      <c r="W23" s="706">
        <f>J23</f>
        <v>100</v>
      </c>
      <c r="X23" s="1354"/>
      <c r="Y23" s="366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08"/>
      <c r="M24" s="2702"/>
      <c r="N24" s="2702"/>
      <c r="O24" s="2760"/>
      <c r="P24" s="3668"/>
      <c r="Q24" s="1351"/>
      <c r="R24" s="705"/>
      <c r="S24" s="706"/>
      <c r="T24" s="705"/>
      <c r="U24" s="706"/>
      <c r="V24" s="705"/>
      <c r="W24" s="706"/>
      <c r="X24" s="1354"/>
      <c r="Y24" s="3668"/>
      <c r="Z24" s="1355"/>
      <c r="AA24" s="1352"/>
      <c r="AB24" s="1352"/>
      <c r="AC24" s="1352"/>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8"/>
      <c r="M25" s="2702"/>
      <c r="N25" s="2702"/>
      <c r="O25" s="2760"/>
      <c r="P25" s="3668"/>
      <c r="Q25" s="1351" t="str">
        <f t="shared" si="8"/>
        <v>自然及人文环境状况</v>
      </c>
      <c r="R25" s="705" t="s">
        <v>14</v>
      </c>
      <c r="S25" s="706">
        <f>F25</f>
        <v>100</v>
      </c>
      <c r="T25" s="705" t="s">
        <v>14</v>
      </c>
      <c r="U25" s="706">
        <f>H25</f>
        <v>100</v>
      </c>
      <c r="V25" s="705" t="s">
        <v>14</v>
      </c>
      <c r="W25" s="706">
        <f>J25</f>
        <v>100</v>
      </c>
      <c r="X25" s="1354"/>
      <c r="Y25" s="366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8"/>
      <c r="M26" s="2702"/>
      <c r="N26" s="2702"/>
      <c r="O26" s="2760"/>
      <c r="P26" s="3668"/>
      <c r="Q26" s="1351"/>
      <c r="R26" s="705"/>
      <c r="S26" s="706"/>
      <c r="T26" s="705"/>
      <c r="U26" s="706"/>
      <c r="V26" s="705"/>
      <c r="W26" s="706"/>
      <c r="X26" s="1354"/>
      <c r="Y26" s="3668"/>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3"/>
      <c r="M27" s="2704"/>
      <c r="N27" s="2704"/>
      <c r="O27" s="2758"/>
      <c r="P27" s="3668"/>
      <c r="Q27" s="1342" t="str">
        <f t="shared" si="8"/>
        <v>公共配套设施</v>
      </c>
      <c r="R27" s="701" t="s">
        <v>14</v>
      </c>
      <c r="S27" s="702">
        <f>F27</f>
        <v>100</v>
      </c>
      <c r="T27" s="701" t="s">
        <v>14</v>
      </c>
      <c r="U27" s="702">
        <f>H27</f>
        <v>100</v>
      </c>
      <c r="V27" s="701" t="s">
        <v>14</v>
      </c>
      <c r="W27" s="702">
        <f>J27</f>
        <v>100</v>
      </c>
      <c r="X27" s="703"/>
      <c r="Y27" s="366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3"/>
      <c r="M28" s="2704"/>
      <c r="N28" s="2704"/>
      <c r="O28" s="2758"/>
      <c r="P28" s="3668"/>
      <c r="Q28" s="1342"/>
      <c r="R28" s="701"/>
      <c r="S28" s="702"/>
      <c r="T28" s="701"/>
      <c r="U28" s="702"/>
      <c r="V28" s="701"/>
      <c r="W28" s="702"/>
      <c r="X28" s="703"/>
      <c r="Y28" s="3668"/>
      <c r="Z28" s="52"/>
      <c r="AA28" s="1352">
        <v>1</v>
      </c>
      <c r="AB28" s="1352">
        <v>1</v>
      </c>
      <c r="AC28" s="1352">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3"/>
      <c r="M29" s="2704"/>
      <c r="N29" s="2704"/>
      <c r="O29" s="2758"/>
      <c r="P29" s="3668"/>
      <c r="Q29" s="1342"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3"/>
      <c r="M30" s="2704"/>
      <c r="N30" s="2704"/>
      <c r="O30" s="2758"/>
      <c r="P30" s="3668"/>
      <c r="Q30" s="1342"/>
      <c r="R30" s="701"/>
      <c r="S30" s="702"/>
      <c r="T30" s="701"/>
      <c r="U30" s="702"/>
      <c r="V30" s="701"/>
      <c r="W30" s="702"/>
      <c r="X30" s="703"/>
      <c r="Y30" s="366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66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8"/>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668"/>
      <c r="Q32" s="1351" t="str">
        <f t="shared" si="8"/>
        <v>毗邻道路的类型与等级</v>
      </c>
      <c r="R32" s="705" t="s">
        <v>14</v>
      </c>
      <c r="S32" s="706">
        <f t="shared" si="10"/>
        <v>100</v>
      </c>
      <c r="T32" s="705" t="s">
        <v>14</v>
      </c>
      <c r="U32" s="706">
        <f t="shared" si="11"/>
        <v>100</v>
      </c>
      <c r="V32" s="705" t="s">
        <v>14</v>
      </c>
      <c r="W32" s="706">
        <f t="shared" si="12"/>
        <v>100</v>
      </c>
      <c r="X32" s="1354"/>
      <c r="Y32" s="366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8"/>
      <c r="M33" s="2702"/>
      <c r="N33" s="2702"/>
      <c r="O33" s="2760"/>
      <c r="P33" s="3668"/>
      <c r="Q33" s="1351"/>
      <c r="R33" s="705"/>
      <c r="S33" s="706"/>
      <c r="T33" s="705"/>
      <c r="U33" s="706"/>
      <c r="V33" s="705"/>
      <c r="W33" s="706"/>
      <c r="X33" s="1354"/>
      <c r="Y33" s="366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668"/>
      <c r="Q34" s="1351" t="str">
        <f t="shared" si="8"/>
        <v>土地级别</v>
      </c>
      <c r="R34" s="705" t="s">
        <v>14</v>
      </c>
      <c r="S34" s="706">
        <f t="shared" si="10"/>
        <v>100</v>
      </c>
      <c r="T34" s="705" t="s">
        <v>14</v>
      </c>
      <c r="U34" s="706">
        <f t="shared" si="11"/>
        <v>100</v>
      </c>
      <c r="V34" s="705" t="s">
        <v>14</v>
      </c>
      <c r="W34" s="706">
        <f t="shared" si="12"/>
        <v>100</v>
      </c>
      <c r="X34" s="1354"/>
      <c r="Y34" s="366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668"/>
      <c r="Q35" s="1351">
        <f t="shared" si="8"/>
        <v>111</v>
      </c>
      <c r="R35" s="705" t="s">
        <v>14</v>
      </c>
      <c r="S35" s="706">
        <f t="shared" si="10"/>
        <v>100</v>
      </c>
      <c r="T35" s="705" t="s">
        <v>14</v>
      </c>
      <c r="U35" s="706">
        <f t="shared" si="11"/>
        <v>100</v>
      </c>
      <c r="V35" s="705" t="s">
        <v>14</v>
      </c>
      <c r="W35" s="706">
        <f t="shared" si="12"/>
        <v>100</v>
      </c>
      <c r="X35" s="1354"/>
      <c r="Y35" s="366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723" t="s">
        <v>1696</v>
      </c>
      <c r="Q36" s="1351">
        <f t="shared" si="8"/>
        <v>111</v>
      </c>
      <c r="R36" s="705" t="s">
        <v>14</v>
      </c>
      <c r="S36" s="706">
        <f t="shared" si="10"/>
        <v>100</v>
      </c>
      <c r="T36" s="705" t="s">
        <v>14</v>
      </c>
      <c r="U36" s="706">
        <f t="shared" si="11"/>
        <v>100</v>
      </c>
      <c r="V36" s="705" t="s">
        <v>14</v>
      </c>
      <c r="W36" s="706">
        <f t="shared" si="12"/>
        <v>100</v>
      </c>
      <c r="X36" s="1354"/>
      <c r="Y36" s="3672"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672"/>
      <c r="Q37" s="1351">
        <f t="shared" si="8"/>
        <v>111</v>
      </c>
      <c r="R37" s="708" t="s">
        <v>14</v>
      </c>
      <c r="S37" s="709">
        <f t="shared" si="10"/>
        <v>100</v>
      </c>
      <c r="T37" s="708" t="s">
        <v>14</v>
      </c>
      <c r="U37" s="709">
        <f t="shared" si="11"/>
        <v>100</v>
      </c>
      <c r="V37" s="708" t="s">
        <v>14</v>
      </c>
      <c r="W37" s="709">
        <f t="shared" si="12"/>
        <v>100</v>
      </c>
      <c r="X37" s="710"/>
      <c r="Y37" s="3672"/>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8"/>
      <c r="M38" s="2702"/>
      <c r="N38" s="2702"/>
      <c r="O38" s="2760"/>
      <c r="P38" s="3672"/>
      <c r="Q38" s="1351" t="str">
        <f>B38</f>
        <v>宗地面积</v>
      </c>
      <c r="R38" s="705" t="s">
        <v>14</v>
      </c>
      <c r="S38" s="706" t="e">
        <f t="shared" si="10"/>
        <v>#N/A</v>
      </c>
      <c r="T38" s="705" t="s">
        <v>14</v>
      </c>
      <c r="U38" s="706" t="e">
        <f t="shared" si="11"/>
        <v>#N/A</v>
      </c>
      <c r="V38" s="705" t="s">
        <v>14</v>
      </c>
      <c r="W38" s="706" t="e">
        <f t="shared" si="12"/>
        <v>#N/A</v>
      </c>
      <c r="X38" s="1354"/>
      <c r="Y38" s="367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8"/>
      <c r="M39" s="2702"/>
      <c r="N39" s="2702"/>
      <c r="O39" s="2760"/>
      <c r="P39" s="3672"/>
      <c r="Q39" s="1351" t="str">
        <f t="shared" ref="Q39:Q45" si="14">B39</f>
        <v>宗地形状</v>
      </c>
      <c r="R39" s="705" t="s">
        <v>14</v>
      </c>
      <c r="S39" s="706">
        <f t="shared" si="10"/>
        <v>100</v>
      </c>
      <c r="T39" s="705" t="s">
        <v>14</v>
      </c>
      <c r="U39" s="706">
        <f t="shared" si="11"/>
        <v>100</v>
      </c>
      <c r="V39" s="705" t="s">
        <v>14</v>
      </c>
      <c r="W39" s="706">
        <f t="shared" si="12"/>
        <v>100</v>
      </c>
      <c r="X39" s="1354"/>
      <c r="Y39" s="367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8"/>
      <c r="M40" s="2702"/>
      <c r="N40" s="2702"/>
      <c r="O40" s="2760"/>
      <c r="P40" s="3672"/>
      <c r="Q40" s="1351" t="str">
        <f t="shared" si="14"/>
        <v>临街宽度及深度</v>
      </c>
      <c r="R40" s="705" t="s">
        <v>14</v>
      </c>
      <c r="S40" s="706">
        <f t="shared" si="10"/>
        <v>100</v>
      </c>
      <c r="T40" s="705" t="s">
        <v>14</v>
      </c>
      <c r="U40" s="706">
        <f t="shared" si="11"/>
        <v>100</v>
      </c>
      <c r="V40" s="705" t="s">
        <v>14</v>
      </c>
      <c r="W40" s="706">
        <f t="shared" si="12"/>
        <v>100</v>
      </c>
      <c r="X40" s="1354"/>
      <c r="Y40" s="367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3"/>
      <c r="M41" s="2704"/>
      <c r="N41" s="2704"/>
      <c r="O41" s="2758"/>
      <c r="P41" s="3672"/>
      <c r="Q41" s="1351"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8"/>
      <c r="M42" s="2702"/>
      <c r="N42" s="2702"/>
      <c r="O42" s="2760"/>
      <c r="P42" s="3672" t="s">
        <v>1696</v>
      </c>
      <c r="Q42" s="1351" t="str">
        <f t="shared" si="14"/>
        <v>工程地质条件</v>
      </c>
      <c r="R42" s="705" t="s">
        <v>14</v>
      </c>
      <c r="S42" s="706">
        <f t="shared" si="10"/>
        <v>100</v>
      </c>
      <c r="T42" s="705" t="s">
        <v>14</v>
      </c>
      <c r="U42" s="706">
        <f t="shared" si="11"/>
        <v>100</v>
      </c>
      <c r="V42" s="705" t="s">
        <v>14</v>
      </c>
      <c r="W42" s="706">
        <f t="shared" si="12"/>
        <v>100</v>
      </c>
      <c r="X42" s="1354"/>
      <c r="Y42" s="367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672"/>
      <c r="Q43" s="1351">
        <f t="shared" si="14"/>
        <v>111</v>
      </c>
      <c r="R43" s="705" t="s">
        <v>14</v>
      </c>
      <c r="S43" s="706">
        <f t="shared" si="10"/>
        <v>100</v>
      </c>
      <c r="T43" s="705" t="s">
        <v>14</v>
      </c>
      <c r="U43" s="706">
        <f t="shared" si="11"/>
        <v>100</v>
      </c>
      <c r="V43" s="705" t="s">
        <v>14</v>
      </c>
      <c r="W43" s="706">
        <f t="shared" si="12"/>
        <v>100</v>
      </c>
      <c r="X43" s="1354"/>
      <c r="Y43" s="367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672"/>
      <c r="Q44" s="1351">
        <f t="shared" si="14"/>
        <v>111</v>
      </c>
      <c r="R44" s="705" t="s">
        <v>14</v>
      </c>
      <c r="S44" s="706">
        <f t="shared" si="10"/>
        <v>100</v>
      </c>
      <c r="T44" s="705" t="s">
        <v>14</v>
      </c>
      <c r="U44" s="706">
        <f t="shared" si="11"/>
        <v>100</v>
      </c>
      <c r="V44" s="705" t="s">
        <v>14</v>
      </c>
      <c r="W44" s="706">
        <f t="shared" si="12"/>
        <v>100</v>
      </c>
      <c r="X44" s="1354"/>
      <c r="Y44" s="3672"/>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672"/>
      <c r="Q45" s="1351">
        <f t="shared" si="14"/>
        <v>111</v>
      </c>
      <c r="R45" s="708" t="s">
        <v>14</v>
      </c>
      <c r="S45" s="709">
        <f t="shared" si="10"/>
        <v>100</v>
      </c>
      <c r="T45" s="708" t="s">
        <v>14</v>
      </c>
      <c r="U45" s="709">
        <f t="shared" si="11"/>
        <v>100</v>
      </c>
      <c r="V45" s="708" t="s">
        <v>14</v>
      </c>
      <c r="W45" s="709">
        <f t="shared" si="12"/>
        <v>100</v>
      </c>
      <c r="X45" s="710"/>
      <c r="Y45" s="3672"/>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10"/>
      <c r="M46" s="2711"/>
      <c r="N46" s="2702"/>
      <c r="O46" s="2711"/>
      <c r="P46" s="3665" t="str">
        <f>A46</f>
        <v>成交单价</v>
      </c>
      <c r="Q46" s="3665"/>
      <c r="R46" s="3696">
        <f>E46</f>
        <v>0</v>
      </c>
      <c r="S46" s="3696"/>
      <c r="T46" s="3696">
        <f>G46</f>
        <v>0</v>
      </c>
      <c r="U46" s="3696"/>
      <c r="V46" s="3696">
        <f>I46</f>
        <v>0</v>
      </c>
      <c r="W46" s="3696"/>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10"/>
      <c r="M47" s="2711"/>
      <c r="N47" s="2711"/>
      <c r="O47" s="2711"/>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10"/>
      <c r="M48" s="2711"/>
      <c r="N48" s="2711"/>
      <c r="O48" s="2711"/>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4.4"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82" t="s">
        <v>1883</v>
      </c>
      <c r="D55" s="1983" t="s">
        <v>1884</v>
      </c>
      <c r="E55" s="634" t="s">
        <v>1885</v>
      </c>
      <c r="F55" s="890" t="s">
        <v>1886</v>
      </c>
      <c r="G55" s="3680" t="s">
        <v>1887</v>
      </c>
      <c r="H55" s="3727"/>
      <c r="I55" s="135" t="s">
        <v>1888</v>
      </c>
      <c r="J55" s="1984">
        <f>项目基本情况!F35</f>
        <v>0</v>
      </c>
      <c r="K55" s="1985"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t="e">
        <f>C48</f>
        <v>#DIV/0!</v>
      </c>
      <c r="C56" s="638">
        <v>1</v>
      </c>
      <c r="D56" s="944">
        <v>1</v>
      </c>
      <c r="E56" s="638">
        <f>'数据-汇总表'!E8+'数据-汇总表'!E9</f>
        <v>195.03</v>
      </c>
      <c r="F56" s="886" t="e">
        <f t="shared" ref="F56:F64" si="15">ROUND(B56*E56/10000,0)</f>
        <v>#DIV/0!</v>
      </c>
      <c r="G56" s="3676"/>
      <c r="H56" s="3665"/>
      <c r="I56" s="891">
        <v>1</v>
      </c>
      <c r="J56" s="894">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t="e">
        <f>ROUND($C$48*C57*D57,0)</f>
        <v>#DIV/0!</v>
      </c>
      <c r="C57" s="171">
        <f t="shared" ref="C57:C64" si="16">IF($C$55="北京市系数",I57,J57)</f>
        <v>0</v>
      </c>
      <c r="D57" s="945">
        <v>0.25</v>
      </c>
      <c r="E57" s="642"/>
      <c r="F57" s="886" t="e">
        <f t="shared" si="15"/>
        <v>#DIV/0!</v>
      </c>
      <c r="G57" s="2992" t="s">
        <v>1892</v>
      </c>
      <c r="H57" s="887">
        <f>项目基本情况!B37</f>
        <v>0</v>
      </c>
      <c r="I57" s="891">
        <f>SUMIF(修正!A57:A68,H57,修正!B57:B68)</f>
        <v>0</v>
      </c>
      <c r="J57" s="895"/>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t="e">
        <f t="shared" ref="B58:B64" si="17">ROUND($C$48*C58*D58,0)</f>
        <v>#DIV/0!</v>
      </c>
      <c r="C58" s="171">
        <f t="shared" si="16"/>
        <v>0</v>
      </c>
      <c r="D58" s="945">
        <v>0.25</v>
      </c>
      <c r="E58" s="642"/>
      <c r="F58" s="886" t="e">
        <f t="shared" si="15"/>
        <v>#DIV/0!</v>
      </c>
      <c r="G58" s="2993"/>
      <c r="H58" s="887">
        <f>项目基本情况!B37</f>
        <v>0</v>
      </c>
      <c r="I58" s="891">
        <f>SUMIF(修正!A57:A68,H58,修正!C57:C68)</f>
        <v>0</v>
      </c>
      <c r="J58" s="895"/>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t="e">
        <f t="shared" si="17"/>
        <v>#DIV/0!</v>
      </c>
      <c r="C59" s="171">
        <f t="shared" si="16"/>
        <v>0</v>
      </c>
      <c r="D59" s="945">
        <v>0.25</v>
      </c>
      <c r="E59" s="642"/>
      <c r="F59" s="886" t="e">
        <f t="shared" si="15"/>
        <v>#DIV/0!</v>
      </c>
      <c r="G59" s="2993"/>
      <c r="H59" s="887">
        <f>项目基本情况!B37</f>
        <v>0</v>
      </c>
      <c r="I59" s="891">
        <f>SUMIF(修正!A57:A68,H59,修正!D57:D68)</f>
        <v>0</v>
      </c>
      <c r="J59" s="895"/>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一级</v>
      </c>
      <c r="I60" s="891">
        <f>SUMIF(修正!A57:A68,H60,修正!E57:E68)</f>
        <v>0.3</v>
      </c>
      <c r="J60" s="895"/>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4.4" thickBot="1">
      <c r="A64" s="641" t="s">
        <v>1902</v>
      </c>
      <c r="B64" s="218" t="e">
        <f t="shared" si="17"/>
        <v>#DIV/0!</v>
      </c>
      <c r="C64" s="171">
        <f t="shared" si="16"/>
        <v>0.2</v>
      </c>
      <c r="D64" s="945">
        <v>0.25</v>
      </c>
      <c r="E64" s="217">
        <f>'数据-汇总表'!E15</f>
        <v>0</v>
      </c>
      <c r="F64" s="886" t="e">
        <f t="shared" si="15"/>
        <v>#DIV/0!</v>
      </c>
      <c r="G64" s="1987" t="s">
        <v>1896</v>
      </c>
      <c r="H64" s="897" t="str">
        <f>项目基本情况!C37</f>
        <v>一级</v>
      </c>
      <c r="I64" s="893">
        <f>SUMIF(修正!A57:A68,H64,修正!G57:G68)</f>
        <v>0.2</v>
      </c>
      <c r="J64" s="896"/>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7"/>
      <c r="K66" s="888"/>
      <c r="L66" s="889"/>
      <c r="M66" s="927"/>
      <c r="N66" s="927"/>
      <c r="O66" s="927"/>
      <c r="P66" s="2711"/>
      <c r="Q66" s="2711"/>
      <c r="R66" s="2711"/>
      <c r="S66" s="2711"/>
      <c r="T66" s="2711"/>
      <c r="U66" s="2711"/>
      <c r="V66" s="2711"/>
      <c r="W66" s="2711"/>
      <c r="X66" s="2711"/>
      <c r="Y66" s="2711"/>
      <c r="Z66" s="2711"/>
      <c r="AA66" s="2711"/>
      <c r="AB66" s="2711"/>
      <c r="AC66" s="2711"/>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11"/>
      <c r="Q67" s="2711"/>
      <c r="R67" s="2711"/>
      <c r="S67" s="2711"/>
      <c r="T67" s="2711"/>
      <c r="U67" s="2711"/>
      <c r="V67" s="2711"/>
      <c r="W67" s="2711"/>
      <c r="X67" s="2711"/>
      <c r="Y67" s="2711"/>
      <c r="Z67" s="2711"/>
      <c r="AA67" s="2711"/>
      <c r="AB67" s="2711"/>
      <c r="AC67" s="2711"/>
    </row>
    <row r="68" spans="1:29" ht="22.2" thickBot="1">
      <c r="A68" s="694" t="s">
        <v>1798</v>
      </c>
      <c r="B68" s="690"/>
      <c r="C68" s="695"/>
      <c r="D68" s="695"/>
      <c r="E68" s="695"/>
      <c r="F68" s="696"/>
      <c r="G68" s="696"/>
      <c r="H68" s="695"/>
      <c r="I68" s="695"/>
      <c r="J68" s="940"/>
      <c r="K68" s="941"/>
      <c r="L68" s="942"/>
      <c r="M68" s="940"/>
      <c r="N68" s="2755"/>
      <c r="O68" s="2755"/>
      <c r="P68" s="2755"/>
      <c r="Q68" s="2725"/>
      <c r="R68" s="2711"/>
      <c r="S68" s="2711"/>
      <c r="T68" s="2711"/>
      <c r="U68" s="2711"/>
      <c r="V68" s="2711"/>
      <c r="W68" s="2711"/>
      <c r="X68" s="2711"/>
      <c r="Y68" s="2711"/>
      <c r="Z68" s="2711"/>
      <c r="AA68" s="2711"/>
      <c r="AB68" s="2711"/>
      <c r="AC68" s="2711"/>
    </row>
    <row r="69" spans="1:29" s="457" customFormat="1" ht="14.4">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5"/>
      <c r="Q70" s="2650"/>
      <c r="R70" s="2650"/>
      <c r="S70" s="2650"/>
      <c r="T70" s="2650"/>
      <c r="U70" s="2650"/>
      <c r="V70" s="2650"/>
      <c r="W70" s="2650"/>
      <c r="X70" s="2650"/>
      <c r="Y70" s="2650"/>
      <c r="Z70" s="2650"/>
      <c r="AA70" s="2650"/>
      <c r="AB70" s="2650"/>
      <c r="AC70" s="2650"/>
    </row>
    <row r="71" spans="1:29" s="108" customFormat="1" ht="15" thickBot="1">
      <c r="A71" s="464" t="s">
        <v>1716</v>
      </c>
      <c r="B71" s="465"/>
      <c r="C71" s="466"/>
      <c r="D71" s="467"/>
      <c r="E71" s="467"/>
      <c r="F71" s="467"/>
      <c r="G71" s="467"/>
      <c r="H71" s="467"/>
      <c r="I71" s="467"/>
      <c r="J71" s="467"/>
      <c r="K71" s="467"/>
      <c r="L71" s="467"/>
      <c r="M71" s="468"/>
      <c r="N71" s="467"/>
      <c r="O71" s="943"/>
      <c r="P71" s="2725"/>
      <c r="Q71" s="2725"/>
      <c r="R71" s="2650"/>
      <c r="S71" s="2650"/>
      <c r="T71" s="2650"/>
      <c r="U71" s="2650"/>
      <c r="V71" s="2650"/>
      <c r="W71" s="2650"/>
      <c r="X71" s="2650"/>
      <c r="Y71" s="2650"/>
      <c r="Z71" s="2650"/>
      <c r="AA71" s="2650"/>
      <c r="AB71" s="2650"/>
      <c r="AC71" s="2650"/>
    </row>
    <row r="72" spans="1:29" s="108" customFormat="1" ht="14.4">
      <c r="A72" s="470" t="s">
        <v>1681</v>
      </c>
      <c r="B72" s="459"/>
      <c r="C72" s="471" t="s">
        <v>1776</v>
      </c>
      <c r="D72" s="472"/>
      <c r="E72" s="472"/>
      <c r="F72" s="472"/>
      <c r="G72" s="472"/>
      <c r="H72" s="472"/>
      <c r="I72" s="472"/>
      <c r="J72" s="472"/>
      <c r="K72" s="472"/>
      <c r="L72" s="473"/>
      <c r="M72" s="474"/>
      <c r="N72" s="2738"/>
      <c r="O72" s="2738"/>
      <c r="P72" s="2763"/>
      <c r="Q72" s="2725"/>
      <c r="R72" s="2650"/>
      <c r="S72" s="2650"/>
      <c r="T72" s="2650"/>
      <c r="U72" s="2650"/>
      <c r="V72" s="2650"/>
      <c r="W72" s="2650"/>
      <c r="X72" s="2650"/>
      <c r="Y72" s="2650"/>
      <c r="Z72" s="2650"/>
      <c r="AA72" s="2650"/>
      <c r="AB72" s="2650"/>
      <c r="AC72" s="2650"/>
    </row>
    <row r="73" spans="1:29" s="108" customFormat="1" ht="14.4" thickBot="1">
      <c r="A73" s="470"/>
      <c r="B73" s="459"/>
      <c r="C73" s="587">
        <v>100</v>
      </c>
      <c r="D73" s="461"/>
      <c r="E73" s="461"/>
      <c r="F73" s="461"/>
      <c r="G73" s="461"/>
      <c r="H73" s="461"/>
      <c r="I73" s="461"/>
      <c r="J73" s="461"/>
      <c r="K73" s="461"/>
      <c r="L73" s="461"/>
      <c r="M73" s="463"/>
      <c r="N73" s="2738"/>
      <c r="O73" s="2738"/>
      <c r="P73" s="2725"/>
      <c r="Q73" s="2725"/>
      <c r="R73" s="2650"/>
      <c r="S73" s="2650"/>
      <c r="T73" s="2650"/>
      <c r="U73" s="2650"/>
      <c r="V73" s="2650"/>
      <c r="W73" s="2650"/>
      <c r="X73" s="2650"/>
      <c r="Y73" s="2650"/>
      <c r="Z73" s="2650"/>
      <c r="AA73" s="2650"/>
      <c r="AB73" s="2650"/>
      <c r="AC73" s="2650"/>
    </row>
    <row r="74" spans="1:29" ht="14.4">
      <c r="A74" s="476" t="s">
        <v>1719</v>
      </c>
      <c r="B74" s="477" t="s">
        <v>1685</v>
      </c>
      <c r="C74" s="479"/>
      <c r="D74" s="479"/>
      <c r="E74" s="479"/>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4.4" thickBot="1">
      <c r="A75" s="483"/>
      <c r="B75" s="484"/>
      <c r="C75" s="485"/>
      <c r="D75" s="485"/>
      <c r="E75" s="485"/>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9.4"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4.4"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c r="A79" s="483"/>
      <c r="B79" s="497"/>
      <c r="C79" s="498"/>
      <c r="D79" s="498"/>
      <c r="E79" s="498"/>
      <c r="F79" s="498"/>
      <c r="G79" s="498"/>
      <c r="H79" s="498"/>
      <c r="I79" s="498"/>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0"/>
      <c r="O80" s="2740"/>
      <c r="P80" s="2764"/>
      <c r="Q80" s="2725"/>
      <c r="R80" s="2711"/>
      <c r="S80" s="2711"/>
      <c r="T80" s="2711"/>
      <c r="U80" s="2711"/>
      <c r="V80" s="2711"/>
      <c r="W80" s="2711"/>
      <c r="X80" s="2711"/>
      <c r="Y80" s="2711"/>
      <c r="Z80" s="2711"/>
      <c r="AA80" s="2711"/>
      <c r="AB80" s="2711"/>
      <c r="AC80" s="2711"/>
    </row>
    <row r="81" spans="1:29" s="422" customFormat="1" ht="14.4"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4.4"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4.4"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4.4"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4.4"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4.4"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ht="14.4">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50"/>
      <c r="S95" s="2650"/>
      <c r="T95" s="2650"/>
      <c r="U95" s="2650"/>
      <c r="V95" s="2650"/>
      <c r="W95" s="2650"/>
      <c r="X95" s="2650"/>
      <c r="Y95" s="2650"/>
      <c r="Z95" s="2650"/>
      <c r="AA95" s="2650"/>
      <c r="AB95" s="2650"/>
      <c r="AC95" s="265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0"/>
      <c r="O96" s="2740"/>
      <c r="P96" s="2764"/>
      <c r="Q96" s="2725"/>
      <c r="R96" s="2650"/>
      <c r="S96" s="2650"/>
      <c r="T96" s="2650"/>
      <c r="U96" s="2650"/>
      <c r="V96" s="2650"/>
      <c r="W96" s="2650"/>
      <c r="X96" s="2650"/>
      <c r="Y96" s="2650"/>
      <c r="Z96" s="2650"/>
      <c r="AA96" s="2650"/>
      <c r="AB96" s="2650"/>
      <c r="AC96" s="265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50"/>
      <c r="S97" s="2650"/>
      <c r="T97" s="2650"/>
      <c r="U97" s="2650"/>
      <c r="V97" s="2650"/>
      <c r="W97" s="2650"/>
      <c r="X97" s="2650"/>
      <c r="Y97" s="2650"/>
      <c r="Z97" s="2650"/>
      <c r="AA97" s="2650"/>
      <c r="AB97" s="2650"/>
      <c r="AC97" s="265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0"/>
      <c r="O98" s="2740"/>
      <c r="P98" s="2764"/>
      <c r="Q98" s="2725"/>
      <c r="R98" s="2650"/>
      <c r="S98" s="2650"/>
      <c r="T98" s="2650"/>
      <c r="U98" s="2650"/>
      <c r="V98" s="2650"/>
      <c r="W98" s="2650"/>
      <c r="X98" s="2650"/>
      <c r="Y98" s="2650"/>
      <c r="Z98" s="2650"/>
      <c r="AA98" s="2650"/>
      <c r="AB98" s="2650"/>
      <c r="AC98" s="265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41"/>
      <c r="O101" s="2741"/>
      <c r="P101" s="2765"/>
      <c r="Q101" s="2732"/>
      <c r="R101" s="2733"/>
      <c r="S101" s="2733"/>
      <c r="T101" s="2733"/>
      <c r="U101" s="2733"/>
      <c r="V101" s="2733"/>
      <c r="W101" s="2733"/>
      <c r="X101" s="2733"/>
      <c r="Y101" s="2733"/>
      <c r="Z101" s="2733"/>
      <c r="AA101" s="2733"/>
      <c r="AB101" s="2733"/>
      <c r="AC101" s="273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41"/>
      <c r="O102" s="2741"/>
      <c r="P102" s="2765"/>
      <c r="Q102" s="2732"/>
      <c r="R102" s="2733"/>
      <c r="S102" s="2733"/>
      <c r="T102" s="2733"/>
      <c r="U102" s="2733"/>
      <c r="V102" s="2733"/>
      <c r="W102" s="2733"/>
      <c r="X102" s="2733"/>
      <c r="Y102" s="2733"/>
      <c r="Z102" s="2733"/>
      <c r="AA102" s="2733"/>
      <c r="AB102" s="2733"/>
      <c r="AC102" s="273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0"/>
      <c r="O104" s="2740"/>
      <c r="P104" s="2764"/>
      <c r="Q104" s="2725"/>
      <c r="R104" s="2711"/>
      <c r="S104" s="2711"/>
      <c r="T104" s="2711"/>
      <c r="U104" s="2711"/>
      <c r="V104" s="2711"/>
      <c r="W104" s="2711"/>
      <c r="X104" s="2711"/>
      <c r="Y104" s="2711"/>
      <c r="Z104" s="2711"/>
      <c r="AA104" s="2711"/>
      <c r="AB104" s="2711"/>
      <c r="AC104" s="2711"/>
    </row>
    <row r="105" spans="1:29" ht="29.4"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0"/>
      <c r="O106" s="2740"/>
      <c r="P106" s="2764"/>
      <c r="Q106" s="2725"/>
      <c r="R106" s="2711"/>
      <c r="S106" s="2711"/>
      <c r="T106" s="2711"/>
      <c r="U106" s="2711"/>
      <c r="V106" s="2711"/>
      <c r="W106" s="2711"/>
      <c r="X106" s="2711"/>
      <c r="Y106" s="2711"/>
      <c r="Z106" s="2711"/>
      <c r="AA106" s="2711"/>
      <c r="AB106" s="2711"/>
      <c r="AC106" s="2711"/>
    </row>
    <row r="107" spans="1:29" ht="1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0"/>
      <c r="O108" s="2740"/>
      <c r="P108" s="2764"/>
      <c r="Q108" s="2725"/>
      <c r="R108" s="2711"/>
      <c r="S108" s="2711"/>
      <c r="T108" s="2711"/>
      <c r="U108" s="2711"/>
      <c r="V108" s="2711"/>
      <c r="W108" s="2711"/>
      <c r="X108" s="2711"/>
      <c r="Y108" s="2711"/>
      <c r="Z108" s="2711"/>
      <c r="AA108" s="2711"/>
      <c r="AB108" s="2711"/>
      <c r="AC108" s="2711"/>
    </row>
    <row r="109" spans="1:29" ht="14.4"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4.4"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4.4"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4.4"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4.4"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4.4"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9"/>
      <c r="O115" s="2739"/>
      <c r="P115" s="2764"/>
      <c r="Q115" s="2725"/>
      <c r="R115" s="2711"/>
      <c r="S115" s="2711"/>
      <c r="T115" s="2711"/>
      <c r="U115" s="2711"/>
      <c r="V115" s="2711"/>
      <c r="W115" s="2711"/>
      <c r="X115" s="2711"/>
      <c r="Y115" s="2711"/>
      <c r="Z115" s="2711"/>
      <c r="AA115" s="2711"/>
      <c r="AB115" s="2711"/>
      <c r="AC115" s="2711"/>
    </row>
    <row r="116" spans="1:29">
      <c r="A116" s="483"/>
      <c r="B116" s="495"/>
      <c r="C116" s="544"/>
      <c r="D116" s="544"/>
      <c r="E116" s="544"/>
      <c r="F116" s="544"/>
      <c r="G116" s="544"/>
      <c r="H116" s="544"/>
      <c r="I116" s="544"/>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4.4" thickBot="1">
      <c r="A117" s="483"/>
      <c r="B117" s="492"/>
      <c r="C117" s="519"/>
      <c r="D117" s="540"/>
      <c r="E117" s="540"/>
      <c r="F117" s="540"/>
      <c r="G117" s="540"/>
      <c r="H117" s="540"/>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532"/>
      <c r="D118" s="532"/>
      <c r="E118" s="532"/>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503"/>
      <c r="D120" s="503"/>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c r="D122" s="503"/>
      <c r="E122" s="503"/>
      <c r="F122" s="503"/>
      <c r="G122" s="503"/>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c r="D124" s="503"/>
      <c r="E124" s="532"/>
      <c r="F124" s="532"/>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0"/>
      <c r="O125" s="2740"/>
      <c r="P125" s="2764"/>
      <c r="Q125" s="2725"/>
      <c r="R125" s="2711"/>
      <c r="S125" s="2711"/>
      <c r="T125" s="2711"/>
      <c r="U125" s="2711"/>
      <c r="V125" s="2711"/>
      <c r="W125" s="2711"/>
      <c r="X125" s="2711"/>
      <c r="Y125" s="2711"/>
      <c r="Z125" s="2711"/>
      <c r="AA125" s="2711"/>
      <c r="AB125" s="2711"/>
      <c r="AC125" s="2711"/>
    </row>
    <row r="126" spans="1:29" ht="14.4"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4.4"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4.4"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4.4"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4.4"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4.4"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01"/>
      <c r="M4" s="2702"/>
      <c r="N4" s="2702"/>
      <c r="O4" s="2702"/>
      <c r="P4" s="3684" t="s">
        <v>1775</v>
      </c>
      <c r="Q4" s="3685"/>
      <c r="R4" s="3690" t="s">
        <v>1771</v>
      </c>
      <c r="S4" s="3691"/>
      <c r="T4" s="3690" t="s">
        <v>1772</v>
      </c>
      <c r="U4" s="3691"/>
      <c r="V4" s="3696" t="s">
        <v>1773</v>
      </c>
      <c r="W4" s="3696"/>
      <c r="X4" s="1354"/>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01"/>
      <c r="M5" s="2702"/>
      <c r="N5" s="2702"/>
      <c r="O5" s="2702"/>
      <c r="P5" s="3686"/>
      <c r="Q5" s="3687"/>
      <c r="R5" s="3692"/>
      <c r="S5" s="3693"/>
      <c r="T5" s="3692"/>
      <c r="U5" s="3693"/>
      <c r="V5" s="3696"/>
      <c r="W5" s="3696"/>
      <c r="X5" s="1354"/>
      <c r="Y5" s="3692"/>
      <c r="Z5" s="3693"/>
      <c r="AA5" s="3678"/>
      <c r="AB5" s="3678"/>
      <c r="AC5" s="3678"/>
    </row>
    <row r="6" spans="1:29" ht="15" thickBot="1">
      <c r="A6" s="360"/>
      <c r="B6" s="361"/>
      <c r="C6" s="3728" t="s">
        <v>1919</v>
      </c>
      <c r="D6" s="3729"/>
      <c r="E6" s="3730" t="s">
        <v>1919</v>
      </c>
      <c r="F6" s="3731"/>
      <c r="G6" s="3728" t="s">
        <v>1919</v>
      </c>
      <c r="H6" s="3729"/>
      <c r="I6" s="3728" t="s">
        <v>1919</v>
      </c>
      <c r="J6" s="3729"/>
      <c r="K6" s="559" t="s">
        <v>1678</v>
      </c>
      <c r="L6" s="2701"/>
      <c r="M6" s="2702"/>
      <c r="N6" s="2702"/>
      <c r="O6" s="2702"/>
      <c r="P6" s="3688"/>
      <c r="Q6" s="3689"/>
      <c r="R6" s="3692"/>
      <c r="S6" s="3693"/>
      <c r="T6" s="3694"/>
      <c r="U6" s="3695"/>
      <c r="V6" s="3696"/>
      <c r="W6" s="3696"/>
      <c r="X6" s="1354"/>
      <c r="Y6" s="3694"/>
      <c r="Z6" s="3695"/>
      <c r="AA6" s="3679"/>
      <c r="AB6" s="3679"/>
      <c r="AC6" s="3679"/>
    </row>
    <row r="7" spans="1:29" s="108" customFormat="1" ht="15" thickBot="1">
      <c r="A7" s="362" t="s">
        <v>1679</v>
      </c>
      <c r="B7" s="363"/>
      <c r="C7" s="364">
        <f>'数据-取费表'!B2</f>
        <v>45539</v>
      </c>
      <c r="D7" s="365">
        <v>100</v>
      </c>
      <c r="E7" s="366"/>
      <c r="F7" s="367">
        <f>SUMIF(65:65,YEAR(E7)&amp;"-"&amp;INT((MONTH(E7)+2)/3),66:66)</f>
        <v>0</v>
      </c>
      <c r="G7" s="1973"/>
      <c r="H7" s="365">
        <f>SUMIF(65:65,YEAR(G7)&amp;"-"&amp;INT((MONTH(G7)+2)/3),66:66)</f>
        <v>0</v>
      </c>
      <c r="I7" s="1973"/>
      <c r="J7" s="365">
        <f>SUMIF(65:65,YEAR(I7)&amp;"-"&amp;INT((MONTH(I7)+2)/3),66:66)</f>
        <v>0</v>
      </c>
      <c r="K7" s="560"/>
      <c r="L7" s="2703"/>
      <c r="M7" s="2704"/>
      <c r="N7" s="2704"/>
      <c r="O7" s="2704"/>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03"/>
      <c r="M9" s="2704"/>
      <c r="N9" s="2704"/>
      <c r="O9" s="2758"/>
      <c r="P9" s="3665" t="s">
        <v>1686</v>
      </c>
      <c r="Q9" s="1342"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05"/>
      <c r="M10" s="2706"/>
      <c r="N10" s="2706"/>
      <c r="O10" s="2759"/>
      <c r="P10" s="3665"/>
      <c r="Q10" s="1342"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665"/>
      <c r="Q11" s="1342"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665"/>
      <c r="Q12" s="1342">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665"/>
      <c r="Q13" s="1342">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665"/>
      <c r="Q14" s="1342">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667" t="s">
        <v>1691</v>
      </c>
      <c r="Q15" s="1351" t="str">
        <f t="shared" si="6"/>
        <v>产业集聚程度</v>
      </c>
      <c r="R15" s="705" t="s">
        <v>14</v>
      </c>
      <c r="S15" s="706">
        <f t="shared" si="0"/>
        <v>100</v>
      </c>
      <c r="T15" s="705" t="s">
        <v>14</v>
      </c>
      <c r="U15" s="706">
        <f t="shared" si="1"/>
        <v>100</v>
      </c>
      <c r="V15" s="705" t="s">
        <v>14</v>
      </c>
      <c r="W15" s="706">
        <f t="shared" si="2"/>
        <v>100</v>
      </c>
      <c r="X15" s="1354"/>
      <c r="Y15" s="366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8"/>
      <c r="M16" s="2702"/>
      <c r="N16" s="2702"/>
      <c r="O16" s="2760"/>
      <c r="P16" s="3668"/>
      <c r="Q16" s="1351"/>
      <c r="R16" s="705"/>
      <c r="S16" s="706"/>
      <c r="T16" s="705"/>
      <c r="U16" s="706"/>
      <c r="V16" s="705"/>
      <c r="W16" s="706"/>
      <c r="X16" s="1354"/>
      <c r="Y16" s="3668"/>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668"/>
      <c r="Q17" s="1351" t="str">
        <f>B17</f>
        <v>交通便捷度</v>
      </c>
      <c r="R17" s="705" t="s">
        <v>14</v>
      </c>
      <c r="S17" s="706">
        <f>F17</f>
        <v>100</v>
      </c>
      <c r="T17" s="705" t="s">
        <v>14</v>
      </c>
      <c r="U17" s="706">
        <f>H17</f>
        <v>100</v>
      </c>
      <c r="V17" s="705" t="s">
        <v>14</v>
      </c>
      <c r="W17" s="706">
        <f>J17</f>
        <v>100</v>
      </c>
      <c r="X17" s="1354"/>
      <c r="Y17" s="366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8"/>
      <c r="M18" s="2702"/>
      <c r="N18" s="2702"/>
      <c r="O18" s="2760"/>
      <c r="P18" s="3668"/>
      <c r="Q18" s="1351"/>
      <c r="R18" s="705"/>
      <c r="S18" s="706"/>
      <c r="T18" s="705"/>
      <c r="U18" s="706"/>
      <c r="V18" s="705"/>
      <c r="W18" s="706"/>
      <c r="X18" s="1354"/>
      <c r="Y18" s="3668"/>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668"/>
      <c r="Q19" s="1351" t="str">
        <f t="shared" ref="Q19:Q33" si="8">B19</f>
        <v>区域土地利用方向</v>
      </c>
      <c r="R19" s="705" t="s">
        <v>14</v>
      </c>
      <c r="S19" s="706">
        <f>F19</f>
        <v>100</v>
      </c>
      <c r="T19" s="705" t="s">
        <v>14</v>
      </c>
      <c r="U19" s="706">
        <f>H19</f>
        <v>100</v>
      </c>
      <c r="V19" s="705" t="s">
        <v>14</v>
      </c>
      <c r="W19" s="706">
        <f>J19</f>
        <v>100</v>
      </c>
      <c r="X19" s="1354"/>
      <c r="Y19" s="366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08"/>
      <c r="M20" s="2702"/>
      <c r="N20" s="2702"/>
      <c r="O20" s="2760"/>
      <c r="P20" s="3668"/>
      <c r="Q20" s="1351"/>
      <c r="R20" s="705"/>
      <c r="S20" s="706"/>
      <c r="T20" s="705"/>
      <c r="U20" s="706"/>
      <c r="V20" s="705"/>
      <c r="W20" s="706"/>
      <c r="X20" s="1354"/>
      <c r="Y20" s="3668"/>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668"/>
      <c r="Q21" s="1351" t="str">
        <f t="shared" si="8"/>
        <v>环境状况</v>
      </c>
      <c r="R21" s="705" t="s">
        <v>14</v>
      </c>
      <c r="S21" s="706">
        <f>F21</f>
        <v>100</v>
      </c>
      <c r="T21" s="705" t="s">
        <v>14</v>
      </c>
      <c r="U21" s="706">
        <f>H21</f>
        <v>100</v>
      </c>
      <c r="V21" s="705" t="s">
        <v>14</v>
      </c>
      <c r="W21" s="706">
        <f>J21</f>
        <v>100</v>
      </c>
      <c r="X21" s="1354"/>
      <c r="Y21" s="366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8"/>
      <c r="M22" s="2702"/>
      <c r="N22" s="2702"/>
      <c r="O22" s="2760"/>
      <c r="P22" s="3668"/>
      <c r="Q22" s="1351"/>
      <c r="R22" s="705"/>
      <c r="S22" s="706"/>
      <c r="T22" s="705"/>
      <c r="U22" s="706"/>
      <c r="V22" s="705"/>
      <c r="W22" s="706"/>
      <c r="X22" s="1354"/>
      <c r="Y22" s="3668"/>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668"/>
      <c r="Q23" s="1342" t="str">
        <f t="shared" si="8"/>
        <v>公共配套设施</v>
      </c>
      <c r="R23" s="701" t="s">
        <v>14</v>
      </c>
      <c r="S23" s="702">
        <f>F23</f>
        <v>100</v>
      </c>
      <c r="T23" s="701" t="s">
        <v>14</v>
      </c>
      <c r="U23" s="702">
        <f>H23</f>
        <v>100</v>
      </c>
      <c r="V23" s="701" t="s">
        <v>14</v>
      </c>
      <c r="W23" s="702">
        <f>J23</f>
        <v>100</v>
      </c>
      <c r="X23" s="703"/>
      <c r="Y23" s="366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03"/>
      <c r="M24" s="2704"/>
      <c r="N24" s="2704"/>
      <c r="O24" s="2758"/>
      <c r="P24" s="3668"/>
      <c r="Q24" s="1342"/>
      <c r="R24" s="701"/>
      <c r="S24" s="702"/>
      <c r="T24" s="701"/>
      <c r="U24" s="702"/>
      <c r="V24" s="701"/>
      <c r="W24" s="702"/>
      <c r="X24" s="703"/>
      <c r="Y24" s="3668"/>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668"/>
      <c r="Q25" s="1342"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03"/>
      <c r="M26" s="2704"/>
      <c r="N26" s="2704"/>
      <c r="O26" s="2758"/>
      <c r="P26" s="3668"/>
      <c r="Q26" s="1342"/>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66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8"/>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668"/>
      <c r="Q28" s="1351" t="str">
        <f t="shared" si="8"/>
        <v>毗邻道路的类型与等级</v>
      </c>
      <c r="R28" s="705" t="s">
        <v>14</v>
      </c>
      <c r="S28" s="706">
        <f t="shared" si="10"/>
        <v>100</v>
      </c>
      <c r="T28" s="705" t="s">
        <v>14</v>
      </c>
      <c r="U28" s="706">
        <f t="shared" si="11"/>
        <v>100</v>
      </c>
      <c r="V28" s="705" t="s">
        <v>14</v>
      </c>
      <c r="W28" s="706">
        <f t="shared" si="12"/>
        <v>100</v>
      </c>
      <c r="X28" s="1354"/>
      <c r="Y28" s="366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8"/>
      <c r="M29" s="2702"/>
      <c r="N29" s="2702"/>
      <c r="O29" s="2760"/>
      <c r="P29" s="3668"/>
      <c r="Q29" s="1351"/>
      <c r="R29" s="705"/>
      <c r="S29" s="706"/>
      <c r="T29" s="705"/>
      <c r="U29" s="706"/>
      <c r="V29" s="705"/>
      <c r="W29" s="706"/>
      <c r="X29" s="1354"/>
      <c r="Y29" s="366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668"/>
      <c r="Q30" s="1351" t="str">
        <f t="shared" si="8"/>
        <v>土地级别</v>
      </c>
      <c r="R30" s="705" t="s">
        <v>14</v>
      </c>
      <c r="S30" s="706">
        <f t="shared" si="10"/>
        <v>100</v>
      </c>
      <c r="T30" s="705" t="s">
        <v>14</v>
      </c>
      <c r="U30" s="706">
        <f t="shared" si="11"/>
        <v>100</v>
      </c>
      <c r="V30" s="705" t="s">
        <v>14</v>
      </c>
      <c r="W30" s="706">
        <f t="shared" si="12"/>
        <v>100</v>
      </c>
      <c r="X30" s="1354"/>
      <c r="Y30" s="366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668"/>
      <c r="Q31" s="1351">
        <f t="shared" si="8"/>
        <v>111</v>
      </c>
      <c r="R31" s="705" t="s">
        <v>14</v>
      </c>
      <c r="S31" s="706">
        <f t="shared" si="10"/>
        <v>100</v>
      </c>
      <c r="T31" s="705" t="s">
        <v>14</v>
      </c>
      <c r="U31" s="706">
        <f t="shared" si="11"/>
        <v>100</v>
      </c>
      <c r="V31" s="705" t="s">
        <v>14</v>
      </c>
      <c r="W31" s="706">
        <f t="shared" si="12"/>
        <v>100</v>
      </c>
      <c r="X31" s="1354"/>
      <c r="Y31" s="366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723" t="s">
        <v>1696</v>
      </c>
      <c r="Q32" s="1351">
        <f t="shared" si="8"/>
        <v>111</v>
      </c>
      <c r="R32" s="705" t="s">
        <v>14</v>
      </c>
      <c r="S32" s="706">
        <f t="shared" si="10"/>
        <v>100</v>
      </c>
      <c r="T32" s="705" t="s">
        <v>14</v>
      </c>
      <c r="U32" s="706">
        <f t="shared" si="11"/>
        <v>100</v>
      </c>
      <c r="V32" s="705" t="s">
        <v>14</v>
      </c>
      <c r="W32" s="706">
        <f t="shared" si="12"/>
        <v>100</v>
      </c>
      <c r="X32" s="1354"/>
      <c r="Y32" s="3672"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672"/>
      <c r="Q33" s="1351">
        <f t="shared" si="8"/>
        <v>111</v>
      </c>
      <c r="R33" s="708" t="s">
        <v>14</v>
      </c>
      <c r="S33" s="709">
        <f t="shared" si="10"/>
        <v>100</v>
      </c>
      <c r="T33" s="708" t="s">
        <v>14</v>
      </c>
      <c r="U33" s="709">
        <f t="shared" si="11"/>
        <v>100</v>
      </c>
      <c r="V33" s="708" t="s">
        <v>14</v>
      </c>
      <c r="W33" s="709">
        <f t="shared" si="12"/>
        <v>100</v>
      </c>
      <c r="X33" s="710"/>
      <c r="Y33" s="367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672"/>
      <c r="Q34" s="1351" t="str">
        <f>B34</f>
        <v>宗地面积</v>
      </c>
      <c r="R34" s="705" t="s">
        <v>14</v>
      </c>
      <c r="S34" s="706" t="e">
        <f t="shared" si="10"/>
        <v>#N/A</v>
      </c>
      <c r="T34" s="705" t="s">
        <v>14</v>
      </c>
      <c r="U34" s="706" t="e">
        <f t="shared" si="11"/>
        <v>#N/A</v>
      </c>
      <c r="V34" s="705" t="s">
        <v>14</v>
      </c>
      <c r="W34" s="706" t="e">
        <f t="shared" si="12"/>
        <v>#N/A</v>
      </c>
      <c r="X34" s="1354"/>
      <c r="Y34" s="367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8"/>
      <c r="M35" s="2702"/>
      <c r="N35" s="2702"/>
      <c r="O35" s="2760"/>
      <c r="P35" s="3672"/>
      <c r="Q35" s="1351" t="str">
        <f t="shared" ref="Q35:Q40" si="14">B35</f>
        <v>宗地形状</v>
      </c>
      <c r="R35" s="705" t="s">
        <v>14</v>
      </c>
      <c r="S35" s="706">
        <f t="shared" si="10"/>
        <v>100</v>
      </c>
      <c r="T35" s="705" t="s">
        <v>14</v>
      </c>
      <c r="U35" s="706">
        <f t="shared" si="11"/>
        <v>100</v>
      </c>
      <c r="V35" s="705" t="s">
        <v>14</v>
      </c>
      <c r="W35" s="706">
        <f t="shared" si="12"/>
        <v>100</v>
      </c>
      <c r="X35" s="1354"/>
      <c r="Y35" s="367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03"/>
      <c r="M36" s="2704"/>
      <c r="N36" s="2704"/>
      <c r="O36" s="2758"/>
      <c r="P36" s="3672"/>
      <c r="Q36" s="1351"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8"/>
      <c r="M37" s="2702"/>
      <c r="N37" s="2702"/>
      <c r="O37" s="2760"/>
      <c r="P37" s="3672" t="s">
        <v>1696</v>
      </c>
      <c r="Q37" s="1351" t="str">
        <f t="shared" si="14"/>
        <v>工程地质条件</v>
      </c>
      <c r="R37" s="705" t="s">
        <v>14</v>
      </c>
      <c r="S37" s="706">
        <f t="shared" si="10"/>
        <v>100</v>
      </c>
      <c r="T37" s="705" t="s">
        <v>14</v>
      </c>
      <c r="U37" s="706">
        <f t="shared" si="11"/>
        <v>100</v>
      </c>
      <c r="V37" s="705" t="s">
        <v>14</v>
      </c>
      <c r="W37" s="706">
        <f t="shared" si="12"/>
        <v>100</v>
      </c>
      <c r="X37" s="1354"/>
      <c r="Y37" s="367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672"/>
      <c r="Q38" s="1351">
        <f t="shared" si="14"/>
        <v>111</v>
      </c>
      <c r="R38" s="705" t="s">
        <v>14</v>
      </c>
      <c r="S38" s="706">
        <f t="shared" si="10"/>
        <v>100</v>
      </c>
      <c r="T38" s="705" t="s">
        <v>14</v>
      </c>
      <c r="U38" s="706">
        <f t="shared" si="11"/>
        <v>100</v>
      </c>
      <c r="V38" s="705" t="s">
        <v>14</v>
      </c>
      <c r="W38" s="706">
        <f t="shared" si="12"/>
        <v>100</v>
      </c>
      <c r="X38" s="1354"/>
      <c r="Y38" s="367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672"/>
      <c r="Q39" s="1351">
        <f t="shared" si="14"/>
        <v>111</v>
      </c>
      <c r="R39" s="705" t="s">
        <v>14</v>
      </c>
      <c r="S39" s="706">
        <f t="shared" si="10"/>
        <v>100</v>
      </c>
      <c r="T39" s="705" t="s">
        <v>14</v>
      </c>
      <c r="U39" s="706">
        <f t="shared" si="11"/>
        <v>100</v>
      </c>
      <c r="V39" s="705" t="s">
        <v>14</v>
      </c>
      <c r="W39" s="706">
        <f t="shared" si="12"/>
        <v>100</v>
      </c>
      <c r="X39" s="1354"/>
      <c r="Y39" s="3672"/>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672"/>
      <c r="Q40" s="1351">
        <f t="shared" si="14"/>
        <v>111</v>
      </c>
      <c r="R40" s="708" t="s">
        <v>14</v>
      </c>
      <c r="S40" s="709">
        <f t="shared" si="10"/>
        <v>100</v>
      </c>
      <c r="T40" s="708" t="s">
        <v>14</v>
      </c>
      <c r="U40" s="709">
        <f t="shared" si="11"/>
        <v>100</v>
      </c>
      <c r="V40" s="708" t="s">
        <v>14</v>
      </c>
      <c r="W40" s="709">
        <f t="shared" si="12"/>
        <v>100</v>
      </c>
      <c r="X40" s="710"/>
      <c r="Y40" s="3672"/>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10"/>
      <c r="M41" s="2702"/>
      <c r="N41" s="2702"/>
      <c r="O41" s="2711"/>
      <c r="P41" s="3665" t="str">
        <f>A41</f>
        <v>成交单价</v>
      </c>
      <c r="Q41" s="3665"/>
      <c r="R41" s="3696">
        <f>E41</f>
        <v>0</v>
      </c>
      <c r="S41" s="3696"/>
      <c r="T41" s="3696">
        <f>G41</f>
        <v>0</v>
      </c>
      <c r="U41" s="3696"/>
      <c r="V41" s="3696">
        <f>I41</f>
        <v>0</v>
      </c>
      <c r="W41" s="3696"/>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10"/>
      <c r="M42" s="2702"/>
      <c r="N42" s="2702"/>
      <c r="O42" s="2711"/>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10"/>
      <c r="M43" s="2702"/>
      <c r="N43" s="2702"/>
      <c r="O43" s="2711"/>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4.4"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8.8">
      <c r="A50" s="632" t="s">
        <v>1881</v>
      </c>
      <c r="B50" s="633" t="s">
        <v>1882</v>
      </c>
      <c r="C50" s="1982" t="s">
        <v>1883</v>
      </c>
      <c r="D50" s="1983" t="s">
        <v>1884</v>
      </c>
      <c r="E50" s="634" t="s">
        <v>1885</v>
      </c>
      <c r="F50" s="635" t="s">
        <v>1886</v>
      </c>
      <c r="G50" s="3680" t="s">
        <v>1887</v>
      </c>
      <c r="H50" s="3727"/>
      <c r="I50" s="1355" t="s">
        <v>1923</v>
      </c>
      <c r="J50" s="1355">
        <f>项目基本情况!F35</f>
        <v>0</v>
      </c>
      <c r="K50" s="1985"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44">
        <v>1</v>
      </c>
      <c r="E51" s="638">
        <f>'数据-汇总表'!E8+'数据-汇总表'!E9</f>
        <v>195.03</v>
      </c>
      <c r="F51" s="639" t="e">
        <f t="shared" ref="F51:F60" si="15">ROUND(B51*E51/10000,0)</f>
        <v>#DIV/0!</v>
      </c>
      <c r="G51" s="3676"/>
      <c r="H51" s="3665"/>
      <c r="I51" s="773">
        <v>1</v>
      </c>
      <c r="J51" s="773">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v>
      </c>
      <c r="D52" s="945">
        <v>0.25</v>
      </c>
      <c r="E52" s="642"/>
      <c r="F52" s="639" t="e">
        <f t="shared" si="15"/>
        <v>#DIV/0!</v>
      </c>
      <c r="G52" s="2992" t="s">
        <v>1892</v>
      </c>
      <c r="H52" s="887">
        <f>项目基本情况!B37</f>
        <v>0</v>
      </c>
      <c r="I52" s="773">
        <f>SUMIF(修正!A57:A68,H52,修正!B57:B68)</f>
        <v>0</v>
      </c>
      <c r="J52" s="774"/>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v>
      </c>
      <c r="D53" s="945">
        <v>0.25</v>
      </c>
      <c r="E53" s="642"/>
      <c r="F53" s="639" t="e">
        <f t="shared" si="15"/>
        <v>#DIV/0!</v>
      </c>
      <c r="G53" s="2993"/>
      <c r="H53" s="887">
        <f>项目基本情况!B37</f>
        <v>0</v>
      </c>
      <c r="I53" s="773">
        <f>SUMIF(修正!A57:A68,H53,修正!C57:C68)</f>
        <v>0</v>
      </c>
      <c r="J53" s="774"/>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v>
      </c>
      <c r="D54" s="945">
        <v>0.25</v>
      </c>
      <c r="E54" s="642"/>
      <c r="F54" s="639" t="e">
        <f t="shared" si="15"/>
        <v>#DIV/0!</v>
      </c>
      <c r="G54" s="2993"/>
      <c r="H54" s="887">
        <f>项目基本情况!B37</f>
        <v>0</v>
      </c>
      <c r="I54" s="773">
        <f>SUMIF(修正!A57:A68,H54,修正!D57:D68)</f>
        <v>0</v>
      </c>
      <c r="J54" s="774"/>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5"/>
      <c r="E55" s="642"/>
      <c r="F55" s="639"/>
      <c r="G55" s="2994"/>
      <c r="H55" s="887"/>
      <c r="I55" s="773"/>
      <c r="J55" s="774"/>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一级</v>
      </c>
      <c r="I56" s="773">
        <f>SUMIF(修正!A57:A68,H56,修正!E57:E68)</f>
        <v>0.3</v>
      </c>
      <c r="J56" s="774"/>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4.4" thickBot="1">
      <c r="A60" s="641" t="s">
        <v>1902</v>
      </c>
      <c r="B60" s="218" t="e">
        <f t="shared" si="17"/>
        <v>#DIV/0!</v>
      </c>
      <c r="C60" s="171">
        <f t="shared" si="16"/>
        <v>0.2</v>
      </c>
      <c r="D60" s="945">
        <v>0.25</v>
      </c>
      <c r="E60" s="217">
        <f>'数据-汇总表'!E15</f>
        <v>0</v>
      </c>
      <c r="F60" s="639" t="e">
        <f t="shared" si="15"/>
        <v>#DIV/0!</v>
      </c>
      <c r="G60" s="1987" t="s">
        <v>1896</v>
      </c>
      <c r="H60" s="897" t="str">
        <f>项目基本情况!C37</f>
        <v>一级</v>
      </c>
      <c r="I60" s="773">
        <f>SUMIF(修正!A57:A68,H60,修正!G57:G68)</f>
        <v>0.2</v>
      </c>
      <c r="J60" s="774"/>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7"/>
      <c r="B62" s="929"/>
      <c r="C62" s="931"/>
      <c r="D62" s="927"/>
      <c r="E62" s="927"/>
      <c r="F62" s="927"/>
      <c r="G62" s="927"/>
      <c r="H62" s="927"/>
      <c r="I62" s="927"/>
      <c r="J62" s="927"/>
      <c r="K62" s="888"/>
      <c r="L62" s="889"/>
      <c r="M62" s="927"/>
      <c r="N62" s="927"/>
      <c r="O62" s="927"/>
      <c r="P62" s="2711"/>
      <c r="Q62" s="2711"/>
      <c r="R62" s="2711"/>
      <c r="S62" s="2711"/>
      <c r="T62" s="2711"/>
      <c r="U62" s="2711"/>
      <c r="V62" s="2711"/>
      <c r="W62" s="2711"/>
      <c r="X62" s="2711"/>
      <c r="Y62" s="2711"/>
      <c r="Z62" s="2711"/>
      <c r="AA62" s="2711"/>
      <c r="AB62" s="2711"/>
      <c r="AC62" s="2711"/>
      <c r="AD62" s="2711"/>
      <c r="AE62" s="2711"/>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11"/>
      <c r="Q63" s="2711"/>
      <c r="R63" s="2711"/>
      <c r="S63" s="2711"/>
      <c r="T63" s="2711"/>
      <c r="U63" s="2711"/>
      <c r="V63" s="2711"/>
      <c r="W63" s="2711"/>
      <c r="X63" s="2711"/>
      <c r="Y63" s="2711"/>
      <c r="Z63" s="2711"/>
      <c r="AA63" s="2711"/>
      <c r="AB63" s="2711"/>
      <c r="AC63" s="2711"/>
      <c r="AD63" s="2711"/>
      <c r="AE63" s="2711"/>
    </row>
    <row r="64" spans="1:31" ht="22.2" thickBot="1">
      <c r="A64" s="694" t="s">
        <v>1798</v>
      </c>
      <c r="B64" s="690"/>
      <c r="C64" s="695"/>
      <c r="D64" s="695"/>
      <c r="E64" s="695"/>
      <c r="F64" s="696"/>
      <c r="G64" s="696"/>
      <c r="H64" s="695"/>
      <c r="I64" s="695"/>
      <c r="J64" s="695"/>
      <c r="K64" s="697"/>
      <c r="L64" s="698"/>
      <c r="M64" s="695"/>
      <c r="N64" s="695"/>
      <c r="O64" s="940"/>
      <c r="P64" s="2755"/>
      <c r="Q64" s="2725"/>
      <c r="R64" s="2711"/>
      <c r="S64" s="2711"/>
      <c r="T64" s="2711"/>
      <c r="U64" s="2711"/>
      <c r="V64" s="2711"/>
      <c r="W64" s="2711"/>
      <c r="X64" s="2711"/>
      <c r="Y64" s="2711"/>
      <c r="Z64" s="2711"/>
      <c r="AA64" s="2711"/>
      <c r="AB64" s="2711"/>
      <c r="AC64" s="2711"/>
      <c r="AD64" s="2711"/>
      <c r="AE64" s="2711"/>
    </row>
    <row r="65" spans="1:31" s="457" customFormat="1" ht="14.4">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5"/>
      <c r="Q66" s="2650"/>
      <c r="R66" s="2650"/>
      <c r="S66" s="2650"/>
      <c r="T66" s="2650"/>
      <c r="U66" s="2650"/>
      <c r="V66" s="2650"/>
      <c r="W66" s="2650"/>
      <c r="X66" s="2650"/>
      <c r="Y66" s="2650"/>
      <c r="Z66" s="2650"/>
      <c r="AA66" s="2650"/>
      <c r="AB66" s="2650"/>
      <c r="AC66" s="2650"/>
      <c r="AD66" s="2650"/>
      <c r="AE66" s="2650"/>
    </row>
    <row r="67" spans="1:31" s="108" customFormat="1" ht="15" thickBot="1">
      <c r="A67" s="464" t="s">
        <v>1716</v>
      </c>
      <c r="B67" s="465"/>
      <c r="C67" s="466"/>
      <c r="D67" s="467"/>
      <c r="E67" s="467"/>
      <c r="F67" s="467"/>
      <c r="G67" s="467"/>
      <c r="H67" s="467"/>
      <c r="I67" s="467"/>
      <c r="J67" s="467"/>
      <c r="K67" s="467"/>
      <c r="L67" s="467"/>
      <c r="M67" s="468"/>
      <c r="N67" s="468"/>
      <c r="O67" s="469"/>
      <c r="P67" s="2725"/>
      <c r="Q67" s="2725"/>
      <c r="R67" s="2650"/>
      <c r="S67" s="2650"/>
      <c r="T67" s="2650"/>
      <c r="U67" s="2650"/>
      <c r="V67" s="2650"/>
      <c r="W67" s="2650"/>
      <c r="X67" s="2650"/>
      <c r="Y67" s="2650"/>
      <c r="Z67" s="2650"/>
      <c r="AA67" s="2650"/>
      <c r="AB67" s="2650"/>
      <c r="AC67" s="2650"/>
      <c r="AD67" s="2650"/>
      <c r="AE67" s="2650"/>
    </row>
    <row r="68" spans="1:31" s="108" customFormat="1" ht="14.4">
      <c r="A68" s="470" t="s">
        <v>1681</v>
      </c>
      <c r="B68" s="459"/>
      <c r="C68" s="471" t="s">
        <v>1776</v>
      </c>
      <c r="D68" s="472"/>
      <c r="E68" s="472"/>
      <c r="F68" s="472"/>
      <c r="G68" s="472"/>
      <c r="H68" s="472"/>
      <c r="I68" s="472"/>
      <c r="J68" s="472"/>
      <c r="K68" s="472"/>
      <c r="L68" s="473"/>
      <c r="M68" s="474"/>
      <c r="N68" s="2738"/>
      <c r="O68" s="2738"/>
      <c r="P68" s="2763"/>
      <c r="Q68" s="2725"/>
      <c r="R68" s="2650"/>
      <c r="S68" s="2650"/>
      <c r="T68" s="2650"/>
      <c r="U68" s="2650"/>
      <c r="V68" s="2650"/>
      <c r="W68" s="2650"/>
      <c r="X68" s="2650"/>
      <c r="Y68" s="2650"/>
      <c r="Z68" s="2650"/>
      <c r="AA68" s="2650"/>
      <c r="AB68" s="2650"/>
      <c r="AC68" s="2650"/>
      <c r="AD68" s="2650"/>
      <c r="AE68" s="2650"/>
    </row>
    <row r="69" spans="1:31" s="108" customFormat="1" ht="14.4" thickBot="1">
      <c r="A69" s="470"/>
      <c r="B69" s="459"/>
      <c r="C69" s="587">
        <v>100</v>
      </c>
      <c r="D69" s="461"/>
      <c r="E69" s="461"/>
      <c r="F69" s="461"/>
      <c r="G69" s="461"/>
      <c r="H69" s="461"/>
      <c r="I69" s="461"/>
      <c r="J69" s="461"/>
      <c r="K69" s="461"/>
      <c r="L69" s="461"/>
      <c r="M69" s="463"/>
      <c r="N69" s="2738"/>
      <c r="O69" s="2738"/>
      <c r="P69" s="2725"/>
      <c r="Q69" s="2725"/>
      <c r="R69" s="2650"/>
      <c r="S69" s="2650"/>
      <c r="T69" s="2650"/>
      <c r="U69" s="2650"/>
      <c r="V69" s="2650"/>
      <c r="W69" s="2650"/>
      <c r="X69" s="2650"/>
      <c r="Y69" s="2650"/>
      <c r="Z69" s="2650"/>
      <c r="AA69" s="2650"/>
      <c r="AB69" s="2650"/>
      <c r="AC69" s="2650"/>
      <c r="AD69" s="2650"/>
      <c r="AE69" s="2650"/>
    </row>
    <row r="70" spans="1:31" ht="14.4">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4.4"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9.4"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4.4"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4.4"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4.4"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4.4"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4.4"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4.4"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4.4"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ht="14.4">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50"/>
      <c r="S87" s="2650"/>
      <c r="T87" s="2650"/>
      <c r="U87" s="2650"/>
      <c r="V87" s="2650"/>
      <c r="W87" s="2650"/>
      <c r="X87" s="2650"/>
      <c r="Y87" s="2650"/>
      <c r="Z87" s="2650"/>
      <c r="AA87" s="2650"/>
      <c r="AB87" s="2650"/>
      <c r="AC87" s="2650"/>
      <c r="AD87" s="2650"/>
      <c r="AE87" s="265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50"/>
      <c r="S88" s="2650"/>
      <c r="T88" s="2650"/>
      <c r="U88" s="2650"/>
      <c r="V88" s="2650"/>
      <c r="W88" s="2650"/>
      <c r="X88" s="2650"/>
      <c r="Y88" s="2650"/>
      <c r="Z88" s="2650"/>
      <c r="AA88" s="2650"/>
      <c r="AB88" s="2650"/>
      <c r="AC88" s="2650"/>
      <c r="AD88" s="2650"/>
      <c r="AE88" s="265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50"/>
      <c r="S89" s="2650"/>
      <c r="T89" s="2650"/>
      <c r="U89" s="2650"/>
      <c r="V89" s="2650"/>
      <c r="W89" s="2650"/>
      <c r="X89" s="2650"/>
      <c r="Y89" s="2650"/>
      <c r="Z89" s="2650"/>
      <c r="AA89" s="2650"/>
      <c r="AB89" s="2650"/>
      <c r="AC89" s="2650"/>
      <c r="AD89" s="2650"/>
      <c r="AE89" s="265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50"/>
      <c r="S90" s="2650"/>
      <c r="T90" s="2650"/>
      <c r="U90" s="2650"/>
      <c r="V90" s="2650"/>
      <c r="W90" s="2650"/>
      <c r="X90" s="2650"/>
      <c r="Y90" s="2650"/>
      <c r="Z90" s="2650"/>
      <c r="AA90" s="2650"/>
      <c r="AB90" s="2650"/>
      <c r="AC90" s="2650"/>
      <c r="AD90" s="2650"/>
      <c r="AE90" s="265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41"/>
      <c r="O94" s="2741"/>
      <c r="P94" s="2765"/>
      <c r="Q94" s="2732"/>
      <c r="R94" s="2733"/>
      <c r="S94" s="2733"/>
      <c r="T94" s="2733"/>
      <c r="U94" s="2733"/>
      <c r="V94" s="2733"/>
      <c r="W94" s="2733"/>
      <c r="X94" s="2733"/>
      <c r="Y94" s="2733"/>
      <c r="Z94" s="2733"/>
      <c r="AA94" s="2733"/>
      <c r="AB94" s="2733"/>
      <c r="AC94" s="2733"/>
      <c r="AD94" s="2733"/>
      <c r="AE94" s="273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9.4"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4.4"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4.4"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4.4"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4.4"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4.4"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4.4"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4.4"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4.4"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4.4"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4.4"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4.4"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4.4"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4.4"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79"/>
      <c r="G1" s="2779"/>
      <c r="H1" s="2779"/>
      <c r="I1" s="2779"/>
      <c r="J1" s="2779"/>
      <c r="K1" s="2779"/>
      <c r="L1" s="2779"/>
      <c r="M1" s="2779"/>
      <c r="N1" s="2779"/>
      <c r="O1" s="2779"/>
      <c r="P1" s="2779"/>
    </row>
    <row r="2" spans="1:16" ht="15.6">
      <c r="A2" s="2144" t="s">
        <v>2073</v>
      </c>
      <c r="B2" s="2591" t="e">
        <f ca="1">SUMIF(B6:B13,"&lt;&gt;#ref!",B6:B13)</f>
        <v>#DIV/0!</v>
      </c>
      <c r="C2" s="2144" t="s">
        <v>2074</v>
      </c>
      <c r="D2" s="2144" t="s">
        <v>2075</v>
      </c>
      <c r="E2" s="2601">
        <f ca="1">SUMIF(E6:E13,"&lt;&gt;#ref!",E6:E13)</f>
        <v>0</v>
      </c>
      <c r="F2" s="2779"/>
      <c r="G2" s="2779"/>
      <c r="H2" s="2779"/>
      <c r="I2" s="2779"/>
      <c r="J2" s="2779"/>
      <c r="K2" s="2779"/>
      <c r="L2" s="2779"/>
      <c r="M2" s="2779"/>
      <c r="N2" s="2779"/>
      <c r="O2" s="2779"/>
      <c r="P2" s="2779"/>
    </row>
    <row r="3" spans="1:16" ht="15.6">
      <c r="A3" s="2144" t="s">
        <v>2076</v>
      </c>
      <c r="B3" s="2591" t="e">
        <f ca="1">ROUND(B2*10000/E2,0)</f>
        <v>#DIV/0!</v>
      </c>
      <c r="C3" s="2144" t="s">
        <v>2082</v>
      </c>
      <c r="D3" s="2779"/>
      <c r="E3" s="2779"/>
      <c r="F3" s="2779"/>
      <c r="G3" s="2779"/>
      <c r="H3" s="2779"/>
      <c r="I3" s="2779"/>
      <c r="J3" s="2779"/>
      <c r="K3" s="2779"/>
      <c r="L3" s="2779"/>
      <c r="M3" s="2779"/>
      <c r="N3" s="2779"/>
      <c r="O3" s="2779"/>
      <c r="P3" s="2779"/>
    </row>
    <row r="4" spans="1:16" ht="15.6">
      <c r="A4" s="2780"/>
      <c r="B4" s="2779"/>
      <c r="C4" s="2779"/>
      <c r="D4" s="2779"/>
      <c r="E4" s="2779"/>
      <c r="F4" s="2779"/>
      <c r="G4" s="2779"/>
      <c r="H4" s="2779"/>
      <c r="I4" s="2779"/>
      <c r="J4" s="2779"/>
      <c r="K4" s="2779"/>
      <c r="L4" s="2779"/>
      <c r="M4" s="2779"/>
      <c r="N4" s="2779"/>
      <c r="O4" s="2779"/>
      <c r="P4" s="2779"/>
    </row>
    <row r="5" spans="1:16" ht="31.2">
      <c r="A5" s="2597" t="s">
        <v>2077</v>
      </c>
      <c r="B5" s="2599" t="s">
        <v>2078</v>
      </c>
      <c r="C5" s="2145"/>
      <c r="D5" s="2779"/>
      <c r="E5" s="2600" t="s">
        <v>2079</v>
      </c>
      <c r="F5" s="2779"/>
      <c r="G5" s="2779"/>
      <c r="H5" s="2779"/>
      <c r="I5" s="2779"/>
      <c r="J5" s="2779"/>
      <c r="K5" s="2779"/>
      <c r="L5" s="2779"/>
      <c r="M5" s="2779"/>
      <c r="N5" s="2779"/>
      <c r="O5" s="2779"/>
      <c r="P5" s="2779"/>
    </row>
    <row r="6" spans="1:16" ht="15.6">
      <c r="A6" s="2598" t="s">
        <v>2080</v>
      </c>
      <c r="B6" s="2591" t="e">
        <f ca="1">SUMIF(INDIRECT("'"&amp;A6&amp;"'"&amp;"!A:A"),"总价",INDIRECT("'"&amp;A6&amp;"'"&amp;"!B:B"))</f>
        <v>#DIV/0!</v>
      </c>
      <c r="C6" s="2144" t="s">
        <v>2074</v>
      </c>
      <c r="D6" s="2779"/>
      <c r="E6" s="2601">
        <f ca="1">SUMIF(INDIRECT("'"&amp;A6&amp;"'"&amp;"!C:C"),"建筑面积",INDIRECT("'"&amp;A6&amp;"'"&amp;"!D:D"))</f>
        <v>0</v>
      </c>
      <c r="F6" s="2779"/>
      <c r="G6" s="2779"/>
      <c r="H6" s="2779"/>
      <c r="I6" s="2779"/>
      <c r="J6" s="2779"/>
      <c r="K6" s="2779"/>
      <c r="L6" s="2779"/>
      <c r="M6" s="2779"/>
      <c r="N6" s="2779"/>
      <c r="O6" s="2779"/>
      <c r="P6" s="2779"/>
    </row>
    <row r="7" spans="1:16" ht="15.6">
      <c r="A7" s="2598"/>
      <c r="B7" s="2591" t="e">
        <f ca="1">SUMIF(INDIRECT("'"&amp;A7&amp;"'"&amp;"!A:A"),"总价",INDIRECT("'"&amp;A7&amp;"'"&amp;"!B:B"))</f>
        <v>#REF!</v>
      </c>
      <c r="C7" s="2144" t="s">
        <v>2074</v>
      </c>
      <c r="D7" s="2779"/>
      <c r="E7" s="2601" t="e">
        <f t="shared" ref="E7:E13" ca="1" si="0">SUMIF(INDIRECT("'"&amp;A7&amp;"'"&amp;"!C:C"),"建筑面积",INDIRECT("'"&amp;A7&amp;"'"&amp;"!D:D"))</f>
        <v>#REF!</v>
      </c>
      <c r="F7" s="2779"/>
      <c r="G7" s="2779"/>
      <c r="H7" s="2779"/>
      <c r="I7" s="2779"/>
      <c r="J7" s="2779"/>
      <c r="K7" s="2779"/>
      <c r="L7" s="2779"/>
      <c r="M7" s="2779"/>
      <c r="N7" s="2779"/>
      <c r="O7" s="2779"/>
      <c r="P7" s="2779"/>
    </row>
    <row r="8" spans="1:16" ht="15.6">
      <c r="A8" s="2598"/>
      <c r="B8" s="2591" t="e">
        <f t="shared" ref="B8:B13" ca="1" si="1">SUMIF(INDIRECT("'"&amp;A8&amp;"'"&amp;"!A:A"),"总价",INDIRECT("'"&amp;A8&amp;"'"&amp;"!B:B"))</f>
        <v>#REF!</v>
      </c>
      <c r="C8" s="2144" t="s">
        <v>2074</v>
      </c>
      <c r="D8" s="2779"/>
      <c r="E8" s="2601" t="e">
        <f t="shared" ca="1" si="0"/>
        <v>#REF!</v>
      </c>
      <c r="F8" s="2779"/>
      <c r="G8" s="2779"/>
      <c r="H8" s="2779"/>
      <c r="I8" s="2779"/>
      <c r="J8" s="2779"/>
      <c r="K8" s="2779"/>
      <c r="L8" s="2779"/>
      <c r="M8" s="2779"/>
      <c r="N8" s="2779"/>
      <c r="O8" s="2779"/>
      <c r="P8" s="2779"/>
    </row>
    <row r="9" spans="1:16" ht="15.6">
      <c r="A9" s="2598"/>
      <c r="B9" s="2591" t="e">
        <f t="shared" ca="1" si="1"/>
        <v>#REF!</v>
      </c>
      <c r="C9" s="2144" t="s">
        <v>2074</v>
      </c>
      <c r="D9" s="2779"/>
      <c r="E9" s="2601" t="e">
        <f t="shared" ca="1" si="0"/>
        <v>#REF!</v>
      </c>
      <c r="F9" s="2779"/>
      <c r="G9" s="2779"/>
      <c r="H9" s="2779"/>
      <c r="I9" s="2779"/>
      <c r="J9" s="2779"/>
      <c r="K9" s="2779"/>
      <c r="L9" s="2779"/>
      <c r="M9" s="2779"/>
      <c r="N9" s="2779"/>
      <c r="O9" s="2779"/>
      <c r="P9" s="2779"/>
    </row>
    <row r="10" spans="1:16" ht="15.6">
      <c r="A10" s="2598"/>
      <c r="B10" s="2591" t="e">
        <f t="shared" ca="1" si="1"/>
        <v>#REF!</v>
      </c>
      <c r="C10" s="2144" t="s">
        <v>2074</v>
      </c>
      <c r="D10" s="2779"/>
      <c r="E10" s="2601" t="e">
        <f t="shared" ca="1" si="0"/>
        <v>#REF!</v>
      </c>
      <c r="F10" s="2779"/>
      <c r="G10" s="2779"/>
      <c r="H10" s="2779"/>
      <c r="I10" s="2779"/>
      <c r="J10" s="2779"/>
      <c r="K10" s="2779"/>
      <c r="L10" s="2779"/>
      <c r="M10" s="2779"/>
      <c r="N10" s="2779"/>
      <c r="O10" s="2779"/>
      <c r="P10" s="2779"/>
    </row>
    <row r="11" spans="1:16" ht="15.6">
      <c r="A11" s="2598"/>
      <c r="B11" s="2591" t="e">
        <f t="shared" ca="1" si="1"/>
        <v>#REF!</v>
      </c>
      <c r="C11" s="2144" t="s">
        <v>2074</v>
      </c>
      <c r="D11" s="2779"/>
      <c r="E11" s="2601" t="e">
        <f t="shared" ca="1" si="0"/>
        <v>#REF!</v>
      </c>
      <c r="F11" s="2779"/>
      <c r="G11" s="2779"/>
      <c r="H11" s="2779"/>
      <c r="I11" s="2779"/>
      <c r="J11" s="2779"/>
      <c r="K11" s="2779"/>
      <c r="L11" s="2779"/>
      <c r="M11" s="2779"/>
      <c r="N11" s="2779"/>
      <c r="O11" s="2779"/>
      <c r="P11" s="2779"/>
    </row>
    <row r="12" spans="1:16" ht="15.6">
      <c r="A12" s="2598"/>
      <c r="B12" s="2591" t="e">
        <f t="shared" ca="1" si="1"/>
        <v>#REF!</v>
      </c>
      <c r="C12" s="2144" t="s">
        <v>2074</v>
      </c>
      <c r="D12" s="2779"/>
      <c r="E12" s="2601" t="e">
        <f t="shared" ca="1" si="0"/>
        <v>#REF!</v>
      </c>
      <c r="F12" s="2779"/>
      <c r="G12" s="2779"/>
      <c r="H12" s="2779"/>
      <c r="I12" s="2779"/>
      <c r="J12" s="2779"/>
      <c r="K12" s="2779"/>
      <c r="L12" s="2779"/>
      <c r="M12" s="2779"/>
      <c r="N12" s="2779"/>
      <c r="O12" s="2779"/>
      <c r="P12" s="2779"/>
    </row>
    <row r="13" spans="1:16" ht="15.6">
      <c r="A13" s="2598"/>
      <c r="B13" s="2591" t="e">
        <f t="shared" ca="1" si="1"/>
        <v>#REF!</v>
      </c>
      <c r="C13" s="2144" t="s">
        <v>2074</v>
      </c>
      <c r="D13" s="2779"/>
      <c r="E13" s="2601"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08"/>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47">
        <f>ROUND(SUMPRODUCT((B106:B110=R2)*(C105:N105=G2)*(C106:N110)),4)</f>
        <v>0</v>
      </c>
      <c r="T2" s="3347" t="e">
        <f t="shared" ref="T2:T16" si="0">ROUND($C$5*$C$22*$C$23*$C$24*S2*$C$28,0)</f>
        <v>#DIV/0!</v>
      </c>
      <c r="U2" s="1213"/>
      <c r="V2" s="3347"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06"/>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47">
        <f>ROUND(SUMPRODUCT((B106:B110=R3)*(C105:N105=G2)*(C106:N110)),4)</f>
        <v>0</v>
      </c>
      <c r="T3" s="3347" t="e">
        <f t="shared" si="0"/>
        <v>#DIV/0!</v>
      </c>
      <c r="U3" s="1213"/>
      <c r="V3" s="3347" t="e">
        <f t="shared" ref="V3:V16" si="1">ROUND(T3*U3/10000,0)</f>
        <v>#DIV/0!</v>
      </c>
      <c r="W3" s="1216"/>
      <c r="X3" s="1216"/>
      <c r="Y3" s="1216"/>
      <c r="Z3" s="1216"/>
      <c r="AA3" s="1216"/>
      <c r="AB3" s="1216"/>
      <c r="AC3" s="1217"/>
      <c r="AD3" s="1218"/>
      <c r="AE3" s="1218"/>
      <c r="AF3" s="1218"/>
      <c r="AG3" s="1218"/>
      <c r="AH3" s="1218"/>
      <c r="AI3" s="1218"/>
      <c r="AJ3" s="1219"/>
    </row>
    <row r="4" spans="1:36" ht="15.6">
      <c r="A4" s="3745"/>
      <c r="B4" s="3746"/>
      <c r="C4" s="3746"/>
      <c r="D4" s="3747"/>
      <c r="E4" s="3747"/>
      <c r="F4" s="3747"/>
      <c r="G4" s="3747"/>
      <c r="H4" s="3747"/>
      <c r="I4" s="3747"/>
      <c r="J4" s="3748"/>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47">
        <f>ROUND(SUMPRODUCT((B106:B110=R4)*(C105:N105=G2)*(C106:N110)),4)</f>
        <v>0</v>
      </c>
      <c r="T4" s="3347" t="e">
        <f t="shared" si="0"/>
        <v>#DIV/0!</v>
      </c>
      <c r="U4" s="1213"/>
      <c r="V4" s="3347"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47">
        <f>ROUND(SUMPRODUCT((B106:B110=R5)*(C105:N105=G2)*(C106:N110)),4)</f>
        <v>0</v>
      </c>
      <c r="T5" s="3347" t="e">
        <f t="shared" si="0"/>
        <v>#DIV/0!</v>
      </c>
      <c r="U5" s="1213"/>
      <c r="V5" s="3347"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2">
        <v>5</v>
      </c>
      <c r="S6" s="3347">
        <f>ROUND(SUMPRODUCT((B106:B110=R6)*(C105:N105=G2)*(C106:N110)),4)</f>
        <v>0</v>
      </c>
      <c r="T6" s="3347" t="e">
        <f t="shared" si="0"/>
        <v>#DIV/0!</v>
      </c>
      <c r="U6" s="1213"/>
      <c r="V6" s="3347" t="e">
        <f t="shared" si="1"/>
        <v>#DIV/0!</v>
      </c>
      <c r="W6" s="1216"/>
      <c r="X6" s="1216"/>
      <c r="Y6" s="1216"/>
      <c r="Z6" s="1216"/>
      <c r="AA6" s="1216"/>
      <c r="AB6" s="1216"/>
      <c r="AC6" s="2010"/>
      <c r="AD6" s="2011"/>
      <c r="AE6" s="2011"/>
      <c r="AF6" s="2011"/>
      <c r="AG6" s="2011"/>
      <c r="AH6" s="2011"/>
      <c r="AI6" s="2011"/>
      <c r="AJ6" s="2012"/>
    </row>
    <row r="7" spans="1:36" ht="24.6" thickBot="1">
      <c r="A7" s="3290" t="s">
        <v>3239</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2">
        <v>6</v>
      </c>
      <c r="S7" s="3405"/>
      <c r="T7" s="3347" t="e">
        <f t="shared" si="0"/>
        <v>#DIV/0!</v>
      </c>
      <c r="U7" s="1213"/>
      <c r="V7" s="3347" t="e">
        <f t="shared" si="1"/>
        <v>#DIV/0!</v>
      </c>
      <c r="W7" s="1357" t="s">
        <v>1955</v>
      </c>
      <c r="X7" s="1214">
        <f>G2</f>
        <v>0</v>
      </c>
      <c r="Y7" s="1214" t="s">
        <v>1956</v>
      </c>
      <c r="Z7" s="1215">
        <f>G3</f>
        <v>0</v>
      </c>
      <c r="AA7" s="1216"/>
      <c r="AB7" s="1216"/>
      <c r="AC7" s="1217"/>
      <c r="AD7" s="1218"/>
      <c r="AE7" s="1218"/>
      <c r="AF7" s="1218"/>
      <c r="AG7" s="1218"/>
      <c r="AH7" s="1218"/>
      <c r="AI7" s="1218"/>
      <c r="AJ7" s="1219"/>
    </row>
    <row r="8" spans="1:36" ht="15">
      <c r="A8" s="3285"/>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47" t="e">
        <f t="shared" si="0"/>
        <v>#DIV/0!</v>
      </c>
      <c r="U8" s="1213"/>
      <c r="V8" s="3347"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85"/>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47" t="e">
        <f t="shared" si="0"/>
        <v>#DIV/0!</v>
      </c>
      <c r="U9" s="1213"/>
      <c r="V9" s="3347" t="e">
        <f t="shared" si="1"/>
        <v>#DIV/0!</v>
      </c>
      <c r="W9" s="3744"/>
      <c r="X9" s="3348" t="s">
        <v>3270</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47" t="e">
        <f t="shared" si="0"/>
        <v>#DIV/0!</v>
      </c>
      <c r="U10" s="1213"/>
      <c r="V10" s="3347" t="e">
        <f t="shared" si="1"/>
        <v>#DIV/0!</v>
      </c>
      <c r="W10" s="3744"/>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6" thickBot="1">
      <c r="A11" s="3289"/>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47" t="e">
        <f t="shared" si="0"/>
        <v>#DIV/0!</v>
      </c>
      <c r="U11" s="1213"/>
      <c r="V11" s="3347" t="e">
        <f t="shared" si="1"/>
        <v>#DIV/0!</v>
      </c>
      <c r="W11" s="1216"/>
      <c r="X11" s="1216"/>
      <c r="Y11" s="1216"/>
      <c r="Z11" s="1216"/>
      <c r="AA11" s="1216"/>
      <c r="AB11" s="1216"/>
      <c r="AC11" s="1217"/>
      <c r="AD11" s="2775"/>
      <c r="AE11" s="2775"/>
      <c r="AF11" s="2775"/>
      <c r="AG11" s="2775"/>
      <c r="AH11" s="2775"/>
      <c r="AI11" s="2775"/>
      <c r="AJ11" s="2776"/>
    </row>
    <row r="12" spans="1:36" ht="25.8" thickBot="1">
      <c r="A12" s="3290" t="s">
        <v>3240</v>
      </c>
      <c r="B12" s="3291" t="s">
        <v>3241</v>
      </c>
      <c r="C12" s="3292"/>
      <c r="D12" s="3293" t="s">
        <v>3242</v>
      </c>
      <c r="E12" s="3294" t="s">
        <v>3243</v>
      </c>
      <c r="F12" s="3295"/>
      <c r="G12" s="3296"/>
      <c r="H12" s="3296"/>
      <c r="I12" s="3296"/>
      <c r="J12" s="3297"/>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47" t="e">
        <f t="shared" si="0"/>
        <v>#DIV/0!</v>
      </c>
      <c r="U12" s="1213"/>
      <c r="V12" s="3347" t="e">
        <f t="shared" si="1"/>
        <v>#DIV/0!</v>
      </c>
      <c r="W12" s="1216"/>
      <c r="X12" s="1216"/>
      <c r="Y12" s="1216"/>
      <c r="Z12" s="1216"/>
      <c r="AA12" s="1216"/>
      <c r="AB12" s="1216"/>
      <c r="AC12" s="1217"/>
      <c r="AD12" s="2775"/>
      <c r="AE12" s="2775"/>
      <c r="AF12" s="2775"/>
      <c r="AG12" s="2775"/>
      <c r="AH12" s="2775"/>
      <c r="AI12" s="2775"/>
      <c r="AJ12" s="2776"/>
    </row>
    <row r="13" spans="1:36" ht="24.6" thickBot="1">
      <c r="A13" s="3290" t="s">
        <v>3244</v>
      </c>
      <c r="B13" s="2033" t="s">
        <v>1982</v>
      </c>
      <c r="C13" s="755">
        <f>ROUND(C16*D16*E16*F16*G16*H16*I16*J16,4)</f>
        <v>0</v>
      </c>
      <c r="D13" s="2034" t="s">
        <v>1983</v>
      </c>
      <c r="E13" s="2035"/>
      <c r="F13" s="2035"/>
      <c r="G13" s="2036"/>
      <c r="H13" s="2036"/>
      <c r="I13" s="2036"/>
      <c r="J13" s="2037"/>
      <c r="K13" s="1119"/>
      <c r="L13" s="3286"/>
      <c r="M13" s="3287"/>
      <c r="N13" s="3288"/>
      <c r="O13" s="1119"/>
      <c r="P13" s="1119"/>
      <c r="Q13" s="1119"/>
      <c r="R13" s="1212">
        <v>12</v>
      </c>
      <c r="S13" s="1213"/>
      <c r="T13" s="3347" t="e">
        <f t="shared" si="0"/>
        <v>#DIV/0!</v>
      </c>
      <c r="U13" s="1213"/>
      <c r="V13" s="3347" t="e">
        <f t="shared" si="1"/>
        <v>#DIV/0!</v>
      </c>
      <c r="W13" s="1216"/>
      <c r="X13" s="1216"/>
      <c r="Y13" s="1216"/>
      <c r="Z13" s="1216"/>
      <c r="AA13" s="1216"/>
      <c r="AB13" s="1216"/>
      <c r="AC13" s="1217"/>
      <c r="AD13" s="2775"/>
      <c r="AE13" s="2775"/>
      <c r="AF13" s="2775"/>
      <c r="AG13" s="2775"/>
      <c r="AH13" s="2775"/>
      <c r="AI13" s="2775"/>
      <c r="AJ13" s="2776"/>
    </row>
    <row r="14" spans="1:36" ht="24">
      <c r="A14" s="3284"/>
      <c r="B14" s="2039" t="s">
        <v>1985</v>
      </c>
      <c r="C14" s="2040" t="s">
        <v>1986</v>
      </c>
      <c r="D14" s="1349" t="s">
        <v>1987</v>
      </c>
      <c r="E14" s="27" t="s">
        <v>1988</v>
      </c>
      <c r="F14" s="3298" t="s">
        <v>3245</v>
      </c>
      <c r="G14" s="3298" t="s">
        <v>3245</v>
      </c>
      <c r="H14" s="3298" t="s">
        <v>3245</v>
      </c>
      <c r="I14" s="3298" t="s">
        <v>3245</v>
      </c>
      <c r="J14" s="3298" t="s">
        <v>3245</v>
      </c>
      <c r="K14" s="1119"/>
      <c r="L14" s="1119"/>
      <c r="M14" s="1119"/>
      <c r="N14" s="1119"/>
      <c r="O14" s="1119"/>
      <c r="P14" s="1119"/>
      <c r="Q14" s="1119"/>
      <c r="R14" s="1212">
        <v>13</v>
      </c>
      <c r="S14" s="1213"/>
      <c r="T14" s="3347" t="e">
        <f t="shared" si="0"/>
        <v>#DIV/0!</v>
      </c>
      <c r="U14" s="1213"/>
      <c r="V14" s="3347" t="e">
        <f t="shared" si="1"/>
        <v>#DIV/0!</v>
      </c>
      <c r="W14" s="1216"/>
      <c r="X14" s="1216"/>
      <c r="Y14" s="1216"/>
      <c r="Z14" s="1216"/>
      <c r="AA14" s="1216"/>
      <c r="AB14" s="1216"/>
      <c r="AC14" s="1217"/>
      <c r="AD14" s="2775"/>
      <c r="AE14" s="2775"/>
      <c r="AF14" s="2775"/>
      <c r="AG14" s="2775"/>
      <c r="AH14" s="2775"/>
      <c r="AI14" s="2775"/>
      <c r="AJ14" s="2776"/>
    </row>
    <row r="15" spans="1:36" ht="15">
      <c r="A15" s="3284"/>
      <c r="B15" s="2041"/>
      <c r="C15" s="2042"/>
      <c r="D15" s="2043"/>
      <c r="E15" s="2044"/>
      <c r="F15" s="3299" t="s">
        <v>3246</v>
      </c>
      <c r="G15" s="3300"/>
      <c r="H15" s="3301"/>
      <c r="I15" s="3302"/>
      <c r="J15" s="3303"/>
      <c r="K15" s="1119"/>
      <c r="L15" s="1119"/>
      <c r="M15" s="1119"/>
      <c r="N15" s="1119"/>
      <c r="O15" s="1119"/>
      <c r="P15" s="1119"/>
      <c r="Q15" s="1119"/>
      <c r="R15" s="1212">
        <v>14</v>
      </c>
      <c r="S15" s="1213"/>
      <c r="T15" s="3347" t="e">
        <f t="shared" si="0"/>
        <v>#DIV/0!</v>
      </c>
      <c r="U15" s="1213"/>
      <c r="V15" s="3347" t="e">
        <f t="shared" si="1"/>
        <v>#DIV/0!</v>
      </c>
      <c r="W15" s="1216"/>
      <c r="X15" s="1216"/>
      <c r="Y15" s="1216"/>
      <c r="Z15" s="1216"/>
      <c r="AA15" s="1216"/>
      <c r="AB15" s="1216"/>
      <c r="AC15" s="1217"/>
      <c r="AD15" s="2775"/>
      <c r="AE15" s="2775"/>
      <c r="AF15" s="2775"/>
      <c r="AG15" s="2775"/>
      <c r="AH15" s="2775"/>
      <c r="AI15" s="2775"/>
      <c r="AJ15" s="2776"/>
    </row>
    <row r="16" spans="1:36" ht="15.6" thickBot="1">
      <c r="A16" s="3284"/>
      <c r="B16" s="3306" t="s">
        <v>1989</v>
      </c>
      <c r="C16" s="3304"/>
      <c r="D16" s="3304"/>
      <c r="E16" s="3304"/>
      <c r="F16" s="3304">
        <v>1</v>
      </c>
      <c r="G16" s="3304">
        <v>1</v>
      </c>
      <c r="H16" s="3304">
        <v>1</v>
      </c>
      <c r="I16" s="3304">
        <v>1</v>
      </c>
      <c r="J16" s="3305">
        <v>1</v>
      </c>
      <c r="K16" s="1119"/>
      <c r="L16" s="1996"/>
      <c r="M16" s="1996"/>
      <c r="N16" s="1996"/>
      <c r="O16" s="1996"/>
      <c r="P16" s="1996"/>
      <c r="Q16" s="1119"/>
      <c r="R16" s="1212">
        <v>15</v>
      </c>
      <c r="S16" s="1213"/>
      <c r="T16" s="3347" t="e">
        <f t="shared" si="0"/>
        <v>#DIV/0!</v>
      </c>
      <c r="U16" s="1213"/>
      <c r="V16" s="3347" t="e">
        <f t="shared" si="1"/>
        <v>#DIV/0!</v>
      </c>
      <c r="W16" s="1216"/>
      <c r="X16" s="1216"/>
      <c r="Y16" s="1216"/>
      <c r="Z16" s="1216"/>
      <c r="AA16" s="1216"/>
      <c r="AB16" s="1216"/>
      <c r="AC16" s="1217"/>
      <c r="AD16" s="2775"/>
      <c r="AE16" s="2775"/>
      <c r="AF16" s="2775"/>
      <c r="AG16" s="2775"/>
      <c r="AH16" s="2775"/>
      <c r="AI16" s="2775"/>
      <c r="AJ16" s="2776"/>
    </row>
    <row r="17" spans="1:37" ht="24">
      <c r="A17" s="3316" t="s">
        <v>3247</v>
      </c>
      <c r="B17" s="3307" t="s">
        <v>3248</v>
      </c>
      <c r="C17" s="3317">
        <f>ROUND(IF(OR(E2="工业",E2="公共服务"),1,IF(AND(E18=0,E19=0),1,IF(AND(E18=J24,E19=G19),0.8,IF(E19=0,1+E17*(-0.2),1+E17*G17*(-0.2))))),4)</f>
        <v>1</v>
      </c>
      <c r="D17" s="3308" t="s">
        <v>3249</v>
      </c>
      <c r="E17" s="3317" t="e">
        <f>ROUND(G18/I18,2)</f>
        <v>#DIV/0!</v>
      </c>
      <c r="F17" s="3308" t="s">
        <v>3252</v>
      </c>
      <c r="G17" s="3317" t="e">
        <f>ROUND(E19/G19,2)</f>
        <v>#DIV/0!</v>
      </c>
      <c r="H17" s="3317"/>
      <c r="I17" s="3317"/>
      <c r="J17" s="331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19"/>
      <c r="B18" s="2996"/>
      <c r="C18" s="3314"/>
      <c r="D18" s="3309" t="s">
        <v>3250</v>
      </c>
      <c r="E18" s="3315"/>
      <c r="F18" s="3310" t="s">
        <v>3253</v>
      </c>
      <c r="G18" s="3314">
        <f>ROUND(1-(1/(POWER(1+G24,E18))),4)</f>
        <v>0</v>
      </c>
      <c r="H18" s="3310" t="s">
        <v>3255</v>
      </c>
      <c r="I18" s="3314">
        <f>ROUND(1-(1/(POWER(1+G24,J24))),4)</f>
        <v>0</v>
      </c>
      <c r="J18" s="332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74"/>
    </row>
    <row r="19" spans="1:37" s="2013" customFormat="1" ht="14.4" thickBot="1">
      <c r="A19" s="3321"/>
      <c r="B19" s="3322"/>
      <c r="C19" s="3323"/>
      <c r="D19" s="3323" t="s">
        <v>3251</v>
      </c>
      <c r="E19" s="3324"/>
      <c r="F19" s="3325" t="s">
        <v>3254</v>
      </c>
      <c r="G19" s="3324"/>
      <c r="H19" s="3323"/>
      <c r="I19" s="3323"/>
      <c r="J19" s="332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7"/>
      <c r="AH19" s="2140"/>
      <c r="AI19" s="2778"/>
      <c r="AJ19" s="2778"/>
      <c r="AK19" s="2056"/>
    </row>
    <row r="20" spans="1:37" s="2013" customFormat="1" ht="13.8">
      <c r="A20" s="3749" t="s">
        <v>3256</v>
      </c>
      <c r="B20" s="167" t="s">
        <v>1994</v>
      </c>
      <c r="C20" s="3311" t="e">
        <f>ROUND(IF(F21="与级别开发程度一致",0,(G21-E21)/C21),0)</f>
        <v>#DIV/0!</v>
      </c>
      <c r="D20" s="3327" t="s">
        <v>1998</v>
      </c>
      <c r="E20" s="3328"/>
      <c r="F20" s="3755" t="s">
        <v>1995</v>
      </c>
      <c r="G20" s="3756"/>
      <c r="H20" s="3312"/>
      <c r="I20" s="3312"/>
      <c r="J20" s="3313"/>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74"/>
      <c r="AH20" s="2774"/>
      <c r="AI20" s="2774"/>
      <c r="AJ20" s="2774"/>
    </row>
    <row r="21" spans="1:37" s="2013" customFormat="1" ht="14.4" thickBot="1">
      <c r="A21" s="375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74"/>
      <c r="R21" s="1124"/>
      <c r="S21" s="1124"/>
      <c r="T21" s="1120"/>
      <c r="U21" s="1120"/>
      <c r="V21" s="1120"/>
      <c r="W21" s="1119"/>
      <c r="X21" s="1119"/>
      <c r="Y21" s="1119"/>
      <c r="Z21" s="1125"/>
      <c r="AA21" s="1125"/>
      <c r="AB21" s="1125"/>
      <c r="AC21" s="1125"/>
      <c r="AD21" s="1125"/>
      <c r="AE21" s="1125"/>
      <c r="AF21" s="1125"/>
      <c r="AG21" s="2774"/>
      <c r="AH21" s="2774"/>
      <c r="AI21" s="2774"/>
      <c r="AJ21" s="2774"/>
    </row>
    <row r="22" spans="1:37" s="2013" customFormat="1" ht="15" thickBot="1">
      <c r="A22" s="2157" t="s">
        <v>363</v>
      </c>
      <c r="B22" s="2158" t="s">
        <v>2000</v>
      </c>
      <c r="C22" s="2159">
        <f>SUMIF(修正!C20:C51,E3,修正!E20:E51)</f>
        <v>0</v>
      </c>
      <c r="D22" s="2160"/>
      <c r="E22" s="2161"/>
      <c r="F22" s="2161"/>
      <c r="G22" s="2161"/>
      <c r="H22" s="2161"/>
      <c r="I22" s="2161"/>
      <c r="J22" s="2162"/>
      <c r="K22" s="1125"/>
      <c r="L22" s="2774"/>
      <c r="M22" s="2774"/>
      <c r="N22" s="2774"/>
      <c r="O22" s="1123"/>
      <c r="P22" s="1123"/>
      <c r="Q22" s="2774"/>
      <c r="R22" s="1124"/>
      <c r="S22" s="1124"/>
      <c r="T22" s="1120"/>
      <c r="U22" s="1120"/>
      <c r="V22" s="1120"/>
      <c r="W22" s="1119"/>
      <c r="X22" s="1119"/>
      <c r="Y22" s="1119"/>
      <c r="Z22" s="1125"/>
      <c r="AA22" s="1125"/>
      <c r="AB22" s="1125"/>
      <c r="AC22" s="1125"/>
      <c r="AD22" s="1125"/>
      <c r="AE22" s="1125"/>
      <c r="AF22" s="1125"/>
      <c r="AG22" s="2774"/>
      <c r="AH22" s="2774"/>
      <c r="AI22" s="2774"/>
      <c r="AJ22" s="2774"/>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45539</v>
      </c>
      <c r="H23" s="3329" t="s">
        <v>3258</v>
      </c>
      <c r="I23" s="3330" t="str">
        <f>IF(H23="季度增幅（自定义）",SUMIF(N25:N28,E2,O25:O28),"")</f>
        <v/>
      </c>
      <c r="J23" s="3429" t="s">
        <v>3257</v>
      </c>
      <c r="K23" s="1125"/>
      <c r="L23" s="2054" t="s">
        <v>2004</v>
      </c>
      <c r="M23" s="1328">
        <f>ROUND(SUMIF(地价!B2:G2,E2,地价!B16:G16),0)</f>
        <v>0</v>
      </c>
      <c r="N23" s="2055" t="s">
        <v>2005</v>
      </c>
      <c r="O23" s="763">
        <f>ROUNDDOWN(DATEDIF(E23,G23,"M")/3,0)</f>
        <v>14</v>
      </c>
      <c r="P23" s="1122"/>
      <c r="Q23" s="277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t="e">
        <f>ROUND(POWER(1+G24,J24-I24)*(POWER(1+G24,I24)-1)/(POWER(1+G24,J24)-1),4)</f>
        <v>#DIV/0!</v>
      </c>
      <c r="D24" s="2059" t="s">
        <v>2007</v>
      </c>
      <c r="E24" s="1334">
        <f>存贷款利率!E26/100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74"/>
      <c r="AH24" s="2774"/>
      <c r="AI24" s="2774"/>
      <c r="AJ24" s="2774"/>
    </row>
    <row r="25" spans="1:37" ht="14.4">
      <c r="A25" s="2064" t="s">
        <v>366</v>
      </c>
      <c r="B25" s="2065" t="s">
        <v>3337</v>
      </c>
      <c r="C25" s="771">
        <f>IF(B25="容积率修正",IF(G3&lt;10,D26,J26),C27)</f>
        <v>0</v>
      </c>
      <c r="D25" s="2066"/>
      <c r="E25" s="2066"/>
      <c r="F25" s="2066"/>
      <c r="G25" s="2066"/>
      <c r="H25" s="2066"/>
      <c r="I25" s="2066"/>
      <c r="J25" s="2067"/>
      <c r="K25" s="1125"/>
      <c r="L25" s="2774"/>
      <c r="M25" s="2774"/>
      <c r="N25" s="2068" t="s">
        <v>2013</v>
      </c>
      <c r="O25" s="1173"/>
      <c r="P25" s="1174">
        <f>SUMPRODUCT((地价!A3:A40=YEAR(G23)&amp;"-"&amp;ROUNDUP(MONTH(G23)/3,0))*(地价!AD2:AH2=N25)*(地价!AD3:AH40))</f>
        <v>0</v>
      </c>
      <c r="Q25" s="277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31" t="s">
        <v>3259</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1" t="s">
        <v>3260</v>
      </c>
      <c r="J26" s="772" t="str">
        <f>IF(G3&gt;=10,D115,"——")</f>
        <v>——</v>
      </c>
      <c r="K26" s="1125"/>
      <c r="L26" s="2774"/>
      <c r="M26" s="2774"/>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v>
      </c>
      <c r="D28" s="2051"/>
      <c r="E28" s="2076"/>
      <c r="F28" s="2076"/>
      <c r="G28" s="2076"/>
      <c r="H28" s="2076"/>
      <c r="I28" s="2076"/>
      <c r="J28" s="2077"/>
      <c r="K28" s="1125"/>
      <c r="L28" s="2774"/>
      <c r="M28" s="2774"/>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71" t="s">
        <v>2023</v>
      </c>
      <c r="O29" s="2772"/>
      <c r="P29" s="277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37" t="s">
        <v>1936</v>
      </c>
      <c r="M30" s="3338" t="s">
        <v>1990</v>
      </c>
      <c r="N30" s="3338" t="s">
        <v>1991</v>
      </c>
      <c r="O30" s="3338" t="s">
        <v>1992</v>
      </c>
      <c r="P30" s="3338" t="s">
        <v>1993</v>
      </c>
      <c r="Q30" s="3341"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39" t="s">
        <v>1996</v>
      </c>
      <c r="M31" s="1999">
        <v>0.25</v>
      </c>
      <c r="N31" s="1999">
        <v>0.2</v>
      </c>
      <c r="O31" s="1999">
        <v>0.15</v>
      </c>
      <c r="P31" s="1999">
        <v>0.1</v>
      </c>
      <c r="Q31" s="333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40" t="s">
        <v>1999</v>
      </c>
      <c r="M32" s="2559">
        <f>ROUND($E$24*(1+M31),3)</f>
        <v>5.3999999999999999E-2</v>
      </c>
      <c r="N32" s="2559">
        <f>ROUND($E$24*(1+N31),3)</f>
        <v>5.1999999999999998E-2</v>
      </c>
      <c r="O32" s="2559">
        <f>ROUND($E$24*(1+O31),3)</f>
        <v>0.05</v>
      </c>
      <c r="P32" s="2559">
        <f>ROUND($E$24*(1+P31),3)</f>
        <v>4.8000000000000001E-2</v>
      </c>
      <c r="Q32" s="334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32" t="s">
        <v>3262</v>
      </c>
      <c r="G33" s="2098"/>
      <c r="H33" s="2098"/>
      <c r="I33" s="2098"/>
      <c r="J33" s="2099"/>
      <c r="K33" s="1119"/>
      <c r="L33" s="3335" t="s">
        <v>3265</v>
      </c>
      <c r="M33" s="3336">
        <v>5.5E-2</v>
      </c>
      <c r="N33" s="3336">
        <v>5.5E-2</v>
      </c>
      <c r="O33" s="3336">
        <v>0.05</v>
      </c>
      <c r="P33" s="3336">
        <v>0.05</v>
      </c>
      <c r="Q33" s="333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35" t="s">
        <v>3266</v>
      </c>
      <c r="M34" s="3336">
        <v>6.5000000000000002E-2</v>
      </c>
      <c r="N34" s="3336">
        <v>6.5000000000000002E-2</v>
      </c>
      <c r="O34" s="3336">
        <v>0.06</v>
      </c>
      <c r="P34" s="3336">
        <v>0.06</v>
      </c>
      <c r="Q34" s="333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33"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43" t="s">
        <v>3267</v>
      </c>
      <c r="L36" s="3430">
        <f ca="1">'数据-取费表'!B40</f>
        <v>3.3500000000000002E-2</v>
      </c>
      <c r="M36" s="3344">
        <f ca="1">ROUND($L$36*(1+M31),3)</f>
        <v>4.2000000000000003E-2</v>
      </c>
      <c r="N36" s="3344">
        <f ca="1">ROUND($L$36*(1+N31),3)</f>
        <v>0.04</v>
      </c>
      <c r="O36" s="3344">
        <f ca="1">ROUND($L$36*(1+O31),3)</f>
        <v>3.9E-2</v>
      </c>
      <c r="P36" s="3344">
        <f ca="1">ROUND($L$36*(1+P31),3)</f>
        <v>3.6999999999999998E-2</v>
      </c>
      <c r="Q36" s="3344">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5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2998"/>
      <c r="K37" s="3345" t="s">
        <v>3268</v>
      </c>
      <c r="L37" s="3343">
        <f ca="1">L36+K38</f>
        <v>3.85E-2</v>
      </c>
      <c r="M37" s="3344">
        <f ca="1">ROUND($L$37*(1+M31),3)</f>
        <v>4.8000000000000001E-2</v>
      </c>
      <c r="N37" s="3344">
        <f t="shared" ref="N37:Q37" ca="1" si="3">ROUND($L$37*(1+N31),3)</f>
        <v>4.5999999999999999E-2</v>
      </c>
      <c r="O37" s="3344">
        <f t="shared" ca="1" si="3"/>
        <v>4.3999999999999997E-2</v>
      </c>
      <c r="P37" s="3344">
        <f t="shared" ca="1" si="3"/>
        <v>4.2000000000000003E-2</v>
      </c>
      <c r="Q37" s="3344">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7"/>
      <c r="K38" s="3343">
        <v>5.0000000000000001E-3</v>
      </c>
      <c r="L38" s="3343"/>
      <c r="M38" s="3343"/>
      <c r="N38" s="3343"/>
      <c r="O38" s="3343"/>
      <c r="P38" s="3343"/>
      <c r="Q38" s="3343"/>
      <c r="R38" s="1119"/>
      <c r="S38" s="1119"/>
      <c r="T38" s="1119"/>
      <c r="U38" s="1119"/>
      <c r="V38" s="1119"/>
      <c r="W38" s="1119"/>
      <c r="X38" s="1119"/>
      <c r="Y38" s="1119"/>
      <c r="Z38" s="1120"/>
      <c r="AA38" s="1120"/>
      <c r="AB38" s="1120"/>
      <c r="AC38" s="1120"/>
      <c r="AD38" s="1120"/>
    </row>
    <row r="39" spans="1:37" ht="13.8" thickBot="1">
      <c r="A39" s="3754"/>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299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46"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5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5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55" t="s">
        <v>3271</v>
      </c>
      <c r="B52" s="2133">
        <f>估价对象房地状况!C19</f>
        <v>0</v>
      </c>
      <c r="C52" s="2043"/>
      <c r="D52" s="1065">
        <f t="shared" si="7"/>
        <v>0</v>
      </c>
      <c r="E52" s="745"/>
      <c r="F52" s="1813"/>
      <c r="G52" s="1063"/>
      <c r="H52" s="1066" t="str">
        <f t="shared" si="8"/>
        <v>——</v>
      </c>
      <c r="I52" s="335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3"/>
      <c r="G53" s="1063"/>
      <c r="H53" s="1066" t="str">
        <f t="shared" si="8"/>
        <v>——</v>
      </c>
      <c r="I53" s="335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5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3"/>
      <c r="G55" s="1063"/>
      <c r="H55" s="1066" t="str">
        <f t="shared" si="8"/>
        <v>——</v>
      </c>
      <c r="I55" s="335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3"/>
      <c r="G56" s="1063"/>
      <c r="H56" s="1066" t="str">
        <f t="shared" si="8"/>
        <v>——</v>
      </c>
      <c r="I56" s="335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3"/>
      <c r="G57" s="1063"/>
      <c r="H57" s="1066" t="str">
        <f t="shared" si="8"/>
        <v>——</v>
      </c>
      <c r="I57" s="335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5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55" t="s">
        <v>3271</v>
      </c>
      <c r="B63" s="2133">
        <f>估价对象房地状况!C19</f>
        <v>0</v>
      </c>
      <c r="C63" s="2043"/>
      <c r="D63" s="1065">
        <f t="shared" si="12"/>
        <v>0</v>
      </c>
      <c r="E63" s="745"/>
      <c r="F63" s="1813"/>
      <c r="G63" s="1063"/>
      <c r="H63" s="1066" t="str">
        <f t="shared" si="13"/>
        <v>——</v>
      </c>
      <c r="I63" s="335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5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5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5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3"/>
      <c r="G67" s="1063"/>
      <c r="H67" s="1066" t="str">
        <f t="shared" si="13"/>
        <v>——</v>
      </c>
      <c r="I67" s="335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3"/>
      <c r="G68" s="1063"/>
      <c r="H68" s="1066" t="str">
        <f t="shared" si="13"/>
        <v>——</v>
      </c>
      <c r="I68" s="335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5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55" t="s">
        <v>3271</v>
      </c>
      <c r="B74" s="2133">
        <f>估价对象房地状况!C19</f>
        <v>0</v>
      </c>
      <c r="C74" s="2043"/>
      <c r="D74" s="1065">
        <f t="shared" si="17"/>
        <v>0</v>
      </c>
      <c r="E74" s="747"/>
      <c r="F74" s="1813"/>
      <c r="G74" s="1063"/>
      <c r="H74" s="1066" t="str">
        <f t="shared" si="18"/>
        <v>——</v>
      </c>
      <c r="I74" s="335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5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3"/>
      <c r="G76" s="1063"/>
      <c r="H76" s="1066" t="str">
        <f t="shared" si="18"/>
        <v>——</v>
      </c>
      <c r="I76" s="3353">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3"/>
      <c r="G77" s="1063"/>
      <c r="H77" s="1066" t="str">
        <f t="shared" si="18"/>
        <v>——</v>
      </c>
      <c r="I77" s="3353">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53">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53">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54">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3">
        <v>0.3</v>
      </c>
      <c r="J84" s="1064">
        <f t="shared" si="24"/>
        <v>0</v>
      </c>
      <c r="K84" s="1064">
        <f t="shared" si="25"/>
        <v>0</v>
      </c>
      <c r="L84" s="1064">
        <v>0</v>
      </c>
      <c r="M84" s="1064">
        <f t="shared" si="26"/>
        <v>0</v>
      </c>
      <c r="N84" s="1064">
        <f t="shared" si="26"/>
        <v>0</v>
      </c>
      <c r="Z84" s="1997"/>
      <c r="AA84" s="2052"/>
      <c r="AG84" s="1121"/>
      <c r="AK84" s="2052"/>
    </row>
    <row r="85" spans="1:37" ht="48">
      <c r="A85" s="3355" t="s">
        <v>3272</v>
      </c>
      <c r="B85" s="2133">
        <f>估价对象房地状况!G17</f>
        <v>0</v>
      </c>
      <c r="C85" s="2043"/>
      <c r="D85" s="1065">
        <f t="shared" si="22"/>
        <v>0</v>
      </c>
      <c r="E85" s="747"/>
      <c r="F85" s="1813"/>
      <c r="G85" s="1063"/>
      <c r="H85" s="1066" t="str">
        <f t="shared" si="23"/>
        <v>——</v>
      </c>
      <c r="I85" s="3353">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53">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3"/>
      <c r="G87" s="1063"/>
      <c r="H87" s="1066" t="str">
        <f t="shared" si="23"/>
        <v>——</v>
      </c>
      <c r="I87" s="3353">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3"/>
      <c r="G88" s="1063"/>
      <c r="H88" s="1066" t="str">
        <f t="shared" si="23"/>
        <v>——</v>
      </c>
      <c r="I88" s="3353">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53">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54">
        <v>0.05</v>
      </c>
      <c r="J90" s="1064">
        <f t="shared" si="24"/>
        <v>0</v>
      </c>
      <c r="K90" s="1064">
        <f t="shared" si="25"/>
        <v>0</v>
      </c>
      <c r="L90" s="1064">
        <v>0</v>
      </c>
      <c r="M90" s="1064">
        <f t="shared" si="26"/>
        <v>0</v>
      </c>
      <c r="N90" s="1064">
        <f t="shared" si="26"/>
        <v>0</v>
      </c>
    </row>
    <row r="91" spans="1:37" ht="13.8">
      <c r="A91" s="3363" t="s">
        <v>2614</v>
      </c>
      <c r="B91" s="3364">
        <f>1+E93</f>
        <v>1</v>
      </c>
      <c r="C91" s="3357"/>
      <c r="D91" s="3358"/>
      <c r="E91" s="1813"/>
      <c r="F91" s="1813"/>
      <c r="G91" s="3359"/>
      <c r="H91" s="3360"/>
      <c r="I91" s="3361"/>
      <c r="J91" s="3362"/>
      <c r="K91" s="3362"/>
      <c r="L91" s="3362"/>
      <c r="M91" s="3362"/>
      <c r="N91" s="3362"/>
    </row>
    <row r="92" spans="1:37" ht="25.2">
      <c r="A92" s="3365" t="s">
        <v>3273</v>
      </c>
      <c r="B92" s="3352"/>
      <c r="C92" s="3352" t="s">
        <v>3282</v>
      </c>
      <c r="D92" s="3352" t="s">
        <v>3283</v>
      </c>
      <c r="E92" s="3334" t="s">
        <v>3284</v>
      </c>
      <c r="F92" s="3367" t="s">
        <v>3285</v>
      </c>
      <c r="G92" s="3352" t="s">
        <v>3286</v>
      </c>
      <c r="H92" s="3374" t="s">
        <v>3289</v>
      </c>
      <c r="I92" s="3352" t="s">
        <v>3290</v>
      </c>
      <c r="J92" s="3375" t="s">
        <v>3291</v>
      </c>
      <c r="K92" s="3375" t="s">
        <v>3292</v>
      </c>
      <c r="L92" s="3375" t="s">
        <v>3293</v>
      </c>
      <c r="M92" s="3375" t="s">
        <v>3294</v>
      </c>
      <c r="N92" s="3375" t="s">
        <v>3295</v>
      </c>
    </row>
    <row r="93" spans="1:37" ht="24">
      <c r="A93" s="3355" t="s">
        <v>3274</v>
      </c>
      <c r="B93" s="1306"/>
      <c r="C93" s="2043"/>
      <c r="D93" s="3352">
        <f>SUMIF($J$92:$N$92,C93,J93:N93)</f>
        <v>0</v>
      </c>
      <c r="E93" s="3368">
        <f>ROUND(SUM(D93:D101),4)</f>
        <v>0</v>
      </c>
      <c r="F93" s="1813"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52.8">
      <c r="A94" s="3365" t="s">
        <v>3275</v>
      </c>
      <c r="B94" s="3356" t="str">
        <f>估价对象房地状况!C18</f>
        <v>估价对象周边道路状况、公共交通通达情况、停车便捷程度，综合评价交通便捷度较好</v>
      </c>
      <c r="C94" s="2043"/>
      <c r="D94" s="3352">
        <f t="shared" ref="D94:D101" si="30">SUMIF($J$60:$N$60,C94,J94:N94)</f>
        <v>0</v>
      </c>
      <c r="E94" s="3369"/>
      <c r="F94" s="1813"/>
      <c r="G94" s="3359"/>
      <c r="H94" s="3407" t="str">
        <f>IFERROR(ROUNDDOWN($F$93*I94/2,4),"——")</f>
        <v>——</v>
      </c>
      <c r="I94" s="3353">
        <v>0.26</v>
      </c>
      <c r="J94" s="3331">
        <f t="shared" si="27"/>
        <v>0</v>
      </c>
      <c r="K94" s="3331">
        <f t="shared" si="28"/>
        <v>0</v>
      </c>
      <c r="L94" s="3331">
        <v>0</v>
      </c>
      <c r="M94" s="3331">
        <f t="shared" si="29"/>
        <v>0</v>
      </c>
      <c r="N94" s="3331">
        <f t="shared" si="29"/>
        <v>0</v>
      </c>
    </row>
    <row r="95" spans="1:37" ht="48">
      <c r="A95" s="3355" t="s">
        <v>3271</v>
      </c>
      <c r="B95" s="3356">
        <f>估价对象房地状况!C19</f>
        <v>0</v>
      </c>
      <c r="C95" s="2043"/>
      <c r="D95" s="3352">
        <f t="shared" si="30"/>
        <v>0</v>
      </c>
      <c r="E95" s="3369"/>
      <c r="F95" s="1813"/>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7.200000000000003">
      <c r="A96" s="3365" t="s">
        <v>3276</v>
      </c>
      <c r="B96" s="3371" t="s">
        <v>3287</v>
      </c>
      <c r="C96" s="2043"/>
      <c r="D96" s="3352">
        <f t="shared" si="30"/>
        <v>0</v>
      </c>
      <c r="E96" s="3369"/>
      <c r="F96" s="1813"/>
      <c r="G96" s="3359"/>
      <c r="H96" s="3407" t="str">
        <f t="shared" si="31"/>
        <v>——</v>
      </c>
      <c r="I96" s="3353">
        <v>0.05</v>
      </c>
      <c r="J96" s="3331">
        <f t="shared" si="27"/>
        <v>0</v>
      </c>
      <c r="K96" s="3331">
        <f t="shared" si="28"/>
        <v>0</v>
      </c>
      <c r="L96" s="3331">
        <v>0</v>
      </c>
      <c r="M96" s="3331">
        <f t="shared" si="29"/>
        <v>0</v>
      </c>
      <c r="N96" s="3331">
        <f t="shared" si="29"/>
        <v>0</v>
      </c>
    </row>
    <row r="97" spans="1:14" ht="24">
      <c r="A97" s="3365" t="s">
        <v>3277</v>
      </c>
      <c r="B97" s="3356">
        <f>估价对象房地状况!C24</f>
        <v>0</v>
      </c>
      <c r="C97" s="2043"/>
      <c r="D97" s="3352">
        <f t="shared" si="30"/>
        <v>0</v>
      </c>
      <c r="E97" s="3369"/>
      <c r="F97" s="1813"/>
      <c r="G97" s="3359"/>
      <c r="H97" s="3407" t="str">
        <f t="shared" si="31"/>
        <v>——</v>
      </c>
      <c r="I97" s="3353">
        <v>0.05</v>
      </c>
      <c r="J97" s="3331">
        <f t="shared" si="27"/>
        <v>0</v>
      </c>
      <c r="K97" s="3331">
        <f t="shared" si="28"/>
        <v>0</v>
      </c>
      <c r="L97" s="3331">
        <v>0</v>
      </c>
      <c r="M97" s="3331">
        <f t="shared" si="29"/>
        <v>0</v>
      </c>
      <c r="N97" s="3331">
        <f t="shared" si="29"/>
        <v>0</v>
      </c>
    </row>
    <row r="98" spans="1:14" ht="36">
      <c r="A98" s="3365" t="s">
        <v>3278</v>
      </c>
      <c r="B98" s="3372" t="s">
        <v>3288</v>
      </c>
      <c r="C98" s="2043"/>
      <c r="D98" s="3352">
        <f t="shared" si="30"/>
        <v>0</v>
      </c>
      <c r="E98" s="3369"/>
      <c r="F98" s="1813"/>
      <c r="G98" s="3359"/>
      <c r="H98" s="3407" t="str">
        <f t="shared" si="31"/>
        <v>——</v>
      </c>
      <c r="I98" s="3353">
        <v>0.06</v>
      </c>
      <c r="J98" s="3331">
        <f t="shared" si="27"/>
        <v>0</v>
      </c>
      <c r="K98" s="3331">
        <f t="shared" si="28"/>
        <v>0</v>
      </c>
      <c r="L98" s="3331">
        <v>0</v>
      </c>
      <c r="M98" s="3331">
        <f t="shared" si="29"/>
        <v>0</v>
      </c>
      <c r="N98" s="3331">
        <f t="shared" si="29"/>
        <v>0</v>
      </c>
    </row>
    <row r="99" spans="1:14" ht="26.4">
      <c r="A99" s="3365" t="s">
        <v>3279</v>
      </c>
      <c r="B99" s="3356" t="str">
        <f>估价对象房地状况!C21</f>
        <v>估价对象所在区域公共配套设施齐备情况</v>
      </c>
      <c r="C99" s="2043"/>
      <c r="D99" s="3352">
        <f t="shared" si="30"/>
        <v>0</v>
      </c>
      <c r="E99" s="3369"/>
      <c r="F99" s="1813"/>
      <c r="G99" s="3359"/>
      <c r="H99" s="3407" t="str">
        <f t="shared" si="31"/>
        <v>——</v>
      </c>
      <c r="I99" s="3353">
        <v>0.06</v>
      </c>
      <c r="J99" s="3331">
        <f t="shared" si="27"/>
        <v>0</v>
      </c>
      <c r="K99" s="3331">
        <f t="shared" si="28"/>
        <v>0</v>
      </c>
      <c r="L99" s="3331">
        <v>0</v>
      </c>
      <c r="M99" s="3331">
        <f t="shared" si="29"/>
        <v>0</v>
      </c>
      <c r="N99" s="3331">
        <f t="shared" si="29"/>
        <v>0</v>
      </c>
    </row>
    <row r="100" spans="1:14" ht="26.4">
      <c r="A100" s="3365" t="s">
        <v>3280</v>
      </c>
      <c r="B100" s="3356" t="str">
        <f>估价对象房地状况!C22</f>
        <v>估价对象所在区域基础设施水平</v>
      </c>
      <c r="C100" s="2043"/>
      <c r="D100" s="3352">
        <f t="shared" si="30"/>
        <v>0</v>
      </c>
      <c r="E100" s="3369"/>
      <c r="F100" s="1813"/>
      <c r="G100" s="3359"/>
      <c r="H100" s="3407" t="str">
        <f t="shared" si="31"/>
        <v>——</v>
      </c>
      <c r="I100" s="3353">
        <v>0.09</v>
      </c>
      <c r="J100" s="3331">
        <f t="shared" si="27"/>
        <v>0</v>
      </c>
      <c r="K100" s="3331">
        <f t="shared" si="28"/>
        <v>0</v>
      </c>
      <c r="L100" s="3331">
        <v>0</v>
      </c>
      <c r="M100" s="3331">
        <f t="shared" si="29"/>
        <v>0</v>
      </c>
      <c r="N100" s="3331">
        <f t="shared" si="29"/>
        <v>0</v>
      </c>
    </row>
    <row r="101" spans="1:14" ht="40.200000000000003" thickBot="1">
      <c r="A101" s="3366" t="s">
        <v>3281</v>
      </c>
      <c r="B101" s="3373" t="str">
        <f>估价对象房地状况!C20</f>
        <v>区域自然环境：；人文环境；综合评价环境状况一般</v>
      </c>
      <c r="C101" s="2043"/>
      <c r="D101" s="3352">
        <f t="shared" si="30"/>
        <v>0</v>
      </c>
      <c r="E101" s="3370"/>
      <c r="F101" s="1813"/>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51" t="s">
        <v>3296</v>
      </c>
      <c r="B103" s="3751"/>
      <c r="C103" s="3751"/>
      <c r="D103" s="3751"/>
      <c r="E103" s="3751"/>
      <c r="F103" s="3751"/>
      <c r="G103" s="3751"/>
      <c r="H103" s="3751"/>
      <c r="I103" s="3751"/>
      <c r="J103" s="3751"/>
      <c r="K103" s="3376"/>
      <c r="L103" s="3376"/>
      <c r="M103" s="3376"/>
      <c r="N103" s="3376"/>
    </row>
    <row r="104" spans="1:14">
      <c r="A104" s="3752" t="s">
        <v>3297</v>
      </c>
      <c r="B104" s="3752" t="s">
        <v>3298</v>
      </c>
      <c r="C104" s="3377" t="s">
        <v>3299</v>
      </c>
      <c r="D104" s="3378"/>
      <c r="E104" s="3378"/>
      <c r="F104" s="3378"/>
      <c r="G104" s="3378"/>
      <c r="H104" s="3378"/>
      <c r="I104" s="3378"/>
      <c r="J104" s="3379"/>
      <c r="K104" s="3380"/>
      <c r="L104" s="3380"/>
      <c r="M104" s="3380"/>
      <c r="N104" s="3380"/>
    </row>
    <row r="105" spans="1:14">
      <c r="A105" s="3752"/>
      <c r="B105" s="3752"/>
      <c r="C105" s="3381" t="s">
        <v>3300</v>
      </c>
      <c r="D105" s="3381" t="s">
        <v>3301</v>
      </c>
      <c r="E105" s="3381" t="s">
        <v>3302</v>
      </c>
      <c r="F105" s="3381" t="s">
        <v>3303</v>
      </c>
      <c r="G105" s="3381" t="s">
        <v>3304</v>
      </c>
      <c r="H105" s="3381" t="s">
        <v>3305</v>
      </c>
      <c r="I105" s="3381" t="s">
        <v>3306</v>
      </c>
      <c r="J105" s="3381" t="s">
        <v>3307</v>
      </c>
      <c r="K105" s="3381" t="s">
        <v>3308</v>
      </c>
      <c r="L105" s="3381" t="s">
        <v>3309</v>
      </c>
      <c r="M105" s="3381" t="s">
        <v>3310</v>
      </c>
      <c r="N105" s="3381" t="s">
        <v>3311</v>
      </c>
    </row>
    <row r="106" spans="1:14">
      <c r="A106" s="3738" t="s">
        <v>3312</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39"/>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39"/>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39"/>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39"/>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39"/>
      <c r="B111" s="3381" t="s">
        <v>3270</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40"/>
      <c r="B112" s="3381">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41" t="s">
        <v>3313</v>
      </c>
      <c r="B113" s="3741"/>
      <c r="C113" s="3741"/>
      <c r="D113" s="3741"/>
      <c r="E113" s="3741"/>
      <c r="F113" s="3741"/>
      <c r="G113" s="3741"/>
      <c r="H113" s="3741"/>
      <c r="I113" s="3741"/>
      <c r="J113" s="3741"/>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8" thickBot="1">
      <c r="A115" s="3384"/>
      <c r="B115" s="3384"/>
      <c r="C115" s="3384"/>
      <c r="D115" s="3384"/>
      <c r="E115" s="3384"/>
      <c r="F115" s="3384"/>
      <c r="G115" s="3384"/>
      <c r="H115" s="3384"/>
      <c r="I115" s="3384"/>
      <c r="J115" s="3384"/>
      <c r="K115" s="3343"/>
      <c r="L115" s="3384"/>
      <c r="M115" s="3384"/>
      <c r="N115" s="3384"/>
    </row>
    <row r="116" spans="1:14" ht="25.8" thickBot="1">
      <c r="A116" s="3385" t="s">
        <v>3314</v>
      </c>
      <c r="B116" s="3402">
        <f>G3</f>
        <v>0</v>
      </c>
      <c r="C116" s="3386" t="s">
        <v>3315</v>
      </c>
      <c r="D116" s="3387">
        <f>SUMPRODUCT((A118:A122=F116)*(B117:M117=H116)*B118:M122)</f>
        <v>0</v>
      </c>
      <c r="E116" s="1999" t="s">
        <v>3316</v>
      </c>
      <c r="F116" s="3388">
        <f>E2</f>
        <v>0</v>
      </c>
      <c r="G116" s="1999" t="s">
        <v>3317</v>
      </c>
      <c r="H116" s="3388">
        <f>G2</f>
        <v>0</v>
      </c>
      <c r="I116" s="1999"/>
      <c r="J116" s="3389"/>
      <c r="K116" s="3389"/>
      <c r="L116" s="3389"/>
      <c r="M116" s="3389"/>
      <c r="N116" s="3384"/>
    </row>
    <row r="117" spans="1:14">
      <c r="A117" s="3390"/>
      <c r="B117" s="3391" t="s">
        <v>3318</v>
      </c>
      <c r="C117" s="3391" t="s">
        <v>3319</v>
      </c>
      <c r="D117" s="3391" t="s">
        <v>3320</v>
      </c>
      <c r="E117" s="3392" t="s">
        <v>3321</v>
      </c>
      <c r="F117" s="3392" t="s">
        <v>3322</v>
      </c>
      <c r="G117" s="3392" t="s">
        <v>3323</v>
      </c>
      <c r="H117" s="3393" t="s">
        <v>3324</v>
      </c>
      <c r="I117" s="3393" t="s">
        <v>3325</v>
      </c>
      <c r="J117" s="3394" t="s">
        <v>3326</v>
      </c>
      <c r="K117" s="3394" t="s">
        <v>3327</v>
      </c>
      <c r="L117" s="3394" t="s">
        <v>3328</v>
      </c>
      <c r="M117" s="3395" t="s">
        <v>3329</v>
      </c>
      <c r="N117" s="3384"/>
    </row>
    <row r="118" spans="1:14">
      <c r="A118" s="3396" t="s">
        <v>3330</v>
      </c>
      <c r="B118" s="3374">
        <f>ROUND(0.9968-0.011*B116,4)</f>
        <v>0.99680000000000002</v>
      </c>
      <c r="C118" s="3374">
        <f>B118</f>
        <v>0.99680000000000002</v>
      </c>
      <c r="D118" s="3374">
        <f>ROUND(0.949-0.014*B116,4)</f>
        <v>0.94899999999999995</v>
      </c>
      <c r="E118" s="3374">
        <f>D118</f>
        <v>0.94899999999999995</v>
      </c>
      <c r="F118" s="3374">
        <f>E118</f>
        <v>0.94899999999999995</v>
      </c>
      <c r="G118" s="3374">
        <f>F118</f>
        <v>0.94899999999999995</v>
      </c>
      <c r="H118" s="3374">
        <f>G118</f>
        <v>0.94899999999999995</v>
      </c>
      <c r="I118" s="3374">
        <f>ROUND(0.8486-0.018*B116,4)</f>
        <v>0.84860000000000002</v>
      </c>
      <c r="J118" s="3374">
        <f t="shared" ref="J118:M122" si="35">I118</f>
        <v>0.84860000000000002</v>
      </c>
      <c r="K118" s="3374">
        <f t="shared" si="35"/>
        <v>0.84860000000000002</v>
      </c>
      <c r="L118" s="3374">
        <f t="shared" si="35"/>
        <v>0.84860000000000002</v>
      </c>
      <c r="M118" s="3397">
        <f t="shared" si="35"/>
        <v>0.84860000000000002</v>
      </c>
      <c r="N118" s="3384"/>
    </row>
    <row r="119" spans="1:14">
      <c r="A119" s="3396" t="s">
        <v>3331</v>
      </c>
      <c r="B119" s="3374">
        <f>ROUND(0.993-0.0112*B116,4)</f>
        <v>0.99299999999999999</v>
      </c>
      <c r="C119" s="3374">
        <f>B119</f>
        <v>0.99299999999999999</v>
      </c>
      <c r="D119" s="3374">
        <f>ROUND(0.9415-0.0142*B116,4)</f>
        <v>0.9415</v>
      </c>
      <c r="E119" s="3374">
        <f t="shared" ref="E119:H120" si="36">D119</f>
        <v>0.9415</v>
      </c>
      <c r="F119" s="3374">
        <f t="shared" si="36"/>
        <v>0.9415</v>
      </c>
      <c r="G119" s="3374">
        <f t="shared" si="36"/>
        <v>0.9415</v>
      </c>
      <c r="H119" s="3374">
        <f t="shared" si="36"/>
        <v>0.9415</v>
      </c>
      <c r="I119" s="3374">
        <f>ROUND(0.838-0.0182*B116,4)</f>
        <v>0.83799999999999997</v>
      </c>
      <c r="J119" s="3374">
        <f t="shared" si="35"/>
        <v>0.83799999999999997</v>
      </c>
      <c r="K119" s="3374">
        <f t="shared" si="35"/>
        <v>0.83799999999999997</v>
      </c>
      <c r="L119" s="3374">
        <f t="shared" si="35"/>
        <v>0.83799999999999997</v>
      </c>
      <c r="M119" s="3397">
        <f t="shared" si="35"/>
        <v>0.83799999999999997</v>
      </c>
      <c r="N119" s="3384"/>
    </row>
    <row r="120" spans="1:14">
      <c r="A120" s="3396" t="s">
        <v>3332</v>
      </c>
      <c r="B120" s="3374">
        <f>ROUND(0.9448-0.0115*B116,4)</f>
        <v>0.94479999999999997</v>
      </c>
      <c r="C120" s="3374">
        <f>B120</f>
        <v>0.94479999999999997</v>
      </c>
      <c r="D120" s="3374">
        <f>ROUND(0.937-0.0145*B116,4)</f>
        <v>0.93700000000000006</v>
      </c>
      <c r="E120" s="3374">
        <f t="shared" si="36"/>
        <v>0.93700000000000006</v>
      </c>
      <c r="F120" s="3374">
        <f t="shared" si="36"/>
        <v>0.93700000000000006</v>
      </c>
      <c r="G120" s="3374">
        <f t="shared" si="36"/>
        <v>0.93700000000000006</v>
      </c>
      <c r="H120" s="3374">
        <f t="shared" si="36"/>
        <v>0.93700000000000006</v>
      </c>
      <c r="I120" s="3374">
        <f>ROUND(0.7965-0.0185*B116,4)</f>
        <v>0.79649999999999999</v>
      </c>
      <c r="J120" s="3374">
        <f t="shared" si="35"/>
        <v>0.79649999999999999</v>
      </c>
      <c r="K120" s="3374">
        <f t="shared" si="35"/>
        <v>0.79649999999999999</v>
      </c>
      <c r="L120" s="3374">
        <f t="shared" si="35"/>
        <v>0.79649999999999999</v>
      </c>
      <c r="M120" s="3397">
        <f t="shared" si="35"/>
        <v>0.79649999999999999</v>
      </c>
      <c r="N120" s="3384"/>
    </row>
    <row r="121" spans="1:14" ht="13.8" thickBot="1">
      <c r="A121" s="3398" t="s">
        <v>3333</v>
      </c>
      <c r="B121" s="3399">
        <f>ROUND(0.7836-0.012*B116,4)</f>
        <v>0.78359999999999996</v>
      </c>
      <c r="C121" s="3399">
        <f>B121</f>
        <v>0.78359999999999996</v>
      </c>
      <c r="D121" s="3399">
        <f>ROUND(0.753-0.015*B116,4)</f>
        <v>0.753</v>
      </c>
      <c r="E121" s="3399">
        <f>D121</f>
        <v>0.753</v>
      </c>
      <c r="F121" s="3399">
        <f>E121</f>
        <v>0.753</v>
      </c>
      <c r="G121" s="3399">
        <f>ROUND(0.6612-0.018*B116,4)</f>
        <v>0.66120000000000001</v>
      </c>
      <c r="H121" s="3399">
        <f>G121</f>
        <v>0.66120000000000001</v>
      </c>
      <c r="I121" s="3399">
        <f>ROUND(0.5905-0.019*B116,4)</f>
        <v>0.59050000000000002</v>
      </c>
      <c r="J121" s="3399">
        <f t="shared" si="35"/>
        <v>0.59050000000000002</v>
      </c>
      <c r="K121" s="3399">
        <f t="shared" si="35"/>
        <v>0.59050000000000002</v>
      </c>
      <c r="L121" s="3399">
        <f t="shared" si="35"/>
        <v>0.59050000000000002</v>
      </c>
      <c r="M121" s="3400">
        <f t="shared" si="35"/>
        <v>0.59050000000000002</v>
      </c>
      <c r="N121" s="3384"/>
    </row>
    <row r="122" spans="1:14">
      <c r="A122" s="3401" t="s">
        <v>2614</v>
      </c>
      <c r="B122" s="3374">
        <f>ROUND(0.9404-0.0106*B116,4)</f>
        <v>0.94040000000000001</v>
      </c>
      <c r="C122" s="3374">
        <f>B122</f>
        <v>0.94040000000000001</v>
      </c>
      <c r="D122" s="3374">
        <f>ROUND(0.8955-0.0135*B116,4)</f>
        <v>0.89549999999999996</v>
      </c>
      <c r="E122" s="3374">
        <f t="shared" ref="E122:H122" si="37">D122</f>
        <v>0.89549999999999996</v>
      </c>
      <c r="F122" s="3374">
        <f t="shared" si="37"/>
        <v>0.89549999999999996</v>
      </c>
      <c r="G122" s="3374">
        <f t="shared" si="37"/>
        <v>0.89549999999999996</v>
      </c>
      <c r="H122" s="3374">
        <f t="shared" si="37"/>
        <v>0.89549999999999996</v>
      </c>
      <c r="I122" s="3374">
        <f>ROUND(0.7632-0.0166*B116,4)</f>
        <v>0.76319999999999999</v>
      </c>
      <c r="J122" s="3374">
        <f t="shared" si="35"/>
        <v>0.76319999999999999</v>
      </c>
      <c r="K122" s="3374">
        <f t="shared" si="35"/>
        <v>0.76319999999999999</v>
      </c>
      <c r="L122" s="3374">
        <f t="shared" si="35"/>
        <v>0.76319999999999999</v>
      </c>
      <c r="M122" s="3397">
        <f t="shared" si="35"/>
        <v>0.76319999999999999</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0" customWidth="1"/>
    <col min="14" max="14" width="10" style="3060" customWidth="1"/>
    <col min="15" max="16" width="8.21875" style="3060"/>
    <col min="17" max="17" width="34.109375" style="3060" customWidth="1"/>
    <col min="18" max="18" width="8.21875" style="3060" customWidth="1"/>
    <col min="19" max="19" width="8.21875" style="3060"/>
    <col min="20" max="20" width="11.6640625" style="3060" customWidth="1"/>
    <col min="21" max="16384" width="8.21875" style="3060"/>
  </cols>
  <sheetData>
    <row r="1" spans="1:13" ht="19.5" customHeight="1" thickBot="1">
      <c r="A1" s="3057" t="s">
        <v>2596</v>
      </c>
      <c r="B1" s="3058" t="s">
        <v>2597</v>
      </c>
      <c r="C1" s="3058" t="s">
        <v>2598</v>
      </c>
      <c r="D1" s="3058" t="s">
        <v>2599</v>
      </c>
      <c r="E1" s="3058" t="s">
        <v>2600</v>
      </c>
      <c r="F1" s="3058" t="s">
        <v>2601</v>
      </c>
      <c r="G1" s="3058" t="s">
        <v>2602</v>
      </c>
      <c r="H1" s="3058" t="s">
        <v>2603</v>
      </c>
      <c r="I1" s="3058" t="s">
        <v>2604</v>
      </c>
      <c r="J1" s="3058" t="s">
        <v>2605</v>
      </c>
      <c r="K1" s="3058" t="s">
        <v>2606</v>
      </c>
      <c r="L1" s="3058" t="s">
        <v>2607</v>
      </c>
      <c r="M1" s="3059" t="s">
        <v>2608</v>
      </c>
    </row>
    <row r="2" spans="1:13" ht="19.5" customHeight="1">
      <c r="A2" s="3061" t="s">
        <v>2609</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2610</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2611</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2612</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2613</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2614</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2615</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2616</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2617</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2618</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2619</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2620</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2621</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2622</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2623</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2624</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2625</v>
      </c>
      <c r="B18" s="3083"/>
      <c r="C18" s="3084"/>
      <c r="D18" s="3084"/>
      <c r="E18" s="3083"/>
      <c r="F18" s="3084"/>
      <c r="G18" s="3084"/>
    </row>
    <row r="19" spans="1:13" ht="19.5" customHeight="1" thickBot="1">
      <c r="A19" s="3081" t="s">
        <v>2626</v>
      </c>
      <c r="B19" s="3086" t="s">
        <v>2627</v>
      </c>
      <c r="C19" s="3086" t="s">
        <v>2628</v>
      </c>
      <c r="D19" s="3087"/>
      <c r="E19" s="3081" t="s">
        <v>2629</v>
      </c>
      <c r="F19" s="3088"/>
      <c r="G19" s="3088"/>
    </row>
    <row r="20" spans="1:13" ht="19.5" customHeight="1">
      <c r="A20" s="3766" t="s">
        <v>2609</v>
      </c>
      <c r="B20" s="3761" t="s">
        <v>2630</v>
      </c>
      <c r="C20" s="3089" t="s">
        <v>2441</v>
      </c>
      <c r="D20" s="3090"/>
      <c r="E20" s="3091">
        <v>1</v>
      </c>
      <c r="F20" s="3092" t="s">
        <v>2442</v>
      </c>
      <c r="G20" s="3092"/>
    </row>
    <row r="21" spans="1:13" ht="19.5" customHeight="1">
      <c r="A21" s="3767"/>
      <c r="B21" s="3760"/>
      <c r="C21" s="3093" t="s">
        <v>2443</v>
      </c>
      <c r="D21" s="3094"/>
      <c r="E21" s="3095">
        <v>1</v>
      </c>
      <c r="F21" s="3092" t="s">
        <v>2444</v>
      </c>
      <c r="G21" s="3092"/>
    </row>
    <row r="22" spans="1:13" ht="19.5" customHeight="1">
      <c r="A22" s="3767"/>
      <c r="B22" s="3760"/>
      <c r="C22" s="3093" t="s">
        <v>2445</v>
      </c>
      <c r="D22" s="3094"/>
      <c r="E22" s="3095">
        <v>0.9</v>
      </c>
      <c r="F22" s="3092" t="s">
        <v>2446</v>
      </c>
      <c r="G22" s="3092"/>
    </row>
    <row r="23" spans="1:13" ht="19.5" customHeight="1">
      <c r="A23" s="3767"/>
      <c r="B23" s="3760"/>
      <c r="C23" s="3093" t="s">
        <v>2447</v>
      </c>
      <c r="D23" s="3094"/>
      <c r="E23" s="3095">
        <v>0.9</v>
      </c>
      <c r="F23" s="3092" t="s">
        <v>2448</v>
      </c>
      <c r="G23" s="3092"/>
    </row>
    <row r="24" spans="1:13" ht="19.5" customHeight="1">
      <c r="A24" s="3767"/>
      <c r="B24" s="3760"/>
      <c r="C24" s="3093" t="s">
        <v>2449</v>
      </c>
      <c r="D24" s="3094"/>
      <c r="E24" s="3095">
        <v>0.8</v>
      </c>
      <c r="F24" s="3092" t="s">
        <v>2450</v>
      </c>
      <c r="G24" s="3092"/>
    </row>
    <row r="25" spans="1:13" ht="19.5" customHeight="1" thickBot="1">
      <c r="A25" s="3768"/>
      <c r="B25" s="3762"/>
      <c r="C25" s="3096" t="s">
        <v>2451</v>
      </c>
      <c r="D25" s="3097"/>
      <c r="E25" s="3098">
        <v>0.8</v>
      </c>
      <c r="F25" s="3092" t="s">
        <v>2452</v>
      </c>
      <c r="G25" s="3092"/>
    </row>
    <row r="26" spans="1:13" ht="19.5" customHeight="1" thickBot="1">
      <c r="A26" s="3099" t="s">
        <v>2631</v>
      </c>
      <c r="B26" s="3100" t="s">
        <v>2630</v>
      </c>
      <c r="C26" s="3101" t="s">
        <v>2632</v>
      </c>
      <c r="D26" s="3102"/>
      <c r="E26" s="3103">
        <v>1</v>
      </c>
      <c r="F26" s="3092" t="s">
        <v>2453</v>
      </c>
      <c r="G26" s="3092"/>
    </row>
    <row r="27" spans="1:13" ht="19.5" customHeight="1">
      <c r="A27" s="3763" t="s">
        <v>2633</v>
      </c>
      <c r="B27" s="3761" t="s">
        <v>2614</v>
      </c>
      <c r="C27" s="3089" t="s">
        <v>2454</v>
      </c>
      <c r="D27" s="3090"/>
      <c r="E27" s="3091">
        <v>1</v>
      </c>
      <c r="F27" s="3092" t="s">
        <v>2455</v>
      </c>
      <c r="G27" s="3092"/>
    </row>
    <row r="28" spans="1:13" ht="19.5" customHeight="1">
      <c r="A28" s="3764"/>
      <c r="B28" s="3760"/>
      <c r="C28" s="3093" t="s">
        <v>2456</v>
      </c>
      <c r="D28" s="3094"/>
      <c r="E28" s="3095">
        <v>1</v>
      </c>
      <c r="F28" s="3092" t="s">
        <v>2457</v>
      </c>
      <c r="G28" s="3092"/>
    </row>
    <row r="29" spans="1:13" ht="19.5" customHeight="1">
      <c r="A29" s="3764"/>
      <c r="B29" s="3760"/>
      <c r="C29" s="3093" t="s">
        <v>2458</v>
      </c>
      <c r="D29" s="3094"/>
      <c r="E29" s="3095">
        <v>0.8</v>
      </c>
      <c r="F29" s="3092" t="s">
        <v>2459</v>
      </c>
      <c r="G29" s="3092"/>
    </row>
    <row r="30" spans="1:13" ht="19.5" customHeight="1">
      <c r="A30" s="3764"/>
      <c r="B30" s="3760"/>
      <c r="C30" s="3093" t="s">
        <v>2460</v>
      </c>
      <c r="D30" s="3094"/>
      <c r="E30" s="3095">
        <v>0.8</v>
      </c>
      <c r="F30" s="3092" t="s">
        <v>2461</v>
      </c>
      <c r="G30" s="3092"/>
    </row>
    <row r="31" spans="1:13" ht="19.5" customHeight="1">
      <c r="A31" s="3764"/>
      <c r="B31" s="3760"/>
      <c r="C31" s="3093" t="s">
        <v>2462</v>
      </c>
      <c r="D31" s="3094"/>
      <c r="E31" s="3095">
        <v>0.8</v>
      </c>
      <c r="F31" s="3092" t="s">
        <v>2463</v>
      </c>
      <c r="G31" s="3092"/>
    </row>
    <row r="32" spans="1:13" ht="19.5" customHeight="1">
      <c r="A32" s="3764"/>
      <c r="B32" s="3760"/>
      <c r="C32" s="3093" t="s">
        <v>2464</v>
      </c>
      <c r="D32" s="3094"/>
      <c r="E32" s="3095">
        <v>0.7</v>
      </c>
      <c r="F32" s="3092" t="s">
        <v>2465</v>
      </c>
      <c r="G32" s="3092"/>
    </row>
    <row r="33" spans="1:7" ht="19.5" customHeight="1">
      <c r="A33" s="3764"/>
      <c r="B33" s="3760"/>
      <c r="C33" s="3093" t="s">
        <v>2466</v>
      </c>
      <c r="D33" s="3094"/>
      <c r="E33" s="3095">
        <v>0.8</v>
      </c>
      <c r="F33" s="3092" t="s">
        <v>2467</v>
      </c>
      <c r="G33" s="3092"/>
    </row>
    <row r="34" spans="1:7" ht="19.5" customHeight="1">
      <c r="A34" s="3764"/>
      <c r="B34" s="3760"/>
      <c r="C34" s="3093" t="s">
        <v>2468</v>
      </c>
      <c r="D34" s="3094"/>
      <c r="E34" s="3095">
        <v>0.6</v>
      </c>
      <c r="F34" s="3092" t="s">
        <v>2469</v>
      </c>
      <c r="G34" s="3092"/>
    </row>
    <row r="35" spans="1:7" ht="19.5" customHeight="1">
      <c r="A35" s="3764"/>
      <c r="B35" s="3760"/>
      <c r="C35" s="3093" t="s">
        <v>2470</v>
      </c>
      <c r="D35" s="3094"/>
      <c r="E35" s="3095">
        <v>0.2</v>
      </c>
      <c r="F35" s="3092" t="s">
        <v>2471</v>
      </c>
      <c r="G35" s="3092"/>
    </row>
    <row r="36" spans="1:7" ht="19.5" customHeight="1">
      <c r="A36" s="3764"/>
      <c r="B36" s="3760"/>
      <c r="C36" s="3093" t="s">
        <v>2472</v>
      </c>
      <c r="D36" s="3094"/>
      <c r="E36" s="3095">
        <v>0.2</v>
      </c>
      <c r="F36" s="3092" t="s">
        <v>2473</v>
      </c>
      <c r="G36" s="3092"/>
    </row>
    <row r="37" spans="1:7" ht="19.5" customHeight="1">
      <c r="A37" s="3764"/>
      <c r="B37" s="3758" t="s">
        <v>2634</v>
      </c>
      <c r="C37" s="3093" t="s">
        <v>2474</v>
      </c>
      <c r="D37" s="3094"/>
      <c r="E37" s="3095">
        <v>0.6</v>
      </c>
      <c r="F37" s="3092" t="s">
        <v>2475</v>
      </c>
      <c r="G37" s="3092"/>
    </row>
    <row r="38" spans="1:7" ht="19.5" customHeight="1">
      <c r="A38" s="3764"/>
      <c r="B38" s="3760"/>
      <c r="C38" s="3093" t="s">
        <v>2476</v>
      </c>
      <c r="D38" s="3094"/>
      <c r="E38" s="3095">
        <v>0.6</v>
      </c>
      <c r="F38" s="3092" t="s">
        <v>2477</v>
      </c>
      <c r="G38" s="3092"/>
    </row>
    <row r="39" spans="1:7" ht="19.5" customHeight="1" thickBot="1">
      <c r="A39" s="3765"/>
      <c r="B39" s="3762"/>
      <c r="C39" s="3096" t="s">
        <v>2478</v>
      </c>
      <c r="D39" s="3097"/>
      <c r="E39" s="3098">
        <v>0.6</v>
      </c>
      <c r="F39" s="3092" t="s">
        <v>2479</v>
      </c>
      <c r="G39" s="3092"/>
    </row>
    <row r="40" spans="1:7" ht="19.5" customHeight="1" thickBot="1">
      <c r="A40" s="3099" t="s">
        <v>2611</v>
      </c>
      <c r="B40" s="3100" t="s">
        <v>2611</v>
      </c>
      <c r="C40" s="3101" t="s">
        <v>2635</v>
      </c>
      <c r="D40" s="3102"/>
      <c r="E40" s="3103">
        <v>1</v>
      </c>
      <c r="F40" s="3092" t="s">
        <v>2480</v>
      </c>
      <c r="G40" s="3092"/>
    </row>
    <row r="41" spans="1:7" ht="19.5" customHeight="1">
      <c r="A41" s="3766" t="s">
        <v>2612</v>
      </c>
      <c r="B41" s="3761" t="s">
        <v>2636</v>
      </c>
      <c r="C41" s="3089" t="s">
        <v>2481</v>
      </c>
      <c r="D41" s="3090"/>
      <c r="E41" s="3091">
        <v>1</v>
      </c>
      <c r="F41" s="3092" t="s">
        <v>2482</v>
      </c>
      <c r="G41" s="3092"/>
    </row>
    <row r="42" spans="1:7" ht="19.5" customHeight="1">
      <c r="A42" s="3767"/>
      <c r="B42" s="3760"/>
      <c r="C42" s="3093" t="s">
        <v>2483</v>
      </c>
      <c r="D42" s="3094"/>
      <c r="E42" s="3095">
        <v>1</v>
      </c>
      <c r="F42" s="3092" t="s">
        <v>2484</v>
      </c>
      <c r="G42" s="3092"/>
    </row>
    <row r="43" spans="1:7" ht="19.5" customHeight="1">
      <c r="A43" s="3767"/>
      <c r="B43" s="3759"/>
      <c r="C43" s="3093" t="s">
        <v>2485</v>
      </c>
      <c r="D43" s="3094"/>
      <c r="E43" s="3095">
        <v>1.5</v>
      </c>
      <c r="F43" s="3092" t="s">
        <v>2486</v>
      </c>
      <c r="G43" s="3092"/>
    </row>
    <row r="44" spans="1:7" ht="19.5" customHeight="1">
      <c r="A44" s="3767"/>
      <c r="B44" s="3104" t="s">
        <v>2637</v>
      </c>
      <c r="C44" s="3093" t="s">
        <v>2638</v>
      </c>
      <c r="D44" s="3094"/>
      <c r="E44" s="3095">
        <v>2</v>
      </c>
      <c r="F44" s="3092" t="s">
        <v>2487</v>
      </c>
      <c r="G44" s="3092"/>
    </row>
    <row r="45" spans="1:7" ht="19.5" customHeight="1">
      <c r="A45" s="3767"/>
      <c r="B45" s="3758" t="s">
        <v>2639</v>
      </c>
      <c r="C45" s="3093" t="s">
        <v>2488</v>
      </c>
      <c r="D45" s="3094"/>
      <c r="E45" s="3095">
        <v>1</v>
      </c>
      <c r="F45" s="3092" t="s">
        <v>2489</v>
      </c>
      <c r="G45" s="3092"/>
    </row>
    <row r="46" spans="1:7" ht="19.5" customHeight="1">
      <c r="A46" s="3767"/>
      <c r="B46" s="3760"/>
      <c r="C46" s="3093" t="s">
        <v>2490</v>
      </c>
      <c r="D46" s="3094"/>
      <c r="E46" s="3095">
        <v>1</v>
      </c>
      <c r="F46" s="3092" t="s">
        <v>2491</v>
      </c>
      <c r="G46" s="3092"/>
    </row>
    <row r="47" spans="1:7" ht="19.5" customHeight="1">
      <c r="A47" s="3767"/>
      <c r="B47" s="3760"/>
      <c r="C47" s="3093" t="s">
        <v>2492</v>
      </c>
      <c r="D47" s="3094"/>
      <c r="E47" s="3095">
        <v>1</v>
      </c>
      <c r="F47" s="3092" t="s">
        <v>2493</v>
      </c>
      <c r="G47" s="3092"/>
    </row>
    <row r="48" spans="1:7" ht="19.5" customHeight="1">
      <c r="A48" s="3767"/>
      <c r="B48" s="3760"/>
      <c r="C48" s="3093" t="s">
        <v>2494</v>
      </c>
      <c r="D48" s="3094"/>
      <c r="E48" s="3095">
        <v>1</v>
      </c>
      <c r="F48" s="3092" t="s">
        <v>2495</v>
      </c>
      <c r="G48" s="3092"/>
    </row>
    <row r="49" spans="1:7" ht="19.5" customHeight="1">
      <c r="A49" s="3767"/>
      <c r="B49" s="3760"/>
      <c r="C49" s="3093" t="s">
        <v>2496</v>
      </c>
      <c r="D49" s="3094"/>
      <c r="E49" s="3095">
        <v>1</v>
      </c>
      <c r="F49" s="3092" t="s">
        <v>2497</v>
      </c>
      <c r="G49" s="3092"/>
    </row>
    <row r="50" spans="1:7" ht="19.5" customHeight="1">
      <c r="A50" s="3767"/>
      <c r="B50" s="3760"/>
      <c r="C50" s="3093" t="s">
        <v>2498</v>
      </c>
      <c r="D50" s="3094"/>
      <c r="E50" s="3095">
        <v>1</v>
      </c>
      <c r="F50" s="3092" t="s">
        <v>2499</v>
      </c>
      <c r="G50" s="3092"/>
    </row>
    <row r="51" spans="1:7" ht="19.5" customHeight="1" thickBot="1">
      <c r="A51" s="3768"/>
      <c r="B51" s="3762"/>
      <c r="C51" s="3096" t="s">
        <v>2500</v>
      </c>
      <c r="D51" s="3097"/>
      <c r="E51" s="3098">
        <v>1</v>
      </c>
      <c r="F51" s="3092" t="s">
        <v>2501</v>
      </c>
      <c r="G51" s="3092"/>
    </row>
    <row r="52" spans="1:7" ht="19.5" customHeight="1">
      <c r="A52" s="3105"/>
      <c r="B52" s="3105"/>
      <c r="C52" s="3105"/>
      <c r="D52" s="3105"/>
      <c r="E52" s="3105"/>
      <c r="F52" s="3105"/>
      <c r="G52" s="3105"/>
    </row>
    <row r="54" spans="1:7" ht="19.5" customHeight="1">
      <c r="A54" s="3106"/>
      <c r="B54" s="3078" t="s">
        <v>2640</v>
      </c>
      <c r="C54" s="3078" t="s">
        <v>2640</v>
      </c>
      <c r="D54" s="3078" t="s">
        <v>2640</v>
      </c>
      <c r="E54" s="3081" t="s">
        <v>2640</v>
      </c>
      <c r="F54" s="3081" t="s">
        <v>2641</v>
      </c>
      <c r="G54" s="3081" t="s">
        <v>2642</v>
      </c>
    </row>
    <row r="55" spans="1:7" ht="19.5" customHeight="1">
      <c r="A55" s="3107"/>
      <c r="B55" s="3081" t="s">
        <v>2609</v>
      </c>
      <c r="C55" s="3081" t="s">
        <v>2609</v>
      </c>
      <c r="D55" s="3081" t="s">
        <v>2609</v>
      </c>
      <c r="E55" s="3078" t="s">
        <v>2610</v>
      </c>
      <c r="F55" s="3078" t="s">
        <v>2612</v>
      </c>
      <c r="G55" s="3078" t="s">
        <v>2643</v>
      </c>
    </row>
    <row r="56" spans="1:7" ht="19.5" customHeight="1">
      <c r="A56" s="3108"/>
      <c r="B56" s="3078">
        <v>1</v>
      </c>
      <c r="C56" s="3078">
        <v>2</v>
      </c>
      <c r="D56" s="3078">
        <v>3</v>
      </c>
      <c r="E56" s="3109" t="s">
        <v>2644</v>
      </c>
      <c r="F56" s="3109" t="s">
        <v>2644</v>
      </c>
      <c r="G56" s="3109" t="s">
        <v>2644</v>
      </c>
    </row>
    <row r="57" spans="1:7" ht="19.5" customHeight="1">
      <c r="A57" s="3110" t="s">
        <v>2597</v>
      </c>
      <c r="B57" s="3078">
        <v>0.7</v>
      </c>
      <c r="C57" s="3078">
        <v>0.4</v>
      </c>
      <c r="D57" s="3078">
        <v>0.3</v>
      </c>
      <c r="E57" s="3109">
        <v>0.3</v>
      </c>
      <c r="F57" s="3078">
        <v>0.3</v>
      </c>
      <c r="G57" s="3078">
        <v>0.2</v>
      </c>
    </row>
    <row r="58" spans="1:7" ht="19.5" customHeight="1">
      <c r="A58" s="3110" t="s">
        <v>2598</v>
      </c>
      <c r="B58" s="3078">
        <v>0.7</v>
      </c>
      <c r="C58" s="3078">
        <v>0.4</v>
      </c>
      <c r="D58" s="3078">
        <v>0.3</v>
      </c>
      <c r="E58" s="3078">
        <v>0.3</v>
      </c>
      <c r="F58" s="3078">
        <v>0.3</v>
      </c>
      <c r="G58" s="3078">
        <v>0.2</v>
      </c>
    </row>
    <row r="59" spans="1:7" ht="19.5" customHeight="1">
      <c r="A59" s="3110" t="s">
        <v>2599</v>
      </c>
      <c r="B59" s="3078">
        <v>0.6</v>
      </c>
      <c r="C59" s="3078">
        <v>0.3</v>
      </c>
      <c r="D59" s="3078">
        <v>0.25</v>
      </c>
      <c r="E59" s="3078">
        <v>0.25</v>
      </c>
      <c r="F59" s="3078">
        <v>0.25</v>
      </c>
      <c r="G59" s="3078">
        <v>0.15</v>
      </c>
    </row>
    <row r="60" spans="1:7" ht="19.5" customHeight="1">
      <c r="A60" s="3110" t="s">
        <v>2600</v>
      </c>
      <c r="B60" s="3078">
        <v>0.6</v>
      </c>
      <c r="C60" s="3078">
        <v>0.3</v>
      </c>
      <c r="D60" s="3078">
        <v>0.25</v>
      </c>
      <c r="E60" s="3078">
        <v>0.25</v>
      </c>
      <c r="F60" s="3078">
        <v>0.25</v>
      </c>
      <c r="G60" s="3078">
        <v>0.15</v>
      </c>
    </row>
    <row r="61" spans="1:7" ht="19.5" customHeight="1">
      <c r="A61" s="3110" t="s">
        <v>2601</v>
      </c>
      <c r="B61" s="3078">
        <v>0.6</v>
      </c>
      <c r="C61" s="3078">
        <v>0.3</v>
      </c>
      <c r="D61" s="3078">
        <v>0.25</v>
      </c>
      <c r="E61" s="3078">
        <v>0.25</v>
      </c>
      <c r="F61" s="3078">
        <v>0.25</v>
      </c>
      <c r="G61" s="3078">
        <v>0.15</v>
      </c>
    </row>
    <row r="62" spans="1:7" ht="19.5" customHeight="1">
      <c r="A62" s="3110" t="s">
        <v>2602</v>
      </c>
      <c r="B62" s="3078">
        <v>0.6</v>
      </c>
      <c r="C62" s="3078">
        <v>0.3</v>
      </c>
      <c r="D62" s="3078">
        <v>0.25</v>
      </c>
      <c r="E62" s="3078">
        <v>0.25</v>
      </c>
      <c r="F62" s="3078">
        <v>0.25</v>
      </c>
      <c r="G62" s="3078">
        <v>0.15</v>
      </c>
    </row>
    <row r="63" spans="1:7" ht="19.5" customHeight="1">
      <c r="A63" s="3110" t="s">
        <v>2603</v>
      </c>
      <c r="B63" s="3078">
        <v>0.6</v>
      </c>
      <c r="C63" s="3078">
        <v>0.3</v>
      </c>
      <c r="D63" s="3078">
        <v>0.25</v>
      </c>
      <c r="E63" s="3078">
        <v>0.25</v>
      </c>
      <c r="F63" s="3078">
        <v>0.25</v>
      </c>
      <c r="G63" s="3078">
        <v>0.15</v>
      </c>
    </row>
    <row r="64" spans="1:7" ht="19.5" customHeight="1">
      <c r="A64" s="3110" t="s">
        <v>2604</v>
      </c>
      <c r="B64" s="3078">
        <v>0.5</v>
      </c>
      <c r="C64" s="3078">
        <v>0.2</v>
      </c>
      <c r="D64" s="3078">
        <v>0.2</v>
      </c>
      <c r="E64" s="3078">
        <v>0.2</v>
      </c>
      <c r="F64" s="3078">
        <v>0.2</v>
      </c>
      <c r="G64" s="3078">
        <v>0.1</v>
      </c>
    </row>
    <row r="65" spans="1:7" ht="19.5" customHeight="1">
      <c r="A65" s="3110" t="s">
        <v>2605</v>
      </c>
      <c r="B65" s="3078">
        <v>0.5</v>
      </c>
      <c r="C65" s="3078">
        <v>0.2</v>
      </c>
      <c r="D65" s="3078">
        <v>0.2</v>
      </c>
      <c r="E65" s="3078">
        <v>0.2</v>
      </c>
      <c r="F65" s="3078">
        <v>0.2</v>
      </c>
      <c r="G65" s="3078">
        <v>0.1</v>
      </c>
    </row>
    <row r="66" spans="1:7" ht="19.5" customHeight="1">
      <c r="A66" s="3110" t="s">
        <v>2606</v>
      </c>
      <c r="B66" s="3078">
        <v>0.5</v>
      </c>
      <c r="C66" s="3078">
        <v>0.2</v>
      </c>
      <c r="D66" s="3078">
        <v>0.2</v>
      </c>
      <c r="E66" s="3078">
        <v>0.2</v>
      </c>
      <c r="F66" s="3078">
        <v>0.2</v>
      </c>
      <c r="G66" s="3078">
        <v>0.1</v>
      </c>
    </row>
    <row r="67" spans="1:7" ht="19.5" customHeight="1">
      <c r="A67" s="3110" t="s">
        <v>2607</v>
      </c>
      <c r="B67" s="3078">
        <v>0.5</v>
      </c>
      <c r="C67" s="3078">
        <v>0.2</v>
      </c>
      <c r="D67" s="3078">
        <v>0.2</v>
      </c>
      <c r="E67" s="3078">
        <v>0.2</v>
      </c>
      <c r="F67" s="3078">
        <v>0.2</v>
      </c>
      <c r="G67" s="3078">
        <v>0.1</v>
      </c>
    </row>
    <row r="68" spans="1:7" ht="19.5" customHeight="1">
      <c r="A68" s="3110" t="s">
        <v>2608</v>
      </c>
      <c r="B68" s="3078">
        <v>0.5</v>
      </c>
      <c r="C68" s="3078">
        <v>0.2</v>
      </c>
      <c r="D68" s="3078">
        <v>0.2</v>
      </c>
      <c r="E68" s="3078">
        <v>0.2</v>
      </c>
      <c r="F68" s="3078">
        <v>0.2</v>
      </c>
      <c r="G68" s="3078">
        <v>0.1</v>
      </c>
    </row>
    <row r="70" spans="1:7" ht="19.5" customHeight="1">
      <c r="A70" s="3111"/>
      <c r="B70" s="3112"/>
      <c r="C70" s="3112"/>
      <c r="D70" s="3112" t="s">
        <v>2645</v>
      </c>
      <c r="E70" s="3112"/>
      <c r="F70" s="3112"/>
    </row>
    <row r="71" spans="1:7" ht="19.5" customHeight="1">
      <c r="A71" s="3104" t="s">
        <v>2646</v>
      </c>
      <c r="B71" s="3104" t="s">
        <v>2647</v>
      </c>
      <c r="C71" s="3104" t="s">
        <v>2648</v>
      </c>
      <c r="D71" s="3104" t="s">
        <v>2649</v>
      </c>
      <c r="E71" s="3104" t="s">
        <v>2650</v>
      </c>
      <c r="F71" s="3104" t="s">
        <v>2651</v>
      </c>
    </row>
    <row r="72" spans="1:7" ht="14.4">
      <c r="A72" s="3104"/>
      <c r="B72" s="3104"/>
      <c r="C72" s="3104" t="s">
        <v>2652</v>
      </c>
      <c r="D72" s="3104"/>
      <c r="E72" s="3104" t="s">
        <v>2623</v>
      </c>
      <c r="F72" s="3104" t="s">
        <v>2623</v>
      </c>
    </row>
    <row r="73" spans="1:7" ht="14.4">
      <c r="A73" s="3104">
        <v>1</v>
      </c>
      <c r="B73" s="3758" t="s">
        <v>2653</v>
      </c>
      <c r="C73" s="3078" t="s">
        <v>2654</v>
      </c>
      <c r="D73" s="3078" t="s">
        <v>2655</v>
      </c>
      <c r="E73" s="3104">
        <v>0.2</v>
      </c>
      <c r="F73" s="3104">
        <v>25</v>
      </c>
    </row>
    <row r="74" spans="1:7" ht="24">
      <c r="A74" s="3104">
        <v>2</v>
      </c>
      <c r="B74" s="3760"/>
      <c r="C74" s="3078" t="s">
        <v>2656</v>
      </c>
      <c r="D74" s="3078" t="s">
        <v>2657</v>
      </c>
      <c r="E74" s="3104">
        <v>0.2</v>
      </c>
      <c r="F74" s="3104">
        <v>25</v>
      </c>
    </row>
    <row r="75" spans="1:7" ht="24">
      <c r="A75" s="3104">
        <v>3</v>
      </c>
      <c r="B75" s="3760"/>
      <c r="C75" s="3078" t="s">
        <v>2658</v>
      </c>
      <c r="D75" s="3078" t="s">
        <v>2659</v>
      </c>
      <c r="E75" s="3104">
        <v>0.2</v>
      </c>
      <c r="F75" s="3104">
        <v>25</v>
      </c>
    </row>
    <row r="76" spans="1:7" ht="14.4">
      <c r="A76" s="3104">
        <v>4</v>
      </c>
      <c r="B76" s="3760"/>
      <c r="C76" s="3078" t="s">
        <v>2660</v>
      </c>
      <c r="D76" s="3078" t="s">
        <v>2661</v>
      </c>
      <c r="E76" s="3104">
        <v>0.15</v>
      </c>
      <c r="F76" s="3104">
        <v>20</v>
      </c>
    </row>
    <row r="77" spans="1:7" ht="24">
      <c r="A77" s="3104">
        <v>5</v>
      </c>
      <c r="B77" s="3760"/>
      <c r="C77" s="3078" t="s">
        <v>2662</v>
      </c>
      <c r="D77" s="3078" t="s">
        <v>2663</v>
      </c>
      <c r="E77" s="3104">
        <v>0.15</v>
      </c>
      <c r="F77" s="3104">
        <v>20</v>
      </c>
    </row>
    <row r="78" spans="1:7" ht="24">
      <c r="A78" s="3104">
        <v>6</v>
      </c>
      <c r="B78" s="3760"/>
      <c r="C78" s="3078" t="s">
        <v>2664</v>
      </c>
      <c r="D78" s="3078" t="s">
        <v>2665</v>
      </c>
      <c r="E78" s="3104">
        <v>0.15</v>
      </c>
      <c r="F78" s="3104">
        <v>20</v>
      </c>
    </row>
    <row r="79" spans="1:7" ht="24">
      <c r="A79" s="3104">
        <v>7</v>
      </c>
      <c r="B79" s="3760"/>
      <c r="C79" s="3078" t="s">
        <v>2666</v>
      </c>
      <c r="D79" s="3078" t="s">
        <v>2667</v>
      </c>
      <c r="E79" s="3104">
        <v>0.15</v>
      </c>
      <c r="F79" s="3104">
        <v>20</v>
      </c>
    </row>
    <row r="80" spans="1:7" ht="24">
      <c r="A80" s="3104">
        <v>8</v>
      </c>
      <c r="B80" s="3760"/>
      <c r="C80" s="3078" t="s">
        <v>2668</v>
      </c>
      <c r="D80" s="3078" t="s">
        <v>2669</v>
      </c>
      <c r="E80" s="3104">
        <v>0.1</v>
      </c>
      <c r="F80" s="3104">
        <v>15</v>
      </c>
    </row>
    <row r="81" spans="1:6" ht="24">
      <c r="A81" s="3104">
        <v>9</v>
      </c>
      <c r="B81" s="3760"/>
      <c r="C81" s="3078" t="s">
        <v>2670</v>
      </c>
      <c r="D81" s="3078" t="s">
        <v>2671</v>
      </c>
      <c r="E81" s="3104">
        <v>0.1</v>
      </c>
      <c r="F81" s="3104">
        <v>15</v>
      </c>
    </row>
    <row r="82" spans="1:6" ht="24">
      <c r="A82" s="3104">
        <v>10</v>
      </c>
      <c r="B82" s="3760"/>
      <c r="C82" s="3078" t="s">
        <v>2672</v>
      </c>
      <c r="D82" s="3078" t="s">
        <v>2673</v>
      </c>
      <c r="E82" s="3104">
        <v>0.1</v>
      </c>
      <c r="F82" s="3104">
        <v>15</v>
      </c>
    </row>
    <row r="83" spans="1:6" ht="24">
      <c r="A83" s="3104">
        <v>11</v>
      </c>
      <c r="B83" s="3760"/>
      <c r="C83" s="3078" t="s">
        <v>2674</v>
      </c>
      <c r="D83" s="3078" t="s">
        <v>2675</v>
      </c>
      <c r="E83" s="3104">
        <v>0.1</v>
      </c>
      <c r="F83" s="3104">
        <v>15</v>
      </c>
    </row>
    <row r="84" spans="1:6" ht="24">
      <c r="A84" s="3104">
        <v>12</v>
      </c>
      <c r="B84" s="3760"/>
      <c r="C84" s="3078" t="s">
        <v>2676</v>
      </c>
      <c r="D84" s="3078" t="s">
        <v>2677</v>
      </c>
      <c r="E84" s="3104">
        <v>0.1</v>
      </c>
      <c r="F84" s="3104">
        <v>15</v>
      </c>
    </row>
    <row r="85" spans="1:6" ht="24">
      <c r="A85" s="3104">
        <v>13</v>
      </c>
      <c r="B85" s="3760"/>
      <c r="C85" s="3078" t="s">
        <v>2678</v>
      </c>
      <c r="D85" s="3078" t="s">
        <v>2679</v>
      </c>
      <c r="E85" s="3104">
        <v>0.1</v>
      </c>
      <c r="F85" s="3104">
        <v>15</v>
      </c>
    </row>
    <row r="86" spans="1:6" ht="24">
      <c r="A86" s="3104">
        <v>14</v>
      </c>
      <c r="B86" s="3760"/>
      <c r="C86" s="3078" t="s">
        <v>2680</v>
      </c>
      <c r="D86" s="3078" t="s">
        <v>2681</v>
      </c>
      <c r="E86" s="3104">
        <v>0.1</v>
      </c>
      <c r="F86" s="3104">
        <v>15</v>
      </c>
    </row>
    <row r="87" spans="1:6" ht="24">
      <c r="A87" s="3104">
        <v>15</v>
      </c>
      <c r="B87" s="3760"/>
      <c r="C87" s="3078" t="s">
        <v>2682</v>
      </c>
      <c r="D87" s="3078" t="s">
        <v>2683</v>
      </c>
      <c r="E87" s="3104">
        <v>0.1</v>
      </c>
      <c r="F87" s="3104">
        <v>15</v>
      </c>
    </row>
    <row r="88" spans="1:6" ht="24">
      <c r="A88" s="3104">
        <v>16</v>
      </c>
      <c r="B88" s="3760"/>
      <c r="C88" s="3078" t="s">
        <v>2684</v>
      </c>
      <c r="D88" s="3078" t="s">
        <v>2685</v>
      </c>
      <c r="E88" s="3104">
        <v>0.1</v>
      </c>
      <c r="F88" s="3104">
        <v>15</v>
      </c>
    </row>
    <row r="89" spans="1:6" ht="24">
      <c r="A89" s="3104">
        <v>17</v>
      </c>
      <c r="B89" s="3759"/>
      <c r="C89" s="3078" t="s">
        <v>2686</v>
      </c>
      <c r="D89" s="3078" t="s">
        <v>2687</v>
      </c>
      <c r="E89" s="3104">
        <v>0.1</v>
      </c>
      <c r="F89" s="3104">
        <v>15</v>
      </c>
    </row>
    <row r="90" spans="1:6" ht="14.4">
      <c r="A90" s="3104">
        <v>18</v>
      </c>
      <c r="B90" s="3758" t="s">
        <v>2688</v>
      </c>
      <c r="C90" s="3078" t="s">
        <v>2689</v>
      </c>
      <c r="D90" s="3078" t="s">
        <v>2690</v>
      </c>
      <c r="E90" s="3104">
        <v>0.2</v>
      </c>
      <c r="F90" s="3104">
        <v>25</v>
      </c>
    </row>
    <row r="91" spans="1:6" ht="24">
      <c r="A91" s="3104">
        <v>19</v>
      </c>
      <c r="B91" s="3760"/>
      <c r="C91" s="3078" t="s">
        <v>2691</v>
      </c>
      <c r="D91" s="3078" t="s">
        <v>2692</v>
      </c>
      <c r="E91" s="3104">
        <v>0.2</v>
      </c>
      <c r="F91" s="3104">
        <v>25</v>
      </c>
    </row>
    <row r="92" spans="1:6" ht="14.4">
      <c r="A92" s="3104">
        <v>20</v>
      </c>
      <c r="B92" s="3760"/>
      <c r="C92" s="3078" t="s">
        <v>2693</v>
      </c>
      <c r="D92" s="3078" t="s">
        <v>2694</v>
      </c>
      <c r="E92" s="3104">
        <v>0.15</v>
      </c>
      <c r="F92" s="3104">
        <v>20</v>
      </c>
    </row>
    <row r="93" spans="1:6" ht="24">
      <c r="A93" s="3104">
        <v>21</v>
      </c>
      <c r="B93" s="3760"/>
      <c r="C93" s="3078" t="s">
        <v>2695</v>
      </c>
      <c r="D93" s="3078" t="s">
        <v>2696</v>
      </c>
      <c r="E93" s="3104">
        <v>0.15</v>
      </c>
      <c r="F93" s="3104">
        <v>20</v>
      </c>
    </row>
    <row r="94" spans="1:6" ht="24">
      <c r="A94" s="3104">
        <v>22</v>
      </c>
      <c r="B94" s="3760"/>
      <c r="C94" s="3078" t="s">
        <v>2697</v>
      </c>
      <c r="D94" s="3078" t="s">
        <v>2698</v>
      </c>
      <c r="E94" s="3104">
        <v>0.15</v>
      </c>
      <c r="F94" s="3104">
        <v>20</v>
      </c>
    </row>
    <row r="95" spans="1:6" ht="36">
      <c r="A95" s="3104">
        <v>23</v>
      </c>
      <c r="B95" s="3760"/>
      <c r="C95" s="3078" t="s">
        <v>2699</v>
      </c>
      <c r="D95" s="3078" t="s">
        <v>2700</v>
      </c>
      <c r="E95" s="3104">
        <v>0.15</v>
      </c>
      <c r="F95" s="3104">
        <v>20</v>
      </c>
    </row>
    <row r="96" spans="1:6" ht="24">
      <c r="A96" s="3104">
        <v>24</v>
      </c>
      <c r="B96" s="3760"/>
      <c r="C96" s="3078" t="s">
        <v>2701</v>
      </c>
      <c r="D96" s="3078" t="s">
        <v>2702</v>
      </c>
      <c r="E96" s="3104">
        <v>0.1</v>
      </c>
      <c r="F96" s="3104">
        <v>15</v>
      </c>
    </row>
    <row r="97" spans="1:6" ht="24">
      <c r="A97" s="3104">
        <v>25</v>
      </c>
      <c r="B97" s="3760"/>
      <c r="C97" s="3078" t="s">
        <v>2703</v>
      </c>
      <c r="D97" s="3078" t="s">
        <v>2704</v>
      </c>
      <c r="E97" s="3104">
        <v>0.1</v>
      </c>
      <c r="F97" s="3104">
        <v>15</v>
      </c>
    </row>
    <row r="98" spans="1:6" ht="24">
      <c r="A98" s="3104">
        <v>26</v>
      </c>
      <c r="B98" s="3760"/>
      <c r="C98" s="3078" t="s">
        <v>2705</v>
      </c>
      <c r="D98" s="3078" t="s">
        <v>2706</v>
      </c>
      <c r="E98" s="3104">
        <v>0.1</v>
      </c>
      <c r="F98" s="3104">
        <v>15</v>
      </c>
    </row>
    <row r="99" spans="1:6" ht="24">
      <c r="A99" s="3104">
        <v>27</v>
      </c>
      <c r="B99" s="3760"/>
      <c r="C99" s="3078" t="s">
        <v>2707</v>
      </c>
      <c r="D99" s="3078" t="s">
        <v>2708</v>
      </c>
      <c r="E99" s="3104">
        <v>0.1</v>
      </c>
      <c r="F99" s="3104">
        <v>15</v>
      </c>
    </row>
    <row r="100" spans="1:6" ht="24">
      <c r="A100" s="3104">
        <v>28</v>
      </c>
      <c r="B100" s="3760"/>
      <c r="C100" s="3078" t="s">
        <v>2709</v>
      </c>
      <c r="D100" s="3078" t="s">
        <v>2710</v>
      </c>
      <c r="E100" s="3104">
        <v>0.1</v>
      </c>
      <c r="F100" s="3104">
        <v>15</v>
      </c>
    </row>
    <row r="101" spans="1:6" ht="24">
      <c r="A101" s="3104">
        <v>29</v>
      </c>
      <c r="B101" s="3760"/>
      <c r="C101" s="3078" t="s">
        <v>2711</v>
      </c>
      <c r="D101" s="3078" t="s">
        <v>2712</v>
      </c>
      <c r="E101" s="3104">
        <v>0.1</v>
      </c>
      <c r="F101" s="3104">
        <v>15</v>
      </c>
    </row>
    <row r="102" spans="1:6" ht="24">
      <c r="A102" s="3104">
        <v>30</v>
      </c>
      <c r="B102" s="3760"/>
      <c r="C102" s="3078" t="s">
        <v>2713</v>
      </c>
      <c r="D102" s="3078" t="s">
        <v>2714</v>
      </c>
      <c r="E102" s="3104">
        <v>0.1</v>
      </c>
      <c r="F102" s="3104">
        <v>15</v>
      </c>
    </row>
    <row r="103" spans="1:6" ht="24">
      <c r="A103" s="3104">
        <v>31</v>
      </c>
      <c r="B103" s="3760"/>
      <c r="C103" s="3078" t="s">
        <v>2715</v>
      </c>
      <c r="D103" s="3078" t="s">
        <v>2716</v>
      </c>
      <c r="E103" s="3104">
        <v>0.1</v>
      </c>
      <c r="F103" s="3104">
        <v>15</v>
      </c>
    </row>
    <row r="104" spans="1:6" ht="24">
      <c r="A104" s="3104">
        <v>32</v>
      </c>
      <c r="B104" s="3760"/>
      <c r="C104" s="3078" t="s">
        <v>2717</v>
      </c>
      <c r="D104" s="3078" t="s">
        <v>2718</v>
      </c>
      <c r="E104" s="3104">
        <v>0.1</v>
      </c>
      <c r="F104" s="3104">
        <v>15</v>
      </c>
    </row>
    <row r="105" spans="1:6" ht="24">
      <c r="A105" s="3104">
        <v>33</v>
      </c>
      <c r="B105" s="3760"/>
      <c r="C105" s="3078" t="s">
        <v>2719</v>
      </c>
      <c r="D105" s="3078" t="s">
        <v>2720</v>
      </c>
      <c r="E105" s="3104">
        <v>0.1</v>
      </c>
      <c r="F105" s="3104">
        <v>15</v>
      </c>
    </row>
    <row r="106" spans="1:6" ht="24">
      <c r="A106" s="3104">
        <v>34</v>
      </c>
      <c r="B106" s="3759"/>
      <c r="C106" s="3078" t="s">
        <v>2721</v>
      </c>
      <c r="D106" s="3078" t="s">
        <v>2722</v>
      </c>
      <c r="E106" s="3104">
        <v>0.1</v>
      </c>
      <c r="F106" s="3104">
        <v>15</v>
      </c>
    </row>
    <row r="107" spans="1:6" ht="36">
      <c r="A107" s="3104">
        <v>35</v>
      </c>
      <c r="B107" s="3758" t="s">
        <v>2723</v>
      </c>
      <c r="C107" s="3104" t="s">
        <v>2724</v>
      </c>
      <c r="D107" s="3078" t="s">
        <v>2725</v>
      </c>
      <c r="E107" s="3104">
        <v>0.15</v>
      </c>
      <c r="F107" s="3104">
        <v>20</v>
      </c>
    </row>
    <row r="108" spans="1:6" ht="24">
      <c r="A108" s="3104">
        <v>36</v>
      </c>
      <c r="B108" s="3760"/>
      <c r="C108" s="3104" t="s">
        <v>2726</v>
      </c>
      <c r="D108" s="3078" t="s">
        <v>2727</v>
      </c>
      <c r="E108" s="3104">
        <v>0.15</v>
      </c>
      <c r="F108" s="3104">
        <v>20</v>
      </c>
    </row>
    <row r="109" spans="1:6" ht="24">
      <c r="A109" s="3104">
        <v>37</v>
      </c>
      <c r="B109" s="3760"/>
      <c r="C109" s="3104" t="s">
        <v>2728</v>
      </c>
      <c r="D109" s="3078" t="s">
        <v>2729</v>
      </c>
      <c r="E109" s="3104">
        <v>0.15</v>
      </c>
      <c r="F109" s="3104">
        <v>20</v>
      </c>
    </row>
    <row r="110" spans="1:6" ht="24">
      <c r="A110" s="3104">
        <v>38</v>
      </c>
      <c r="B110" s="3760"/>
      <c r="C110" s="3104" t="s">
        <v>2730</v>
      </c>
      <c r="D110" s="3078" t="s">
        <v>2731</v>
      </c>
      <c r="E110" s="3104">
        <v>0.1</v>
      </c>
      <c r="F110" s="3104">
        <v>15</v>
      </c>
    </row>
    <row r="111" spans="1:6" ht="24">
      <c r="A111" s="3104">
        <v>39</v>
      </c>
      <c r="B111" s="3760"/>
      <c r="C111" s="3104" t="s">
        <v>2732</v>
      </c>
      <c r="D111" s="3078" t="s">
        <v>2733</v>
      </c>
      <c r="E111" s="3104">
        <v>0.1</v>
      </c>
      <c r="F111" s="3104">
        <v>15</v>
      </c>
    </row>
    <row r="112" spans="1:6" ht="24">
      <c r="A112" s="3104">
        <v>40</v>
      </c>
      <c r="B112" s="3759"/>
      <c r="C112" s="3104" t="s">
        <v>2734</v>
      </c>
      <c r="D112" s="3078" t="s">
        <v>2735</v>
      </c>
      <c r="E112" s="3104">
        <v>0.1</v>
      </c>
      <c r="F112" s="3104">
        <v>15</v>
      </c>
    </row>
    <row r="113" spans="1:6" ht="24">
      <c r="A113" s="3104">
        <v>41</v>
      </c>
      <c r="B113" s="3757" t="s">
        <v>2736</v>
      </c>
      <c r="C113" s="3104" t="s">
        <v>2737</v>
      </c>
      <c r="D113" s="3078" t="s">
        <v>2738</v>
      </c>
      <c r="E113" s="3104">
        <v>0.1</v>
      </c>
      <c r="F113" s="3104">
        <v>15</v>
      </c>
    </row>
    <row r="114" spans="1:6" ht="24">
      <c r="A114" s="3104">
        <v>42</v>
      </c>
      <c r="B114" s="3757"/>
      <c r="C114" s="3104" t="s">
        <v>2739</v>
      </c>
      <c r="D114" s="3078" t="s">
        <v>2740</v>
      </c>
      <c r="E114" s="3104">
        <v>0.1</v>
      </c>
      <c r="F114" s="3104">
        <v>15</v>
      </c>
    </row>
    <row r="115" spans="1:6" ht="24">
      <c r="A115" s="3104">
        <v>43</v>
      </c>
      <c r="B115" s="3757"/>
      <c r="C115" s="3104" t="s">
        <v>2741</v>
      </c>
      <c r="D115" s="3078" t="s">
        <v>2742</v>
      </c>
      <c r="E115" s="3104">
        <v>0.1</v>
      </c>
      <c r="F115" s="3104">
        <v>15</v>
      </c>
    </row>
    <row r="116" spans="1:6" ht="24">
      <c r="A116" s="3104">
        <v>44</v>
      </c>
      <c r="B116" s="3758" t="s">
        <v>2743</v>
      </c>
      <c r="C116" s="3104" t="s">
        <v>2744</v>
      </c>
      <c r="D116" s="3078" t="s">
        <v>2745</v>
      </c>
      <c r="E116" s="3104">
        <v>0.1</v>
      </c>
      <c r="F116" s="3104">
        <v>15</v>
      </c>
    </row>
    <row r="117" spans="1:6" ht="24">
      <c r="A117" s="3104">
        <v>45</v>
      </c>
      <c r="B117" s="3759"/>
      <c r="C117" s="3078" t="s">
        <v>2746</v>
      </c>
      <c r="D117" s="3078" t="s">
        <v>2747</v>
      </c>
      <c r="E117" s="3104">
        <v>0.1</v>
      </c>
      <c r="F117" s="3104">
        <v>15</v>
      </c>
    </row>
    <row r="118" spans="1:6" ht="24">
      <c r="A118" s="3104">
        <v>46</v>
      </c>
      <c r="B118" s="3758" t="s">
        <v>2748</v>
      </c>
      <c r="C118" s="3104" t="s">
        <v>2749</v>
      </c>
      <c r="D118" s="3078" t="s">
        <v>2750</v>
      </c>
      <c r="E118" s="3104">
        <v>0.1</v>
      </c>
      <c r="F118" s="3104">
        <v>15</v>
      </c>
    </row>
    <row r="119" spans="1:6" ht="24">
      <c r="A119" s="3104">
        <v>47</v>
      </c>
      <c r="B119" s="3759"/>
      <c r="C119" s="3104" t="s">
        <v>2751</v>
      </c>
      <c r="D119" s="3078" t="s">
        <v>2752</v>
      </c>
      <c r="E119" s="3104">
        <v>0.1</v>
      </c>
      <c r="F119" s="3104">
        <v>15</v>
      </c>
    </row>
    <row r="120" spans="1:6" ht="24">
      <c r="A120" s="3104">
        <v>48</v>
      </c>
      <c r="B120" s="3758" t="s">
        <v>2753</v>
      </c>
      <c r="C120" s="3104" t="s">
        <v>2754</v>
      </c>
      <c r="D120" s="3078" t="s">
        <v>2755</v>
      </c>
      <c r="E120" s="3104">
        <v>0.1</v>
      </c>
      <c r="F120" s="3104">
        <v>15</v>
      </c>
    </row>
    <row r="121" spans="1:6" ht="24">
      <c r="A121" s="3104">
        <v>49</v>
      </c>
      <c r="B121" s="3759"/>
      <c r="C121" s="3104" t="s">
        <v>2756</v>
      </c>
      <c r="D121" s="3078" t="s">
        <v>2757</v>
      </c>
      <c r="E121" s="3104">
        <v>0.1</v>
      </c>
      <c r="F121" s="3104">
        <v>15</v>
      </c>
    </row>
    <row r="122" spans="1:6" ht="24">
      <c r="A122" s="3104">
        <v>50</v>
      </c>
      <c r="B122" s="3757" t="s">
        <v>2758</v>
      </c>
      <c r="C122" s="3104" t="s">
        <v>2759</v>
      </c>
      <c r="D122" s="3078" t="s">
        <v>2760</v>
      </c>
      <c r="E122" s="3104">
        <v>0.1</v>
      </c>
      <c r="F122" s="3104">
        <v>15</v>
      </c>
    </row>
    <row r="123" spans="1:6" ht="24">
      <c r="A123" s="3104">
        <v>51</v>
      </c>
      <c r="B123" s="3757"/>
      <c r="C123" s="3104" t="s">
        <v>2761</v>
      </c>
      <c r="D123" s="3078" t="s">
        <v>2762</v>
      </c>
      <c r="E123" s="3104">
        <v>0.1</v>
      </c>
      <c r="F123" s="3104">
        <v>15</v>
      </c>
    </row>
    <row r="124" spans="1:6" ht="24">
      <c r="A124" s="3104">
        <v>52</v>
      </c>
      <c r="B124" s="3757" t="s">
        <v>2763</v>
      </c>
      <c r="C124" s="3104" t="s">
        <v>2764</v>
      </c>
      <c r="D124" s="3078" t="s">
        <v>2765</v>
      </c>
      <c r="E124" s="3104">
        <v>0.1</v>
      </c>
      <c r="F124" s="3104">
        <v>15</v>
      </c>
    </row>
    <row r="125" spans="1:6" ht="24">
      <c r="A125" s="3104">
        <v>53</v>
      </c>
      <c r="B125" s="3757"/>
      <c r="C125" s="3104" t="s">
        <v>2766</v>
      </c>
      <c r="D125" s="3078" t="s">
        <v>2767</v>
      </c>
      <c r="E125" s="3104">
        <v>0.1</v>
      </c>
      <c r="F125" s="3104">
        <v>15</v>
      </c>
    </row>
    <row r="126" spans="1:6" ht="24">
      <c r="A126" s="3104">
        <v>54</v>
      </c>
      <c r="B126" s="3104" t="s">
        <v>2768</v>
      </c>
      <c r="C126" s="3104" t="s">
        <v>2769</v>
      </c>
      <c r="D126" s="3078" t="s">
        <v>2770</v>
      </c>
      <c r="E126" s="3104">
        <v>0.1</v>
      </c>
      <c r="F126" s="3104">
        <v>15</v>
      </c>
    </row>
    <row r="127" spans="1:6" ht="24">
      <c r="A127" s="3104">
        <v>55</v>
      </c>
      <c r="B127" s="3757" t="s">
        <v>2771</v>
      </c>
      <c r="C127" s="3104" t="s">
        <v>2772</v>
      </c>
      <c r="D127" s="3078" t="s">
        <v>2773</v>
      </c>
      <c r="E127" s="3104">
        <v>0.1</v>
      </c>
      <c r="F127" s="3104">
        <v>15</v>
      </c>
    </row>
    <row r="128" spans="1:6" ht="24">
      <c r="A128" s="3104">
        <v>56</v>
      </c>
      <c r="B128" s="3757"/>
      <c r="C128" s="3104" t="s">
        <v>2774</v>
      </c>
      <c r="D128" s="3078" t="s">
        <v>2775</v>
      </c>
      <c r="E128" s="3104">
        <v>0.1</v>
      </c>
      <c r="F128" s="3104">
        <v>15</v>
      </c>
    </row>
    <row r="129" spans="1:6" ht="24">
      <c r="A129" s="3104">
        <v>57</v>
      </c>
      <c r="B129" s="3757"/>
      <c r="C129" s="3104" t="s">
        <v>2776</v>
      </c>
      <c r="D129" s="3078" t="s">
        <v>2777</v>
      </c>
      <c r="E129" s="3104">
        <v>0.1</v>
      </c>
      <c r="F129" s="3104">
        <v>15</v>
      </c>
    </row>
    <row r="130" spans="1:6" ht="24">
      <c r="A130" s="3104">
        <v>58</v>
      </c>
      <c r="B130" s="3757" t="s">
        <v>2778</v>
      </c>
      <c r="C130" s="3104" t="s">
        <v>2779</v>
      </c>
      <c r="D130" s="3078" t="s">
        <v>2780</v>
      </c>
      <c r="E130" s="3104">
        <v>0.1</v>
      </c>
      <c r="F130" s="3104">
        <v>15</v>
      </c>
    </row>
    <row r="131" spans="1:6" ht="24">
      <c r="A131" s="3104">
        <v>59</v>
      </c>
      <c r="B131" s="3757"/>
      <c r="C131" s="3104" t="s">
        <v>2781</v>
      </c>
      <c r="D131" s="3078" t="s">
        <v>2782</v>
      </c>
      <c r="E131" s="3104">
        <v>0.1</v>
      </c>
      <c r="F131" s="3104">
        <v>15</v>
      </c>
    </row>
    <row r="132" spans="1:6" ht="24">
      <c r="A132" s="3104">
        <v>60</v>
      </c>
      <c r="B132" s="3758" t="s">
        <v>2783</v>
      </c>
      <c r="C132" s="3104" t="s">
        <v>2784</v>
      </c>
      <c r="D132" s="3078" t="s">
        <v>2785</v>
      </c>
      <c r="E132" s="3104">
        <v>0.1</v>
      </c>
      <c r="F132" s="3104">
        <v>15</v>
      </c>
    </row>
    <row r="133" spans="1:6" ht="24">
      <c r="A133" s="3104">
        <v>61</v>
      </c>
      <c r="B133" s="3759"/>
      <c r="C133" s="3104" t="s">
        <v>2786</v>
      </c>
      <c r="D133" s="3078" t="s">
        <v>2787</v>
      </c>
      <c r="E133" s="3104">
        <v>0.1</v>
      </c>
      <c r="F133" s="3104">
        <v>15</v>
      </c>
    </row>
    <row r="134" spans="1:6" ht="24">
      <c r="A134" s="3104">
        <v>62</v>
      </c>
      <c r="B134" s="3104" t="s">
        <v>2788</v>
      </c>
      <c r="C134" s="3104" t="s">
        <v>2789</v>
      </c>
      <c r="D134" s="3078" t="s">
        <v>2790</v>
      </c>
      <c r="E134" s="3104">
        <v>0.1</v>
      </c>
      <c r="F134" s="3104">
        <v>15</v>
      </c>
    </row>
    <row r="135" spans="1:6" ht="24">
      <c r="A135" s="3104">
        <v>63</v>
      </c>
      <c r="B135" s="3757" t="s">
        <v>2791</v>
      </c>
      <c r="C135" s="3104" t="s">
        <v>2792</v>
      </c>
      <c r="D135" s="3078" t="s">
        <v>2793</v>
      </c>
      <c r="E135" s="3104">
        <v>0.1</v>
      </c>
      <c r="F135" s="3104">
        <v>15</v>
      </c>
    </row>
    <row r="136" spans="1:6" ht="24">
      <c r="A136" s="3104">
        <v>64</v>
      </c>
      <c r="B136" s="3757"/>
      <c r="C136" s="3104" t="s">
        <v>2794</v>
      </c>
      <c r="D136" s="3078" t="s">
        <v>2795</v>
      </c>
      <c r="E136" s="3104">
        <v>0.1</v>
      </c>
      <c r="F136" s="3104">
        <v>15</v>
      </c>
    </row>
    <row r="137" spans="1:6" ht="24">
      <c r="A137" s="3104">
        <v>65</v>
      </c>
      <c r="B137" s="3104" t="s">
        <v>2796</v>
      </c>
      <c r="C137" s="3104" t="s">
        <v>2797</v>
      </c>
      <c r="D137" s="3078" t="s">
        <v>2798</v>
      </c>
      <c r="E137" s="3104">
        <v>0.1</v>
      </c>
      <c r="F137" s="3104">
        <v>15</v>
      </c>
    </row>
    <row r="138" spans="1:6" ht="14.4">
      <c r="A138" s="3104"/>
      <c r="B138" s="3104"/>
      <c r="C138" s="3104"/>
      <c r="D138" s="3104"/>
      <c r="E138" s="3104" t="s">
        <v>2799</v>
      </c>
      <c r="F138" s="310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7"/>
    <col min="14" max="16384" width="9" style="750"/>
  </cols>
  <sheetData>
    <row r="1" spans="1:20" ht="16.2" thickBot="1">
      <c r="A1" s="3113" t="s">
        <v>2800</v>
      </c>
      <c r="B1" s="3113"/>
      <c r="C1" s="3113"/>
      <c r="D1" s="3113"/>
      <c r="E1" s="3113"/>
      <c r="F1" s="3113"/>
      <c r="G1" s="3113"/>
      <c r="H1" s="3113"/>
      <c r="I1" s="3113"/>
      <c r="J1" s="3113"/>
      <c r="K1" s="3113"/>
      <c r="L1" s="3113"/>
      <c r="M1" s="3113"/>
      <c r="N1" s="749"/>
    </row>
    <row r="2" spans="1:20">
      <c r="A2" s="3114" t="s">
        <v>2801</v>
      </c>
      <c r="B2" s="3115" t="s">
        <v>2597</v>
      </c>
      <c r="C2" s="3115" t="s">
        <v>2598</v>
      </c>
      <c r="D2" s="3115" t="s">
        <v>2599</v>
      </c>
      <c r="E2" s="3115" t="s">
        <v>2600</v>
      </c>
      <c r="F2" s="3115" t="s">
        <v>2601</v>
      </c>
      <c r="G2" s="3115" t="s">
        <v>2602</v>
      </c>
      <c r="H2" s="3116" t="s">
        <v>2603</v>
      </c>
      <c r="I2" s="3116" t="s">
        <v>2604</v>
      </c>
      <c r="J2" s="3117" t="s">
        <v>2605</v>
      </c>
      <c r="K2" s="3117" t="s">
        <v>2606</v>
      </c>
      <c r="L2" s="3117" t="s">
        <v>2607</v>
      </c>
      <c r="M2" s="3118" t="s">
        <v>2608</v>
      </c>
      <c r="Q2" s="3128" t="s">
        <v>2806</v>
      </c>
      <c r="R2" s="3128" t="s">
        <v>2807</v>
      </c>
      <c r="S2" s="3128" t="s">
        <v>2808</v>
      </c>
      <c r="T2" s="3128" t="s">
        <v>2809</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51"/>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51"/>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51"/>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6.2" thickBot="1">
      <c r="A93" s="3113" t="s">
        <v>2802</v>
      </c>
      <c r="B93" s="3113"/>
      <c r="C93" s="3113"/>
      <c r="D93" s="3113"/>
      <c r="E93" s="3113"/>
      <c r="F93" s="3113"/>
      <c r="G93" s="3113"/>
      <c r="H93" s="3113"/>
      <c r="I93" s="3113"/>
      <c r="J93" s="3113"/>
      <c r="K93" s="3113"/>
      <c r="L93" s="3113"/>
      <c r="M93" s="3113"/>
    </row>
    <row r="94" spans="1:20">
      <c r="A94" s="3114" t="s">
        <v>2801</v>
      </c>
      <c r="B94" s="3115" t="s">
        <v>2597</v>
      </c>
      <c r="C94" s="3115" t="s">
        <v>2598</v>
      </c>
      <c r="D94" s="3115" t="s">
        <v>2599</v>
      </c>
      <c r="E94" s="3115" t="s">
        <v>2600</v>
      </c>
      <c r="F94" s="3115" t="s">
        <v>2601</v>
      </c>
      <c r="G94" s="3115" t="s">
        <v>2602</v>
      </c>
      <c r="H94" s="3116" t="s">
        <v>2603</v>
      </c>
      <c r="I94" s="3116" t="s">
        <v>2604</v>
      </c>
      <c r="J94" s="3117" t="s">
        <v>2605</v>
      </c>
      <c r="K94" s="3117" t="s">
        <v>2606</v>
      </c>
      <c r="L94" s="3117" t="s">
        <v>2607</v>
      </c>
      <c r="M94" s="3118" t="s">
        <v>2608</v>
      </c>
      <c r="N94" s="750">
        <f>SUMPRODUCT((A95:A184=ROUNDDOWN(基准地价修正!G3,1))*(B94:M94=基准地价修正!G2)*(B95:M184))</f>
        <v>0</v>
      </c>
      <c r="Q94" s="3128" t="s">
        <v>2806</v>
      </c>
      <c r="R94" s="3128" t="s">
        <v>2807</v>
      </c>
      <c r="S94" s="3128" t="s">
        <v>2808</v>
      </c>
      <c r="T94" s="3128" t="s">
        <v>2809</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5.6">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9"/>
    </row>
    <row r="104" spans="1:14" ht="15.6">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9"/>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6.2" thickBot="1">
      <c r="A185" s="3113" t="s">
        <v>2803</v>
      </c>
      <c r="B185" s="3113"/>
      <c r="C185" s="3113"/>
      <c r="D185" s="3113"/>
      <c r="E185" s="3113"/>
      <c r="F185" s="3113"/>
      <c r="G185" s="3113"/>
      <c r="H185" s="3113"/>
      <c r="I185" s="3113"/>
      <c r="J185" s="3113"/>
      <c r="K185" s="3113"/>
      <c r="L185" s="3113"/>
      <c r="M185" s="3113"/>
    </row>
    <row r="186" spans="1:20">
      <c r="A186" s="3114" t="s">
        <v>2801</v>
      </c>
      <c r="B186" s="3115" t="s">
        <v>2597</v>
      </c>
      <c r="C186" s="3115" t="s">
        <v>2598</v>
      </c>
      <c r="D186" s="3115" t="s">
        <v>2599</v>
      </c>
      <c r="E186" s="3115" t="s">
        <v>2600</v>
      </c>
      <c r="F186" s="3115" t="s">
        <v>2601</v>
      </c>
      <c r="G186" s="3115" t="s">
        <v>2602</v>
      </c>
      <c r="H186" s="3116" t="s">
        <v>2603</v>
      </c>
      <c r="I186" s="3116" t="s">
        <v>2604</v>
      </c>
      <c r="J186" s="3117" t="s">
        <v>2605</v>
      </c>
      <c r="K186" s="3117" t="s">
        <v>2606</v>
      </c>
      <c r="L186" s="3117" t="s">
        <v>2607</v>
      </c>
      <c r="M186" s="3118" t="s">
        <v>2608</v>
      </c>
      <c r="Q186" s="3128" t="s">
        <v>2806</v>
      </c>
      <c r="R186" s="3128" t="s">
        <v>2807</v>
      </c>
      <c r="S186" s="3128" t="s">
        <v>2808</v>
      </c>
      <c r="T186" s="3128" t="s">
        <v>2809</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6.2" thickBot="1">
      <c r="A277" s="3113" t="s">
        <v>2804</v>
      </c>
      <c r="B277" s="3113"/>
      <c r="C277" s="3113"/>
      <c r="D277" s="3113"/>
      <c r="E277" s="3113"/>
      <c r="F277" s="3113"/>
      <c r="G277" s="3113"/>
      <c r="H277" s="3113"/>
      <c r="I277" s="3113"/>
      <c r="J277" s="3113"/>
      <c r="K277" s="3113"/>
      <c r="L277" s="3113"/>
      <c r="M277" s="3113"/>
    </row>
    <row r="278" spans="1:21">
      <c r="A278" s="3114" t="s">
        <v>2801</v>
      </c>
      <c r="B278" s="3115" t="s">
        <v>2597</v>
      </c>
      <c r="C278" s="3115" t="s">
        <v>2598</v>
      </c>
      <c r="D278" s="3115" t="s">
        <v>2599</v>
      </c>
      <c r="E278" s="3115" t="s">
        <v>2600</v>
      </c>
      <c r="F278" s="3115" t="s">
        <v>2601</v>
      </c>
      <c r="G278" s="3115" t="s">
        <v>2602</v>
      </c>
      <c r="H278" s="3116" t="s">
        <v>2603</v>
      </c>
      <c r="I278" s="3116" t="s">
        <v>2604</v>
      </c>
      <c r="J278" s="3117" t="s">
        <v>2605</v>
      </c>
      <c r="K278" s="3117" t="s">
        <v>2606</v>
      </c>
      <c r="L278" s="3117" t="s">
        <v>2607</v>
      </c>
      <c r="M278" s="3118" t="s">
        <v>2608</v>
      </c>
      <c r="Q278" s="3128" t="s">
        <v>2806</v>
      </c>
      <c r="R278" s="3128" t="s">
        <v>2807</v>
      </c>
      <c r="S278" s="3128" t="s">
        <v>2810</v>
      </c>
      <c r="T278" s="3128" t="s">
        <v>2811</v>
      </c>
      <c r="U278" s="3128" t="s">
        <v>2809</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6.2" thickBot="1">
      <c r="A369" s="3113" t="s">
        <v>2805</v>
      </c>
      <c r="B369" s="3126"/>
      <c r="C369" s="3126"/>
      <c r="D369" s="3126"/>
      <c r="E369" s="3126"/>
      <c r="F369" s="3126"/>
      <c r="G369" s="3126"/>
      <c r="H369" s="3126"/>
      <c r="I369" s="3126"/>
      <c r="J369" s="3126"/>
      <c r="K369" s="3126"/>
      <c r="L369" s="3126"/>
      <c r="M369" s="3126"/>
    </row>
    <row r="370" spans="1:20">
      <c r="A370" s="3114" t="s">
        <v>2801</v>
      </c>
      <c r="B370" s="3115" t="s">
        <v>2597</v>
      </c>
      <c r="C370" s="3115" t="s">
        <v>2598</v>
      </c>
      <c r="D370" s="3115" t="s">
        <v>2599</v>
      </c>
      <c r="E370" s="3115" t="s">
        <v>2600</v>
      </c>
      <c r="F370" s="3115" t="s">
        <v>2601</v>
      </c>
      <c r="G370" s="3115" t="s">
        <v>2602</v>
      </c>
      <c r="H370" s="3116" t="s">
        <v>2603</v>
      </c>
      <c r="I370" s="3116" t="s">
        <v>2604</v>
      </c>
      <c r="J370" s="3117" t="s">
        <v>2605</v>
      </c>
      <c r="K370" s="3117" t="s">
        <v>2606</v>
      </c>
      <c r="L370" s="3117" t="s">
        <v>2607</v>
      </c>
      <c r="M370" s="3118" t="s">
        <v>2608</v>
      </c>
      <c r="N370" s="750">
        <f>SUMPRODUCT((A371:A460=ROUNDDOWN(基准地价修正!G3,1))*(B370:M370=基准地价修正!G2)*(B371:M460))</f>
        <v>0</v>
      </c>
      <c r="Q370" s="3128" t="s">
        <v>2806</v>
      </c>
      <c r="R370" s="3128" t="s">
        <v>2807</v>
      </c>
      <c r="S370" s="3128" t="s">
        <v>2808</v>
      </c>
      <c r="T370" s="3128" t="s">
        <v>2809</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8" thickBot="1">
      <c r="A4" s="1492"/>
      <c r="B4" s="3454" t="s">
        <v>917</v>
      </c>
      <c r="C4" s="3454"/>
      <c r="D4" s="3454"/>
      <c r="E4" s="1492"/>
    </row>
    <row r="5" spans="1:5" ht="16.2" thickTop="1">
      <c r="A5" s="1490"/>
      <c r="B5" s="3452" t="s">
        <v>909</v>
      </c>
      <c r="C5" s="1493" t="s">
        <v>910</v>
      </c>
      <c r="D5" s="850" t="e">
        <f ca="1">结果表!H101</f>
        <v>#REF!</v>
      </c>
      <c r="E5" s="1490"/>
    </row>
    <row r="6" spans="1:5" ht="15.6">
      <c r="A6" s="1490"/>
      <c r="B6" s="3452"/>
      <c r="C6" s="1493" t="s">
        <v>911</v>
      </c>
      <c r="D6" s="850" t="e">
        <f ca="1">NUMBERSTRING(INT(D5*10000),2)&amp;"元整"</f>
        <v>#REF!</v>
      </c>
      <c r="E6" s="1490"/>
    </row>
    <row r="7" spans="1:5" ht="15.6">
      <c r="A7" s="1490"/>
      <c r="B7" s="3457"/>
      <c r="C7" s="1494" t="s">
        <v>912</v>
      </c>
      <c r="D7" s="851" t="e">
        <f ca="1">结果表!H102</f>
        <v>#REF!</v>
      </c>
      <c r="E7" s="1490"/>
    </row>
    <row r="8" spans="1:5" ht="15.6">
      <c r="A8" s="1490"/>
      <c r="B8" s="3458" t="str">
        <f>结果表!E103</f>
        <v>2.估价师知悉的法定优先受偿款</v>
      </c>
      <c r="C8" s="1495" t="s">
        <v>913</v>
      </c>
      <c r="D8" s="851">
        <f>结果表!H103</f>
        <v>0</v>
      </c>
      <c r="E8" s="1490"/>
    </row>
    <row r="9" spans="1:5" ht="15.6">
      <c r="A9" s="1490"/>
      <c r="B9" s="3460"/>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51" t="str">
        <f>结果表!E107</f>
        <v>3.房地产抵押价值</v>
      </c>
      <c r="C13" s="1498" t="s">
        <v>910</v>
      </c>
      <c r="D13" s="853" t="e">
        <f ca="1">结果表!H107</f>
        <v>#REF!</v>
      </c>
      <c r="E13" s="1490"/>
    </row>
    <row r="14" spans="1:5" ht="15.6">
      <c r="A14" s="1490"/>
      <c r="B14" s="3452"/>
      <c r="C14" s="1493" t="s">
        <v>911</v>
      </c>
      <c r="D14" s="850" t="e">
        <f ca="1">NUMBERSTRING(INT(D13*10000),2)&amp;"元整"</f>
        <v>#REF!</v>
      </c>
      <c r="E14" s="1490"/>
    </row>
    <row r="15" spans="1:5" ht="15.6">
      <c r="A15" s="1490"/>
      <c r="B15" s="3457"/>
      <c r="C15" s="1494" t="s">
        <v>921</v>
      </c>
      <c r="D15" s="859" t="e">
        <f ca="1">结果表!H108</f>
        <v>#REF!</v>
      </c>
      <c r="E15" s="1490"/>
    </row>
    <row r="16" spans="1:5" ht="15.6">
      <c r="A16" s="1490"/>
      <c r="B16" s="3458" t="str">
        <f>结果表!E109</f>
        <v>——</v>
      </c>
      <c r="C16" s="1498" t="s">
        <v>922</v>
      </c>
      <c r="D16" s="1499" t="str">
        <f>结果表!H109</f>
        <v>——</v>
      </c>
      <c r="E16" s="1490"/>
    </row>
    <row r="17" spans="1:5" ht="15.6">
      <c r="A17" s="1490"/>
      <c r="B17" s="3459"/>
      <c r="C17" s="1493" t="s">
        <v>923</v>
      </c>
      <c r="D17" s="850" t="e">
        <f>NUMBERSTRING(INT(D16*10000),2)&amp;"元整"</f>
        <v>#VALUE!</v>
      </c>
      <c r="E17" s="1490"/>
    </row>
    <row r="18" spans="1:5" ht="15.6">
      <c r="A18" s="1490"/>
      <c r="B18" s="3460"/>
      <c r="C18" s="1494" t="s">
        <v>912</v>
      </c>
      <c r="D18" s="859" t="str">
        <f>结果表!H110</f>
        <v>——</v>
      </c>
      <c r="E18" s="1490"/>
    </row>
    <row r="19" spans="1:5" ht="15.6">
      <c r="A19" s="1490"/>
      <c r="B19" s="3451" t="str">
        <f>结果表!E111</f>
        <v>——</v>
      </c>
      <c r="C19" s="1498" t="s">
        <v>910</v>
      </c>
      <c r="D19" s="851" t="str">
        <f>结果表!H111</f>
        <v>——</v>
      </c>
      <c r="E19" s="1490"/>
    </row>
    <row r="20" spans="1:5" ht="15.6">
      <c r="A20" s="1490"/>
      <c r="B20" s="3452"/>
      <c r="C20" s="1493" t="s">
        <v>923</v>
      </c>
      <c r="D20" s="850" t="e">
        <f>NUMBERSTRING(INT(D19*10000),2)&amp;"元整"</f>
        <v>#VALUE!</v>
      </c>
      <c r="E20" s="1490"/>
    </row>
    <row r="21" spans="1:5" ht="16.2" thickBot="1">
      <c r="A21" s="1490"/>
      <c r="B21" s="3453"/>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2" customWidth="1"/>
    <col min="2" max="2" width="18.6640625" style="3212" customWidth="1"/>
    <col min="3" max="6" width="10.21875" style="3212" customWidth="1"/>
    <col min="7" max="7" width="10.44140625" style="3212" bestFit="1" customWidth="1"/>
    <col min="8" max="8" width="8.88671875" style="3208"/>
    <col min="9" max="9" width="13.33203125" style="3208" customWidth="1"/>
    <col min="10" max="13" width="13.33203125" style="3212" customWidth="1"/>
    <col min="14" max="14" width="18.21875" style="3212" customWidth="1"/>
    <col min="15" max="17" width="15.109375" style="3212" customWidth="1"/>
    <col min="18" max="20" width="11.44140625" style="3212" customWidth="1"/>
    <col min="21" max="16384" width="8.88671875" style="3212"/>
  </cols>
  <sheetData>
    <row r="1" spans="1:20" ht="11.4" thickBot="1">
      <c r="A1" s="3771" t="s">
        <v>2841</v>
      </c>
      <c r="B1" s="3771"/>
      <c r="C1" s="3771"/>
      <c r="D1" s="3771"/>
      <c r="E1" s="3771"/>
      <c r="F1" s="3771"/>
      <c r="G1" s="3772"/>
      <c r="I1" s="3209" t="s">
        <v>2842</v>
      </c>
      <c r="J1" s="3210" t="s">
        <v>2843</v>
      </c>
      <c r="K1" s="3210" t="s">
        <v>2844</v>
      </c>
      <c r="L1" s="3210" t="s">
        <v>2845</v>
      </c>
      <c r="M1" s="3210" t="s">
        <v>2846</v>
      </c>
      <c r="N1" s="3210" t="s">
        <v>2847</v>
      </c>
      <c r="O1" s="3210" t="s">
        <v>2848</v>
      </c>
      <c r="P1" s="3210" t="s">
        <v>2849</v>
      </c>
      <c r="Q1" s="3210" t="s">
        <v>2850</v>
      </c>
      <c r="R1" s="3210" t="s">
        <v>2851</v>
      </c>
      <c r="S1" s="3210" t="s">
        <v>2852</v>
      </c>
      <c r="T1" s="3211" t="s">
        <v>2853</v>
      </c>
    </row>
    <row r="2" spans="1:20" ht="11.4" thickBot="1">
      <c r="A2" s="3213" t="s">
        <v>2854</v>
      </c>
      <c r="B2" s="3213"/>
      <c r="C2" s="3213"/>
      <c r="D2" s="3213"/>
      <c r="E2" s="3213"/>
      <c r="F2" s="3213"/>
      <c r="G2" s="3214" t="s">
        <v>2855</v>
      </c>
      <c r="I2" s="3215" t="s">
        <v>2856</v>
      </c>
      <c r="J2" s="3215" t="s">
        <v>2857</v>
      </c>
      <c r="K2" s="3215" t="s">
        <v>2858</v>
      </c>
      <c r="L2" s="3215" t="s">
        <v>2859</v>
      </c>
      <c r="M2" s="3215" t="s">
        <v>2860</v>
      </c>
      <c r="N2" s="3215" t="s">
        <v>2861</v>
      </c>
      <c r="O2" s="3215" t="s">
        <v>2862</v>
      </c>
      <c r="P2" s="3215" t="s">
        <v>2863</v>
      </c>
      <c r="Q2" s="3215" t="s">
        <v>2864</v>
      </c>
      <c r="R2" s="3215" t="s">
        <v>2865</v>
      </c>
      <c r="S2" s="3215" t="s">
        <v>2866</v>
      </c>
      <c r="T2" s="3215" t="s">
        <v>2867</v>
      </c>
    </row>
    <row r="3" spans="1:20" s="3221" customFormat="1">
      <c r="A3" s="3769" t="s">
        <v>2868</v>
      </c>
      <c r="B3" s="3216"/>
      <c r="C3" s="3217" t="s">
        <v>2813</v>
      </c>
      <c r="D3" s="3217" t="s">
        <v>2869</v>
      </c>
      <c r="E3" s="3217" t="s">
        <v>2815</v>
      </c>
      <c r="F3" s="3217" t="s">
        <v>2870</v>
      </c>
      <c r="G3" s="3217" t="s">
        <v>2633</v>
      </c>
      <c r="H3" s="3218"/>
      <c r="I3" s="3219" t="s">
        <v>2871</v>
      </c>
      <c r="J3" s="3220" t="s">
        <v>128</v>
      </c>
      <c r="K3" s="3220" t="s">
        <v>129</v>
      </c>
      <c r="L3" s="3219" t="s">
        <v>130</v>
      </c>
      <c r="M3" s="3219" t="s">
        <v>131</v>
      </c>
      <c r="N3" s="3219" t="s">
        <v>132</v>
      </c>
      <c r="O3" s="3219" t="s">
        <v>133</v>
      </c>
      <c r="P3" s="3219" t="s">
        <v>134</v>
      </c>
      <c r="Q3" s="3219" t="s">
        <v>135</v>
      </c>
      <c r="R3" s="3219" t="s">
        <v>136</v>
      </c>
      <c r="S3" s="3219" t="s">
        <v>2872</v>
      </c>
      <c r="T3" s="3219" t="s">
        <v>2873</v>
      </c>
    </row>
    <row r="4" spans="1:20" s="3221" customFormat="1" ht="11.4" thickBot="1">
      <c r="A4" s="3770"/>
      <c r="B4" s="3222" t="s">
        <v>2874</v>
      </c>
      <c r="C4" s="3222" t="s">
        <v>2875</v>
      </c>
      <c r="D4" s="3222" t="s">
        <v>2875</v>
      </c>
      <c r="E4" s="3222" t="s">
        <v>2875</v>
      </c>
      <c r="F4" s="3223" t="s">
        <v>2875</v>
      </c>
      <c r="G4" s="3223" t="s">
        <v>2875</v>
      </c>
      <c r="H4" s="3218"/>
      <c r="I4" s="3220" t="s">
        <v>137</v>
      </c>
      <c r="J4" s="3220" t="s">
        <v>111</v>
      </c>
      <c r="K4" s="3220" t="s">
        <v>138</v>
      </c>
      <c r="L4" s="3219" t="s">
        <v>139</v>
      </c>
      <c r="M4" s="3219" t="s">
        <v>140</v>
      </c>
      <c r="N4" s="3219" t="s">
        <v>141</v>
      </c>
      <c r="O4" s="3219" t="s">
        <v>142</v>
      </c>
      <c r="P4" s="3219" t="s">
        <v>143</v>
      </c>
      <c r="Q4" s="3219" t="s">
        <v>2876</v>
      </c>
      <c r="R4" s="3219" t="s">
        <v>2877</v>
      </c>
      <c r="S4" s="3219" t="s">
        <v>2878</v>
      </c>
      <c r="T4" s="3219" t="s">
        <v>2879</v>
      </c>
    </row>
    <row r="5" spans="1:20">
      <c r="A5" s="3224" t="s">
        <v>2842</v>
      </c>
      <c r="B5" s="3215" t="s">
        <v>2856</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2880</v>
      </c>
      <c r="R5" s="3219" t="s">
        <v>2881</v>
      </c>
      <c r="S5" s="3219" t="s">
        <v>153</v>
      </c>
      <c r="T5" s="3219" t="s">
        <v>2882</v>
      </c>
    </row>
    <row r="6" spans="1:20" ht="11.4" thickBot="1">
      <c r="A6" s="3219" t="s">
        <v>144</v>
      </c>
      <c r="B6" s="3219" t="s">
        <v>2871</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2883</v>
      </c>
      <c r="Q6" s="3219" t="s">
        <v>2884</v>
      </c>
      <c r="R6" s="3219" t="s">
        <v>161</v>
      </c>
      <c r="S6" s="3219" t="s">
        <v>2885</v>
      </c>
      <c r="T6" s="3219" t="s">
        <v>2886</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2887</v>
      </c>
      <c r="Q7" s="3219" t="s">
        <v>2888</v>
      </c>
      <c r="R7" s="3219" t="s">
        <v>2889</v>
      </c>
      <c r="S7" s="3219" t="s">
        <v>2890</v>
      </c>
      <c r="T7" s="3219" t="s">
        <v>2891</v>
      </c>
    </row>
    <row r="8" spans="1:20" ht="11.4"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2892</v>
      </c>
      <c r="Q8" s="3219" t="s">
        <v>174</v>
      </c>
      <c r="R8" s="3219" t="s">
        <v>2893</v>
      </c>
      <c r="S8" s="3219" t="s">
        <v>2894</v>
      </c>
      <c r="T8" s="3226" t="s">
        <v>2895</v>
      </c>
    </row>
    <row r="9" spans="1:20" ht="11.4"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2896</v>
      </c>
      <c r="Q9" s="3219" t="s">
        <v>182</v>
      </c>
      <c r="R9" s="3219" t="s">
        <v>183</v>
      </c>
      <c r="S9" s="3219" t="s">
        <v>200</v>
      </c>
    </row>
    <row r="10" spans="1:20">
      <c r="A10" s="3224" t="s">
        <v>184</v>
      </c>
      <c r="B10" s="3215" t="s">
        <v>2857</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2897</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2898</v>
      </c>
      <c r="P11" s="3219" t="s">
        <v>191</v>
      </c>
      <c r="Q11" s="3219" t="s">
        <v>199</v>
      </c>
      <c r="R11" s="3219" t="s">
        <v>2899</v>
      </c>
      <c r="S11" s="3219" t="s">
        <v>2900</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2901</v>
      </c>
      <c r="P12" s="3219" t="s">
        <v>2902</v>
      </c>
      <c r="Q12" s="3219" t="s">
        <v>2903</v>
      </c>
      <c r="R12" s="3219" t="s">
        <v>2904</v>
      </c>
      <c r="S12" s="3219" t="s">
        <v>2905</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2906</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2907</v>
      </c>
      <c r="K14" s="3220" t="s">
        <v>215</v>
      </c>
      <c r="L14" s="3219" t="s">
        <v>216</v>
      </c>
      <c r="M14" s="3219" t="s">
        <v>217</v>
      </c>
      <c r="N14" s="3219" t="s">
        <v>218</v>
      </c>
      <c r="O14" s="3219" t="s">
        <v>240</v>
      </c>
      <c r="P14" s="3219" t="s">
        <v>213</v>
      </c>
      <c r="Q14" s="3219" t="s">
        <v>2908</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2909</v>
      </c>
      <c r="P15" s="3219" t="s">
        <v>2910</v>
      </c>
      <c r="Q15" s="3219" t="s">
        <v>242</v>
      </c>
      <c r="R15" s="3219" t="s">
        <v>2911</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2912</v>
      </c>
      <c r="P16" s="3219" t="s">
        <v>227</v>
      </c>
      <c r="Q16" s="3219" t="s">
        <v>250</v>
      </c>
      <c r="R16" s="3219" t="s">
        <v>207</v>
      </c>
      <c r="S16" s="3219" t="s">
        <v>2913</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2914</v>
      </c>
      <c r="P17" s="3219" t="s">
        <v>2915</v>
      </c>
      <c r="Q17" s="3219" t="s">
        <v>256</v>
      </c>
      <c r="R17" s="3219" t="s">
        <v>2916</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2917</v>
      </c>
      <c r="P18" s="3219" t="s">
        <v>241</v>
      </c>
      <c r="Q18" s="3219" t="s">
        <v>2918</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2919</v>
      </c>
      <c r="P19" s="3219" t="s">
        <v>249</v>
      </c>
      <c r="Q19" s="3219" t="s">
        <v>2920</v>
      </c>
      <c r="R19" s="3219" t="s">
        <v>265</v>
      </c>
      <c r="S19" s="3219" t="s">
        <v>2921</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2922</v>
      </c>
      <c r="P20" s="3219" t="s">
        <v>2923</v>
      </c>
      <c r="Q20" s="3219" t="s">
        <v>290</v>
      </c>
      <c r="R20" s="3219" t="s">
        <v>2924</v>
      </c>
      <c r="S20" s="3219" t="s">
        <v>277</v>
      </c>
    </row>
    <row r="21" spans="1:19" ht="14.25" customHeight="1" thickBot="1">
      <c r="A21" s="3219" t="s">
        <v>184</v>
      </c>
      <c r="B21" s="3220" t="s">
        <v>208</v>
      </c>
      <c r="C21" s="3219">
        <v>32370</v>
      </c>
      <c r="D21" s="3219">
        <v>26730</v>
      </c>
      <c r="E21" s="3219">
        <v>26640</v>
      </c>
      <c r="F21" s="3219"/>
      <c r="G21" s="3219">
        <v>19440</v>
      </c>
      <c r="J21" s="3226" t="s">
        <v>2925</v>
      </c>
      <c r="K21" s="3220" t="s">
        <v>267</v>
      </c>
      <c r="L21" s="3219" t="s">
        <v>268</v>
      </c>
      <c r="M21" s="3219" t="s">
        <v>269</v>
      </c>
      <c r="N21" s="3219" t="s">
        <v>270</v>
      </c>
      <c r="O21" s="3219" t="s">
        <v>264</v>
      </c>
      <c r="P21" s="3219" t="s">
        <v>283</v>
      </c>
      <c r="Q21" s="3219" t="s">
        <v>293</v>
      </c>
      <c r="R21" s="3219" t="s">
        <v>2926</v>
      </c>
      <c r="S21" s="3226" t="s">
        <v>2927</v>
      </c>
    </row>
    <row r="22" spans="1:19" ht="14.25" customHeight="1">
      <c r="A22" s="3219" t="s">
        <v>184</v>
      </c>
      <c r="B22" s="3220" t="s">
        <v>2907</v>
      </c>
      <c r="C22" s="3219">
        <v>29830</v>
      </c>
      <c r="D22" s="3219">
        <v>27600</v>
      </c>
      <c r="E22" s="3219">
        <v>28150</v>
      </c>
      <c r="F22" s="3219"/>
      <c r="G22" s="3219">
        <v>20080</v>
      </c>
      <c r="K22" s="3220" t="s">
        <v>2928</v>
      </c>
      <c r="L22" s="3219" t="s">
        <v>272</v>
      </c>
      <c r="M22" s="3219" t="s">
        <v>273</v>
      </c>
      <c r="N22" s="3219" t="s">
        <v>274</v>
      </c>
      <c r="O22" s="3219" t="s">
        <v>2929</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2930</v>
      </c>
      <c r="L23" s="3219" t="s">
        <v>278</v>
      </c>
      <c r="M23" s="3219" t="s">
        <v>279</v>
      </c>
      <c r="N23" s="3219" t="s">
        <v>2931</v>
      </c>
      <c r="O23" s="3219" t="s">
        <v>2932</v>
      </c>
      <c r="P23" s="3219" t="s">
        <v>289</v>
      </c>
      <c r="Q23" s="3219" t="s">
        <v>298</v>
      </c>
      <c r="R23" s="3219" t="s">
        <v>2933</v>
      </c>
    </row>
    <row r="24" spans="1:19" ht="14.25" customHeight="1">
      <c r="A24" s="3219" t="s">
        <v>184</v>
      </c>
      <c r="B24" s="3220" t="s">
        <v>230</v>
      </c>
      <c r="C24" s="3219">
        <v>27930</v>
      </c>
      <c r="D24" s="3219">
        <v>32260</v>
      </c>
      <c r="E24" s="3219">
        <v>32120</v>
      </c>
      <c r="F24" s="3219"/>
      <c r="G24" s="3219">
        <v>23470</v>
      </c>
      <c r="K24" s="3220" t="s">
        <v>2934</v>
      </c>
      <c r="L24" s="3219" t="s">
        <v>281</v>
      </c>
      <c r="M24" s="3219" t="s">
        <v>282</v>
      </c>
      <c r="N24" s="3219" t="s">
        <v>2935</v>
      </c>
      <c r="O24" s="3219" t="s">
        <v>285</v>
      </c>
      <c r="P24" s="3219" t="s">
        <v>2936</v>
      </c>
      <c r="Q24" s="3228" t="s">
        <v>2937</v>
      </c>
      <c r="R24" s="3219" t="s">
        <v>2938</v>
      </c>
    </row>
    <row r="25" spans="1:19" ht="14.25" customHeight="1">
      <c r="A25" s="3219" t="s">
        <v>184</v>
      </c>
      <c r="B25" s="3220" t="s">
        <v>235</v>
      </c>
      <c r="C25" s="3219">
        <v>32230</v>
      </c>
      <c r="D25" s="3219">
        <v>29640</v>
      </c>
      <c r="E25" s="3219">
        <v>29510</v>
      </c>
      <c r="F25" s="3219"/>
      <c r="G25" s="3219">
        <v>21560</v>
      </c>
      <c r="K25" s="3220" t="s">
        <v>2939</v>
      </c>
      <c r="L25" s="3219" t="s">
        <v>2940</v>
      </c>
      <c r="M25" s="3219" t="s">
        <v>284</v>
      </c>
      <c r="N25" s="3219" t="s">
        <v>292</v>
      </c>
      <c r="O25" s="3219" t="s">
        <v>288</v>
      </c>
      <c r="P25" s="3219" t="s">
        <v>275</v>
      </c>
      <c r="Q25" s="3228" t="s">
        <v>271</v>
      </c>
      <c r="R25" s="3219" t="s">
        <v>2941</v>
      </c>
    </row>
    <row r="26" spans="1:19" ht="14.25" customHeight="1" thickBot="1">
      <c r="A26" s="3219" t="s">
        <v>184</v>
      </c>
      <c r="B26" s="3220" t="s">
        <v>244</v>
      </c>
      <c r="C26" s="3219">
        <v>31690</v>
      </c>
      <c r="D26" s="3219">
        <v>27650</v>
      </c>
      <c r="E26" s="3219">
        <v>28200</v>
      </c>
      <c r="F26" s="3219"/>
      <c r="G26" s="3219">
        <v>20110</v>
      </c>
      <c r="K26" s="3225" t="s">
        <v>2942</v>
      </c>
      <c r="L26" s="3219" t="s">
        <v>2943</v>
      </c>
      <c r="M26" s="3219" t="s">
        <v>287</v>
      </c>
      <c r="N26" s="3219" t="s">
        <v>294</v>
      </c>
      <c r="O26" s="3219" t="s">
        <v>2944</v>
      </c>
      <c r="P26" s="3219" t="s">
        <v>2945</v>
      </c>
      <c r="Q26" s="3228" t="s">
        <v>276</v>
      </c>
      <c r="R26" s="3219" t="s">
        <v>2946</v>
      </c>
    </row>
    <row r="27" spans="1:19" ht="14.25" customHeight="1">
      <c r="A27" s="3219" t="s">
        <v>184</v>
      </c>
      <c r="B27" s="3220" t="s">
        <v>251</v>
      </c>
      <c r="C27" s="3219">
        <v>29610</v>
      </c>
      <c r="D27" s="3219">
        <v>27770</v>
      </c>
      <c r="E27" s="3219">
        <v>28300</v>
      </c>
      <c r="F27" s="3219"/>
      <c r="G27" s="3219">
        <v>20210</v>
      </c>
      <c r="L27" s="3219" t="s">
        <v>2947</v>
      </c>
      <c r="M27" s="3219" t="s">
        <v>291</v>
      </c>
      <c r="N27" s="3219" t="s">
        <v>297</v>
      </c>
      <c r="O27" s="3219" t="s">
        <v>2948</v>
      </c>
      <c r="P27" s="3219" t="s">
        <v>2949</v>
      </c>
      <c r="Q27" s="3219" t="s">
        <v>2950</v>
      </c>
      <c r="R27" s="3219" t="s">
        <v>2951</v>
      </c>
    </row>
    <row r="28" spans="1:19" ht="14.25" customHeight="1">
      <c r="A28" s="3219" t="s">
        <v>184</v>
      </c>
      <c r="B28" s="3220" t="s">
        <v>259</v>
      </c>
      <c r="C28" s="3219"/>
      <c r="D28" s="3219">
        <v>31520</v>
      </c>
      <c r="E28" s="3219">
        <v>31410</v>
      </c>
      <c r="F28" s="3219"/>
      <c r="G28" s="3219">
        <v>22940</v>
      </c>
      <c r="L28" s="3219" t="s">
        <v>2952</v>
      </c>
      <c r="M28" s="3219" t="s">
        <v>2953</v>
      </c>
      <c r="N28" s="3219" t="s">
        <v>2954</v>
      </c>
      <c r="O28" s="3219" t="s">
        <v>2955</v>
      </c>
      <c r="P28" s="3219" t="s">
        <v>2956</v>
      </c>
      <c r="Q28" s="3219" t="s">
        <v>2957</v>
      </c>
      <c r="R28" s="3219" t="s">
        <v>2958</v>
      </c>
    </row>
    <row r="29" spans="1:19" ht="14.25" customHeight="1" thickBot="1">
      <c r="A29" s="3227" t="s">
        <v>184</v>
      </c>
      <c r="B29" s="3229" t="s">
        <v>2925</v>
      </c>
      <c r="C29" s="3230"/>
      <c r="D29" s="3230">
        <v>29460</v>
      </c>
      <c r="E29" s="3230">
        <v>28640</v>
      </c>
      <c r="F29" s="3230"/>
      <c r="G29" s="3230">
        <v>21430</v>
      </c>
      <c r="L29" s="3219" t="s">
        <v>2959</v>
      </c>
      <c r="M29" s="3219" t="s">
        <v>2960</v>
      </c>
      <c r="N29" s="3219" t="s">
        <v>2961</v>
      </c>
      <c r="O29" s="3219" t="s">
        <v>2962</v>
      </c>
      <c r="P29" s="3219" t="s">
        <v>2963</v>
      </c>
      <c r="Q29" s="3219" t="s">
        <v>2964</v>
      </c>
      <c r="R29" s="3219" t="s">
        <v>280</v>
      </c>
    </row>
    <row r="30" spans="1:19" ht="14.25" customHeight="1">
      <c r="A30" s="3224" t="s">
        <v>296</v>
      </c>
      <c r="B30" s="3215" t="s">
        <v>2858</v>
      </c>
      <c r="C30" s="3215">
        <v>26890</v>
      </c>
      <c r="D30" s="3215">
        <v>26770</v>
      </c>
      <c r="E30" s="3215">
        <v>25700</v>
      </c>
      <c r="F30" s="3215">
        <v>8180</v>
      </c>
      <c r="G30" s="3231">
        <v>18740</v>
      </c>
      <c r="L30" s="3219" t="s">
        <v>2965</v>
      </c>
      <c r="M30" s="3219" t="s">
        <v>2966</v>
      </c>
      <c r="N30" s="3219" t="s">
        <v>2967</v>
      </c>
      <c r="O30" s="3219" t="s">
        <v>2968</v>
      </c>
      <c r="P30" s="3219" t="s">
        <v>2969</v>
      </c>
      <c r="Q30" s="3219" t="s">
        <v>2970</v>
      </c>
      <c r="R30" s="3219" t="s">
        <v>2971</v>
      </c>
    </row>
    <row r="31" spans="1:19" ht="14.25" customHeight="1">
      <c r="A31" s="3219" t="s">
        <v>296</v>
      </c>
      <c r="B31" s="3220" t="s">
        <v>129</v>
      </c>
      <c r="C31" s="3219">
        <v>24550</v>
      </c>
      <c r="D31" s="3219">
        <v>23990</v>
      </c>
      <c r="E31" s="3219">
        <v>22930</v>
      </c>
      <c r="F31" s="3219">
        <v>7470</v>
      </c>
      <c r="G31" s="3232">
        <v>16790</v>
      </c>
      <c r="L31" s="3219" t="s">
        <v>2972</v>
      </c>
      <c r="M31" s="3219" t="s">
        <v>2973</v>
      </c>
      <c r="N31" s="3219" t="s">
        <v>2974</v>
      </c>
      <c r="O31" s="3219" t="s">
        <v>2975</v>
      </c>
      <c r="P31" s="3219" t="s">
        <v>2976</v>
      </c>
      <c r="Q31" s="3219" t="s">
        <v>2977</v>
      </c>
      <c r="R31" s="3219" t="s">
        <v>2978</v>
      </c>
    </row>
    <row r="32" spans="1:19" ht="14.25" customHeight="1" thickBot="1">
      <c r="A32" s="3219" t="s">
        <v>296</v>
      </c>
      <c r="B32" s="3220" t="s">
        <v>138</v>
      </c>
      <c r="C32" s="3219">
        <v>27210</v>
      </c>
      <c r="D32" s="3219">
        <v>23240</v>
      </c>
      <c r="E32" s="3219">
        <v>23260</v>
      </c>
      <c r="F32" s="3219">
        <v>7130</v>
      </c>
      <c r="G32" s="3232">
        <v>16270</v>
      </c>
      <c r="L32" s="3219" t="s">
        <v>2979</v>
      </c>
      <c r="M32" s="3219" t="s">
        <v>2980</v>
      </c>
      <c r="N32" s="3219" t="s">
        <v>300</v>
      </c>
      <c r="O32" s="3219" t="s">
        <v>2981</v>
      </c>
      <c r="P32" s="3219" t="s">
        <v>299</v>
      </c>
      <c r="Q32" s="3219" t="s">
        <v>2982</v>
      </c>
      <c r="R32" s="3226" t="s">
        <v>2983</v>
      </c>
    </row>
    <row r="33" spans="1:17" ht="14.25" customHeight="1" thickBot="1">
      <c r="A33" s="3219" t="s">
        <v>296</v>
      </c>
      <c r="B33" s="3220" t="s">
        <v>147</v>
      </c>
      <c r="C33" s="3219">
        <v>27300</v>
      </c>
      <c r="D33" s="3219">
        <v>22980</v>
      </c>
      <c r="E33" s="3219">
        <v>24260</v>
      </c>
      <c r="F33" s="3219">
        <v>5860</v>
      </c>
      <c r="G33" s="3232">
        <v>16090</v>
      </c>
      <c r="L33" s="3226" t="s">
        <v>2984</v>
      </c>
      <c r="M33" s="3219" t="s">
        <v>2985</v>
      </c>
      <c r="N33" s="3219" t="s">
        <v>301</v>
      </c>
      <c r="O33" s="3219" t="s">
        <v>2986</v>
      </c>
      <c r="P33" s="3219" t="s">
        <v>2987</v>
      </c>
      <c r="Q33" s="3219" t="s">
        <v>2988</v>
      </c>
    </row>
    <row r="34" spans="1:17" ht="14.25" customHeight="1">
      <c r="A34" s="3219" t="s">
        <v>296</v>
      </c>
      <c r="B34" s="3220" t="s">
        <v>156</v>
      </c>
      <c r="C34" s="3219">
        <v>23090</v>
      </c>
      <c r="D34" s="3219">
        <v>23390</v>
      </c>
      <c r="E34" s="3219">
        <v>23510</v>
      </c>
      <c r="F34" s="3219">
        <v>6700</v>
      </c>
      <c r="G34" s="3232">
        <v>16370</v>
      </c>
      <c r="M34" s="3219" t="s">
        <v>2989</v>
      </c>
      <c r="N34" s="3219" t="s">
        <v>302</v>
      </c>
      <c r="O34" s="3219" t="s">
        <v>2990</v>
      </c>
      <c r="P34" s="3219" t="s">
        <v>2991</v>
      </c>
      <c r="Q34" s="3219" t="s">
        <v>2992</v>
      </c>
    </row>
    <row r="35" spans="1:17" ht="14.25" customHeight="1">
      <c r="A35" s="3219" t="s">
        <v>296</v>
      </c>
      <c r="B35" s="3220" t="s">
        <v>163</v>
      </c>
      <c r="C35" s="3219">
        <v>27270</v>
      </c>
      <c r="D35" s="3219">
        <v>24270</v>
      </c>
      <c r="E35" s="3219">
        <v>24950</v>
      </c>
      <c r="F35" s="3219">
        <v>6600</v>
      </c>
      <c r="G35" s="3232">
        <v>16990</v>
      </c>
      <c r="M35" s="3219" t="s">
        <v>2993</v>
      </c>
      <c r="N35" s="3219" t="s">
        <v>2994</v>
      </c>
      <c r="O35" s="3219" t="s">
        <v>2995</v>
      </c>
      <c r="P35" s="3219" t="s">
        <v>2996</v>
      </c>
      <c r="Q35" s="3219" t="s">
        <v>2997</v>
      </c>
    </row>
    <row r="36" spans="1:17" ht="14.25" customHeight="1">
      <c r="A36" s="3219" t="s">
        <v>296</v>
      </c>
      <c r="B36" s="3220" t="s">
        <v>169</v>
      </c>
      <c r="C36" s="3219">
        <v>23490</v>
      </c>
      <c r="D36" s="3219">
        <v>23020</v>
      </c>
      <c r="E36" s="3219">
        <v>25230</v>
      </c>
      <c r="F36" s="3219">
        <v>6780</v>
      </c>
      <c r="G36" s="3232">
        <v>16120</v>
      </c>
      <c r="M36" s="3219" t="s">
        <v>2998</v>
      </c>
      <c r="N36" s="3219" t="s">
        <v>2999</v>
      </c>
      <c r="O36" s="3219" t="s">
        <v>3000</v>
      </c>
      <c r="P36" s="3219" t="s">
        <v>3001</v>
      </c>
      <c r="Q36" s="3219" t="s">
        <v>3002</v>
      </c>
    </row>
    <row r="37" spans="1:17" ht="14.25" customHeight="1">
      <c r="A37" s="3219" t="s">
        <v>296</v>
      </c>
      <c r="B37" s="3220" t="s">
        <v>176</v>
      </c>
      <c r="C37" s="3219">
        <v>24380</v>
      </c>
      <c r="D37" s="3219">
        <v>22240</v>
      </c>
      <c r="E37" s="3219">
        <v>25980</v>
      </c>
      <c r="F37" s="3219">
        <v>8160</v>
      </c>
      <c r="G37" s="3232">
        <v>15570</v>
      </c>
      <c r="M37" s="3219" t="s">
        <v>3003</v>
      </c>
      <c r="N37" s="3219" t="s">
        <v>3004</v>
      </c>
      <c r="O37" s="3219" t="s">
        <v>3005</v>
      </c>
      <c r="P37" s="3219" t="s">
        <v>3006</v>
      </c>
      <c r="Q37" s="3219" t="s">
        <v>3007</v>
      </c>
    </row>
    <row r="38" spans="1:17" ht="14.25" customHeight="1">
      <c r="A38" s="3219" t="s">
        <v>296</v>
      </c>
      <c r="B38" s="3220" t="s">
        <v>186</v>
      </c>
      <c r="C38" s="3219">
        <v>23120</v>
      </c>
      <c r="D38" s="3219">
        <v>24630</v>
      </c>
      <c r="E38" s="3219">
        <v>25030</v>
      </c>
      <c r="F38" s="3219">
        <v>7710</v>
      </c>
      <c r="G38" s="3232">
        <v>17240</v>
      </c>
      <c r="M38" s="3219" t="s">
        <v>3008</v>
      </c>
      <c r="N38" s="3219" t="s">
        <v>3009</v>
      </c>
      <c r="O38" s="3219" t="s">
        <v>3010</v>
      </c>
      <c r="P38" s="3219" t="s">
        <v>3011</v>
      </c>
      <c r="Q38" s="3219" t="s">
        <v>3012</v>
      </c>
    </row>
    <row r="39" spans="1:17" ht="14.25" customHeight="1">
      <c r="A39" s="3219" t="s">
        <v>296</v>
      </c>
      <c r="B39" s="3220" t="s">
        <v>195</v>
      </c>
      <c r="C39" s="3219">
        <v>22330</v>
      </c>
      <c r="D39" s="3219">
        <v>21140</v>
      </c>
      <c r="E39" s="3219">
        <v>23970</v>
      </c>
      <c r="F39" s="3219">
        <v>7940</v>
      </c>
      <c r="G39" s="3232">
        <v>14790</v>
      </c>
      <c r="M39" s="3219" t="s">
        <v>3013</v>
      </c>
      <c r="N39" s="3219" t="s">
        <v>3014</v>
      </c>
      <c r="O39" s="3219" t="s">
        <v>3015</v>
      </c>
      <c r="P39" s="3219" t="s">
        <v>3016</v>
      </c>
      <c r="Q39" s="3219" t="s">
        <v>3017</v>
      </c>
    </row>
    <row r="40" spans="1:17" ht="14.25" customHeight="1">
      <c r="A40" s="3219" t="s">
        <v>296</v>
      </c>
      <c r="B40" s="3220" t="s">
        <v>202</v>
      </c>
      <c r="C40" s="3219">
        <v>24740</v>
      </c>
      <c r="D40" s="3219">
        <v>24690</v>
      </c>
      <c r="E40" s="3219">
        <v>22610</v>
      </c>
      <c r="F40" s="3219"/>
      <c r="G40" s="3232">
        <v>17280</v>
      </c>
      <c r="M40" s="3219" t="s">
        <v>3018</v>
      </c>
      <c r="N40" s="3219" t="s">
        <v>3019</v>
      </c>
      <c r="O40" s="3219" t="s">
        <v>3020</v>
      </c>
      <c r="P40" s="3219" t="s">
        <v>3021</v>
      </c>
      <c r="Q40" s="3219" t="s">
        <v>3022</v>
      </c>
    </row>
    <row r="41" spans="1:17" ht="14.25" customHeight="1" thickBot="1">
      <c r="A41" s="3219" t="s">
        <v>296</v>
      </c>
      <c r="B41" s="3220" t="s">
        <v>209</v>
      </c>
      <c r="C41" s="3219">
        <v>21220</v>
      </c>
      <c r="D41" s="3219">
        <v>21120</v>
      </c>
      <c r="E41" s="3219">
        <v>22590</v>
      </c>
      <c r="F41" s="3219"/>
      <c r="G41" s="3232">
        <v>14780</v>
      </c>
      <c r="M41" s="3226" t="s">
        <v>3023</v>
      </c>
      <c r="N41" s="3219" t="s">
        <v>3024</v>
      </c>
      <c r="O41" s="3219" t="s">
        <v>3025</v>
      </c>
      <c r="P41" s="3219" t="s">
        <v>3026</v>
      </c>
      <c r="Q41" s="3219" t="s">
        <v>3027</v>
      </c>
    </row>
    <row r="42" spans="1:17" ht="14.25" customHeight="1">
      <c r="A42" s="3219" t="s">
        <v>296</v>
      </c>
      <c r="B42" s="3220" t="s">
        <v>215</v>
      </c>
      <c r="C42" s="3219">
        <v>24800</v>
      </c>
      <c r="D42" s="3219">
        <v>22280</v>
      </c>
      <c r="E42" s="3219">
        <v>24350</v>
      </c>
      <c r="F42" s="3219"/>
      <c r="G42" s="3232">
        <v>15590</v>
      </c>
      <c r="N42" s="3219" t="s">
        <v>3028</v>
      </c>
      <c r="O42" s="3219" t="s">
        <v>3029</v>
      </c>
      <c r="P42" s="3219" t="s">
        <v>3030</v>
      </c>
      <c r="Q42" s="3219" t="s">
        <v>3031</v>
      </c>
    </row>
    <row r="43" spans="1:17" ht="14.25" customHeight="1">
      <c r="A43" s="3219" t="s">
        <v>3032</v>
      </c>
      <c r="B43" s="3220" t="s">
        <v>223</v>
      </c>
      <c r="C43" s="3219">
        <v>21210</v>
      </c>
      <c r="D43" s="3219">
        <v>21160</v>
      </c>
      <c r="E43" s="3219">
        <v>22650</v>
      </c>
      <c r="F43" s="3219"/>
      <c r="G43" s="3232">
        <v>14800</v>
      </c>
      <c r="N43" s="3219" t="s">
        <v>3033</v>
      </c>
      <c r="O43" s="3219" t="s">
        <v>3034</v>
      </c>
      <c r="P43" s="3219" t="s">
        <v>3035</v>
      </c>
      <c r="Q43" s="3219" t="s">
        <v>3036</v>
      </c>
    </row>
    <row r="44" spans="1:17" ht="14.25" customHeight="1" thickBot="1">
      <c r="A44" s="3219" t="s">
        <v>296</v>
      </c>
      <c r="B44" s="3220" t="s">
        <v>231</v>
      </c>
      <c r="C44" s="3219">
        <v>22370</v>
      </c>
      <c r="D44" s="3219">
        <v>23140</v>
      </c>
      <c r="E44" s="3219">
        <v>25090</v>
      </c>
      <c r="F44" s="3219"/>
      <c r="G44" s="3232">
        <v>16190</v>
      </c>
      <c r="N44" s="3219" t="s">
        <v>3037</v>
      </c>
      <c r="O44" s="3219" t="s">
        <v>3038</v>
      </c>
      <c r="P44" s="3226" t="s">
        <v>3039</v>
      </c>
      <c r="Q44" s="3219" t="s">
        <v>3040</v>
      </c>
    </row>
    <row r="45" spans="1:17" ht="14.25" customHeight="1" thickBot="1">
      <c r="A45" s="3219" t="s">
        <v>296</v>
      </c>
      <c r="B45" s="3220" t="s">
        <v>236</v>
      </c>
      <c r="C45" s="3219">
        <v>21240</v>
      </c>
      <c r="D45" s="3219">
        <v>27050</v>
      </c>
      <c r="E45" s="3219">
        <v>28000</v>
      </c>
      <c r="F45" s="3219"/>
      <c r="G45" s="3232">
        <v>18940</v>
      </c>
      <c r="N45" s="3219" t="s">
        <v>3041</v>
      </c>
      <c r="O45" s="3226" t="s">
        <v>3042</v>
      </c>
      <c r="Q45" s="3219" t="s">
        <v>3043</v>
      </c>
    </row>
    <row r="46" spans="1:17" ht="14.25" customHeight="1">
      <c r="A46" s="3219" t="s">
        <v>296</v>
      </c>
      <c r="B46" s="3220" t="s">
        <v>245</v>
      </c>
      <c r="C46" s="3219">
        <v>23240</v>
      </c>
      <c r="D46" s="3219">
        <v>23000</v>
      </c>
      <c r="E46" s="3219">
        <v>24980</v>
      </c>
      <c r="F46" s="3219"/>
      <c r="G46" s="3232">
        <v>16100</v>
      </c>
      <c r="N46" s="3219" t="s">
        <v>3044</v>
      </c>
      <c r="Q46" s="3219" t="s">
        <v>3045</v>
      </c>
    </row>
    <row r="47" spans="1:17" ht="14.25" customHeight="1">
      <c r="A47" s="3219" t="s">
        <v>296</v>
      </c>
      <c r="B47" s="3220" t="s">
        <v>252</v>
      </c>
      <c r="C47" s="3219">
        <v>27150</v>
      </c>
      <c r="D47" s="3219">
        <v>23310</v>
      </c>
      <c r="E47" s="3219">
        <v>25150</v>
      </c>
      <c r="F47" s="3219"/>
      <c r="G47" s="3232">
        <v>16310</v>
      </c>
      <c r="N47" s="3219" t="s">
        <v>3046</v>
      </c>
      <c r="Q47" s="3219" t="s">
        <v>3047</v>
      </c>
    </row>
    <row r="48" spans="1:17" ht="14.25" customHeight="1">
      <c r="A48" s="3219" t="s">
        <v>296</v>
      </c>
      <c r="B48" s="3220" t="s">
        <v>260</v>
      </c>
      <c r="C48" s="3219">
        <v>23100</v>
      </c>
      <c r="D48" s="3219">
        <v>21110</v>
      </c>
      <c r="E48" s="3219">
        <v>23080</v>
      </c>
      <c r="F48" s="3219"/>
      <c r="G48" s="3232">
        <v>14780</v>
      </c>
      <c r="N48" s="3219" t="s">
        <v>3048</v>
      </c>
      <c r="Q48" s="3219" t="s">
        <v>3049</v>
      </c>
    </row>
    <row r="49" spans="1:17" ht="14.25" customHeight="1">
      <c r="A49" s="3219" t="s">
        <v>296</v>
      </c>
      <c r="B49" s="3220" t="s">
        <v>267</v>
      </c>
      <c r="C49" s="3219">
        <v>23400</v>
      </c>
      <c r="D49" s="3219">
        <v>22920</v>
      </c>
      <c r="E49" s="3219">
        <v>24900</v>
      </c>
      <c r="F49" s="3219"/>
      <c r="G49" s="3232">
        <v>16040</v>
      </c>
      <c r="N49" s="3219" t="s">
        <v>3050</v>
      </c>
      <c r="Q49" s="3219" t="s">
        <v>3051</v>
      </c>
    </row>
    <row r="50" spans="1:17" ht="14.25" customHeight="1">
      <c r="A50" s="3219" t="s">
        <v>296</v>
      </c>
      <c r="B50" s="3220" t="s">
        <v>2928</v>
      </c>
      <c r="C50" s="3219">
        <v>21200</v>
      </c>
      <c r="D50" s="3219">
        <v>26540</v>
      </c>
      <c r="E50" s="3219">
        <v>23200</v>
      </c>
      <c r="F50" s="3219"/>
      <c r="G50" s="3232">
        <v>18580</v>
      </c>
      <c r="N50" s="3219" t="s">
        <v>3052</v>
      </c>
      <c r="Q50" s="3220" t="s">
        <v>3053</v>
      </c>
    </row>
    <row r="51" spans="1:17" ht="14.25" customHeight="1" thickBot="1">
      <c r="A51" s="3219" t="s">
        <v>296</v>
      </c>
      <c r="B51" s="3220" t="s">
        <v>2930</v>
      </c>
      <c r="C51" s="3219">
        <v>23000</v>
      </c>
      <c r="D51" s="3219">
        <v>23460</v>
      </c>
      <c r="E51" s="3219">
        <v>25290</v>
      </c>
      <c r="F51" s="3219"/>
      <c r="G51" s="3232">
        <v>16420</v>
      </c>
      <c r="N51" s="3219" t="s">
        <v>3054</v>
      </c>
      <c r="Q51" s="3226" t="s">
        <v>3055</v>
      </c>
    </row>
    <row r="52" spans="1:17" ht="14.25" customHeight="1">
      <c r="A52" s="3219" t="s">
        <v>296</v>
      </c>
      <c r="B52" s="3220" t="s">
        <v>2934</v>
      </c>
      <c r="C52" s="3219">
        <v>26660</v>
      </c>
      <c r="D52" s="3219">
        <v>22350</v>
      </c>
      <c r="E52" s="3219">
        <v>22920</v>
      </c>
      <c r="F52" s="3219"/>
      <c r="G52" s="3232">
        <v>15640</v>
      </c>
      <c r="N52" s="3219" t="s">
        <v>3056</v>
      </c>
    </row>
    <row r="53" spans="1:17" ht="14.25" customHeight="1">
      <c r="A53" s="3219" t="s">
        <v>296</v>
      </c>
      <c r="B53" s="3220" t="s">
        <v>2939</v>
      </c>
      <c r="C53" s="3219">
        <v>23580</v>
      </c>
      <c r="D53" s="3219"/>
      <c r="E53" s="3219">
        <v>24280</v>
      </c>
      <c r="F53" s="3219"/>
      <c r="G53" s="3232"/>
      <c r="N53" s="3219" t="s">
        <v>3057</v>
      </c>
    </row>
    <row r="54" spans="1:17" ht="14.25" customHeight="1" thickBot="1">
      <c r="A54" s="3233" t="s">
        <v>296</v>
      </c>
      <c r="B54" s="3225" t="s">
        <v>2942</v>
      </c>
      <c r="C54" s="3226">
        <v>22460</v>
      </c>
      <c r="D54" s="3226"/>
      <c r="E54" s="3226"/>
      <c r="F54" s="3226"/>
      <c r="G54" s="3234"/>
      <c r="N54" s="3219" t="s">
        <v>3058</v>
      </c>
    </row>
    <row r="55" spans="1:17" ht="14.25" customHeight="1">
      <c r="A55" s="3224" t="s">
        <v>110</v>
      </c>
      <c r="B55" s="3215" t="s">
        <v>3059</v>
      </c>
      <c r="C55" s="3219">
        <v>21970</v>
      </c>
      <c r="D55" s="3219">
        <v>20370</v>
      </c>
      <c r="E55" s="3219">
        <v>20180</v>
      </c>
      <c r="F55" s="3219">
        <v>5730</v>
      </c>
      <c r="G55" s="3219">
        <v>13820</v>
      </c>
      <c r="N55" s="3219" t="s">
        <v>3060</v>
      </c>
    </row>
    <row r="56" spans="1:17" ht="14.25" customHeight="1">
      <c r="A56" s="3219" t="s">
        <v>110</v>
      </c>
      <c r="B56" s="3219" t="s">
        <v>130</v>
      </c>
      <c r="C56" s="3219">
        <v>20470</v>
      </c>
      <c r="D56" s="3219">
        <v>20700</v>
      </c>
      <c r="E56" s="3219">
        <v>20380</v>
      </c>
      <c r="F56" s="3219">
        <v>4760</v>
      </c>
      <c r="G56" s="3219">
        <v>14050</v>
      </c>
      <c r="N56" s="3219" t="s">
        <v>3061</v>
      </c>
    </row>
    <row r="57" spans="1:17" ht="14.25" customHeight="1">
      <c r="A57" s="3219" t="s">
        <v>110</v>
      </c>
      <c r="B57" s="3219" t="s">
        <v>139</v>
      </c>
      <c r="C57" s="3219">
        <v>20790</v>
      </c>
      <c r="D57" s="3219">
        <v>21370</v>
      </c>
      <c r="E57" s="3219">
        <v>20890</v>
      </c>
      <c r="F57" s="3219">
        <v>4910</v>
      </c>
      <c r="G57" s="3219">
        <v>14510</v>
      </c>
      <c r="N57" s="3219" t="s">
        <v>3062</v>
      </c>
    </row>
    <row r="58" spans="1:17" ht="14.25" customHeight="1">
      <c r="A58" s="3219" t="s">
        <v>110</v>
      </c>
      <c r="B58" s="3219" t="s">
        <v>148</v>
      </c>
      <c r="C58" s="3219">
        <v>21460</v>
      </c>
      <c r="D58" s="3219">
        <v>20920</v>
      </c>
      <c r="E58" s="3219">
        <v>23410</v>
      </c>
      <c r="F58" s="3219">
        <v>5100</v>
      </c>
      <c r="G58" s="3219">
        <v>14200</v>
      </c>
      <c r="N58" s="3219" t="s">
        <v>3063</v>
      </c>
    </row>
    <row r="59" spans="1:17" ht="14.25" customHeight="1">
      <c r="A59" s="3219" t="s">
        <v>110</v>
      </c>
      <c r="B59" s="3219" t="s">
        <v>157</v>
      </c>
      <c r="C59" s="3219">
        <v>21000</v>
      </c>
      <c r="D59" s="3219">
        <v>21550</v>
      </c>
      <c r="E59" s="3219">
        <v>21150</v>
      </c>
      <c r="F59" s="3219">
        <v>5250</v>
      </c>
      <c r="G59" s="3219">
        <v>14630</v>
      </c>
      <c r="N59" s="3219" t="s">
        <v>3064</v>
      </c>
    </row>
    <row r="60" spans="1:17" ht="14.25" customHeight="1">
      <c r="A60" s="3219" t="s">
        <v>110</v>
      </c>
      <c r="B60" s="3219" t="s">
        <v>164</v>
      </c>
      <c r="C60" s="3219">
        <v>21640</v>
      </c>
      <c r="D60" s="3219">
        <v>21260</v>
      </c>
      <c r="E60" s="3219">
        <v>24040</v>
      </c>
      <c r="F60" s="3219">
        <v>4470</v>
      </c>
      <c r="G60" s="3219">
        <v>14430</v>
      </c>
      <c r="N60" s="3219" t="s">
        <v>3065</v>
      </c>
    </row>
    <row r="61" spans="1:17" ht="14.25" customHeight="1">
      <c r="A61" s="3219" t="s">
        <v>110</v>
      </c>
      <c r="B61" s="3219" t="s">
        <v>170</v>
      </c>
      <c r="C61" s="3219">
        <v>21330</v>
      </c>
      <c r="D61" s="3219">
        <v>18640</v>
      </c>
      <c r="E61" s="3219">
        <v>21190</v>
      </c>
      <c r="F61" s="3219">
        <v>4180</v>
      </c>
      <c r="G61" s="3219">
        <v>12650</v>
      </c>
      <c r="N61" s="3219" t="s">
        <v>3066</v>
      </c>
    </row>
    <row r="62" spans="1:17" ht="14.25" customHeight="1">
      <c r="A62" s="3219" t="s">
        <v>110</v>
      </c>
      <c r="B62" s="3219" t="s">
        <v>177</v>
      </c>
      <c r="C62" s="3219">
        <v>18710</v>
      </c>
      <c r="D62" s="3219">
        <v>19400</v>
      </c>
      <c r="E62" s="3219">
        <v>23750</v>
      </c>
      <c r="F62" s="3219">
        <v>4860</v>
      </c>
      <c r="G62" s="3219">
        <v>13170</v>
      </c>
      <c r="N62" s="3219" t="s">
        <v>3067</v>
      </c>
    </row>
    <row r="63" spans="1:17" ht="14.25" customHeight="1">
      <c r="A63" s="3219" t="s">
        <v>110</v>
      </c>
      <c r="B63" s="3219" t="s">
        <v>187</v>
      </c>
      <c r="C63" s="3219">
        <v>19480</v>
      </c>
      <c r="D63" s="3219">
        <v>16830</v>
      </c>
      <c r="E63" s="3219">
        <v>21590</v>
      </c>
      <c r="F63" s="3219">
        <v>4560</v>
      </c>
      <c r="G63" s="3219">
        <v>11420</v>
      </c>
      <c r="N63" s="3219" t="s">
        <v>3068</v>
      </c>
    </row>
    <row r="64" spans="1:17" ht="14.25" customHeight="1" thickBot="1">
      <c r="A64" s="3219" t="s">
        <v>110</v>
      </c>
      <c r="B64" s="3219" t="s">
        <v>196</v>
      </c>
      <c r="C64" s="3219">
        <v>16920</v>
      </c>
      <c r="D64" s="3219">
        <v>19190</v>
      </c>
      <c r="E64" s="3219">
        <v>22200</v>
      </c>
      <c r="F64" s="3219">
        <v>4390</v>
      </c>
      <c r="G64" s="3219">
        <v>13030</v>
      </c>
      <c r="N64" s="3226" t="s">
        <v>3069</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2940</v>
      </c>
      <c r="C78" s="3219">
        <v>19820</v>
      </c>
      <c r="D78" s="3219">
        <v>19780</v>
      </c>
      <c r="E78" s="3219">
        <v>18560</v>
      </c>
      <c r="F78" s="3219"/>
      <c r="G78" s="3219">
        <v>13430</v>
      </c>
    </row>
    <row r="79" spans="1:7" s="3208" customFormat="1" ht="14.25" customHeight="1">
      <c r="A79" s="3219" t="s">
        <v>110</v>
      </c>
      <c r="B79" s="3219" t="s">
        <v>2943</v>
      </c>
      <c r="C79" s="3219">
        <v>21660</v>
      </c>
      <c r="D79" s="3219">
        <v>18000</v>
      </c>
      <c r="E79" s="3219">
        <v>22570</v>
      </c>
      <c r="F79" s="3219"/>
      <c r="G79" s="3219">
        <v>12220</v>
      </c>
    </row>
    <row r="80" spans="1:7" s="3208" customFormat="1" ht="14.25" customHeight="1">
      <c r="A80" s="3219" t="s">
        <v>110</v>
      </c>
      <c r="B80" s="3219" t="s">
        <v>2947</v>
      </c>
      <c r="C80" s="3219">
        <v>19850</v>
      </c>
      <c r="D80" s="3219"/>
      <c r="E80" s="3219">
        <v>21700</v>
      </c>
      <c r="F80" s="3219"/>
      <c r="G80" s="3219"/>
    </row>
    <row r="81" spans="1:7" s="3208" customFormat="1" ht="14.25" customHeight="1">
      <c r="A81" s="3219" t="s">
        <v>110</v>
      </c>
      <c r="B81" s="3219" t="s">
        <v>2952</v>
      </c>
      <c r="C81" s="3219">
        <v>18080</v>
      </c>
      <c r="D81" s="3219"/>
      <c r="E81" s="3219">
        <v>20900</v>
      </c>
      <c r="F81" s="3219"/>
      <c r="G81" s="3219"/>
    </row>
    <row r="82" spans="1:7" s="3208" customFormat="1" ht="14.25" customHeight="1">
      <c r="A82" s="3219" t="s">
        <v>110</v>
      </c>
      <c r="B82" s="3219" t="s">
        <v>2959</v>
      </c>
      <c r="C82" s="3219"/>
      <c r="D82" s="3219"/>
      <c r="E82" s="3219">
        <v>20840</v>
      </c>
      <c r="F82" s="3219"/>
      <c r="G82" s="3219"/>
    </row>
    <row r="83" spans="1:7" s="3208" customFormat="1" ht="14.25" customHeight="1">
      <c r="A83" s="3219" t="s">
        <v>110</v>
      </c>
      <c r="B83" s="3219" t="s">
        <v>3070</v>
      </c>
      <c r="C83" s="3219"/>
      <c r="D83" s="3219"/>
      <c r="E83" s="3219"/>
      <c r="F83" s="3219">
        <v>4770</v>
      </c>
      <c r="G83" s="3219"/>
    </row>
    <row r="84" spans="1:7" s="3208" customFormat="1" ht="14.25" customHeight="1">
      <c r="A84" s="3219" t="s">
        <v>110</v>
      </c>
      <c r="B84" s="3219" t="s">
        <v>3071</v>
      </c>
      <c r="C84" s="3219"/>
      <c r="D84" s="3219"/>
      <c r="E84" s="3219"/>
      <c r="F84" s="3219">
        <v>4600</v>
      </c>
      <c r="G84" s="3219"/>
    </row>
    <row r="85" spans="1:7" s="3208" customFormat="1" ht="14.25" customHeight="1">
      <c r="A85" s="3219" t="s">
        <v>110</v>
      </c>
      <c r="B85" s="3219" t="s">
        <v>3072</v>
      </c>
      <c r="C85" s="3219"/>
      <c r="D85" s="3219"/>
      <c r="E85" s="3219"/>
      <c r="F85" s="3219">
        <v>4680</v>
      </c>
      <c r="G85" s="3219"/>
    </row>
    <row r="86" spans="1:7" s="3208" customFormat="1" ht="14.25" customHeight="1" thickBot="1">
      <c r="A86" s="3227" t="s">
        <v>110</v>
      </c>
      <c r="B86" s="3229" t="s">
        <v>3073</v>
      </c>
      <c r="C86" s="3230">
        <v>16610</v>
      </c>
      <c r="D86" s="3230">
        <v>16540</v>
      </c>
      <c r="E86" s="3230">
        <v>18850</v>
      </c>
      <c r="F86" s="3230"/>
      <c r="G86" s="3230">
        <v>11220</v>
      </c>
    </row>
    <row r="87" spans="1:7" s="3208" customFormat="1" ht="14.25" customHeight="1">
      <c r="A87" s="3224" t="s">
        <v>303</v>
      </c>
      <c r="B87" s="3215" t="s">
        <v>3074</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2953</v>
      </c>
      <c r="C113" s="3219">
        <v>15520</v>
      </c>
      <c r="D113" s="3219">
        <v>15450</v>
      </c>
      <c r="E113" s="3219"/>
      <c r="F113" s="3219"/>
      <c r="G113" s="3232">
        <v>10210</v>
      </c>
    </row>
    <row r="114" spans="1:7" s="3208" customFormat="1" ht="14.25" customHeight="1">
      <c r="A114" s="3219" t="s">
        <v>303</v>
      </c>
      <c r="B114" s="3219" t="s">
        <v>2960</v>
      </c>
      <c r="C114" s="3219">
        <v>13110</v>
      </c>
      <c r="D114" s="3219">
        <v>13050</v>
      </c>
      <c r="E114" s="3219"/>
      <c r="F114" s="3219"/>
      <c r="G114" s="3232">
        <v>8620</v>
      </c>
    </row>
    <row r="115" spans="1:7" s="3208" customFormat="1" ht="14.25" customHeight="1">
      <c r="A115" s="3219" t="s">
        <v>303</v>
      </c>
      <c r="B115" s="3219" t="s">
        <v>2966</v>
      </c>
      <c r="C115" s="3219">
        <v>12460</v>
      </c>
      <c r="D115" s="3219">
        <v>12390</v>
      </c>
      <c r="E115" s="3219"/>
      <c r="F115" s="3219"/>
      <c r="G115" s="3232">
        <v>8190</v>
      </c>
    </row>
    <row r="116" spans="1:7" s="3208" customFormat="1" ht="14.25" customHeight="1">
      <c r="A116" s="3219" t="s">
        <v>303</v>
      </c>
      <c r="B116" s="3219" t="s">
        <v>2973</v>
      </c>
      <c r="C116" s="3219">
        <v>13580</v>
      </c>
      <c r="D116" s="3219">
        <v>13520</v>
      </c>
      <c r="E116" s="3219"/>
      <c r="F116" s="3219"/>
      <c r="G116" s="3232">
        <v>8930</v>
      </c>
    </row>
    <row r="117" spans="1:7" s="3208" customFormat="1" ht="14.25" customHeight="1">
      <c r="A117" s="3219" t="s">
        <v>303</v>
      </c>
      <c r="B117" s="3219" t="s">
        <v>2980</v>
      </c>
      <c r="C117" s="3219">
        <v>17120</v>
      </c>
      <c r="D117" s="3219">
        <v>17040</v>
      </c>
      <c r="E117" s="3219"/>
      <c r="F117" s="3219"/>
      <c r="G117" s="3232">
        <v>11260</v>
      </c>
    </row>
    <row r="118" spans="1:7" s="3208" customFormat="1" ht="14.25" customHeight="1">
      <c r="A118" s="3219" t="s">
        <v>303</v>
      </c>
      <c r="B118" s="3219" t="s">
        <v>2985</v>
      </c>
      <c r="C118" s="3219">
        <v>14860</v>
      </c>
      <c r="D118" s="3219">
        <v>14790</v>
      </c>
      <c r="E118" s="3219"/>
      <c r="F118" s="3219"/>
      <c r="G118" s="3232">
        <v>9780</v>
      </c>
    </row>
    <row r="119" spans="1:7" s="3208" customFormat="1" ht="14.25" customHeight="1">
      <c r="A119" s="3219" t="s">
        <v>303</v>
      </c>
      <c r="B119" s="3219" t="s">
        <v>2989</v>
      </c>
      <c r="C119" s="3219">
        <v>16470</v>
      </c>
      <c r="D119" s="3219">
        <v>16400</v>
      </c>
      <c r="E119" s="3219"/>
      <c r="F119" s="3219"/>
      <c r="G119" s="3232">
        <v>10840</v>
      </c>
    </row>
    <row r="120" spans="1:7" s="3208" customFormat="1" ht="14.25" customHeight="1">
      <c r="A120" s="3219" t="s">
        <v>303</v>
      </c>
      <c r="B120" s="3219" t="s">
        <v>3075</v>
      </c>
      <c r="C120" s="3219"/>
      <c r="D120" s="3219"/>
      <c r="E120" s="3219"/>
      <c r="F120" s="3219">
        <v>4160</v>
      </c>
      <c r="G120" s="3232"/>
    </row>
    <row r="121" spans="1:7" s="3208" customFormat="1" ht="14.25" customHeight="1">
      <c r="A121" s="3219" t="s">
        <v>303</v>
      </c>
      <c r="B121" s="3219" t="s">
        <v>3076</v>
      </c>
      <c r="C121" s="3219"/>
      <c r="D121" s="3219"/>
      <c r="E121" s="3219"/>
      <c r="F121" s="3219">
        <v>3880</v>
      </c>
      <c r="G121" s="3232"/>
    </row>
    <row r="122" spans="1:7" s="3208" customFormat="1" ht="14.25" customHeight="1">
      <c r="A122" s="3219" t="s">
        <v>303</v>
      </c>
      <c r="B122" s="3219" t="s">
        <v>3077</v>
      </c>
      <c r="C122" s="3219">
        <v>13750</v>
      </c>
      <c r="D122" s="3219">
        <v>13680</v>
      </c>
      <c r="E122" s="3219">
        <v>16460</v>
      </c>
      <c r="F122" s="3219">
        <v>2880</v>
      </c>
      <c r="G122" s="3232">
        <v>9040</v>
      </c>
    </row>
    <row r="123" spans="1:7" s="3208" customFormat="1" ht="14.25" customHeight="1">
      <c r="A123" s="3219" t="s">
        <v>303</v>
      </c>
      <c r="B123" s="3219" t="s">
        <v>3008</v>
      </c>
      <c r="C123" s="3219">
        <v>13590</v>
      </c>
      <c r="D123" s="3219">
        <v>13520</v>
      </c>
      <c r="E123" s="3219">
        <v>16290</v>
      </c>
      <c r="F123" s="3219">
        <v>2790</v>
      </c>
      <c r="G123" s="3232">
        <v>8930</v>
      </c>
    </row>
    <row r="124" spans="1:7" s="3208" customFormat="1" ht="14.25" customHeight="1">
      <c r="A124" s="3219" t="s">
        <v>303</v>
      </c>
      <c r="B124" s="3219" t="s">
        <v>3013</v>
      </c>
      <c r="C124" s="3219">
        <v>13400</v>
      </c>
      <c r="D124" s="3219">
        <v>13320</v>
      </c>
      <c r="E124" s="3219">
        <v>16100</v>
      </c>
      <c r="F124" s="3219">
        <v>2320</v>
      </c>
      <c r="G124" s="3232">
        <v>8800</v>
      </c>
    </row>
    <row r="125" spans="1:7" s="3208" customFormat="1" ht="14.25" customHeight="1">
      <c r="A125" s="3219" t="s">
        <v>303</v>
      </c>
      <c r="B125" s="3219" t="s">
        <v>3018</v>
      </c>
      <c r="C125" s="3219">
        <v>12860</v>
      </c>
      <c r="D125" s="3219">
        <v>12790</v>
      </c>
      <c r="E125" s="3219">
        <v>15370</v>
      </c>
      <c r="F125" s="3219">
        <v>2280</v>
      </c>
      <c r="G125" s="3232">
        <v>8450</v>
      </c>
    </row>
    <row r="126" spans="1:7" s="3208" customFormat="1" ht="14.25" customHeight="1" thickBot="1">
      <c r="A126" s="3233" t="s">
        <v>303</v>
      </c>
      <c r="B126" s="3226" t="s">
        <v>3023</v>
      </c>
      <c r="C126" s="3226">
        <v>12960</v>
      </c>
      <c r="D126" s="3226">
        <v>12890</v>
      </c>
      <c r="E126" s="3226">
        <v>15530</v>
      </c>
      <c r="F126" s="3226">
        <v>2910</v>
      </c>
      <c r="G126" s="3234">
        <v>8520</v>
      </c>
    </row>
    <row r="127" spans="1:7" s="3208" customFormat="1" ht="14.25" customHeight="1">
      <c r="A127" s="3224" t="s">
        <v>29</v>
      </c>
      <c r="B127" s="3215" t="s">
        <v>3078</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3079</v>
      </c>
      <c r="C148" s="3219">
        <v>10370</v>
      </c>
      <c r="D148" s="3219">
        <v>10310</v>
      </c>
      <c r="E148" s="3219">
        <v>12970</v>
      </c>
      <c r="F148" s="3219"/>
      <c r="G148" s="3219">
        <v>6630</v>
      </c>
    </row>
    <row r="149" spans="1:7" s="3208" customFormat="1" ht="14.25" customHeight="1">
      <c r="A149" s="3219" t="s">
        <v>29</v>
      </c>
      <c r="B149" s="3219" t="s">
        <v>3080</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2954</v>
      </c>
      <c r="C153" s="3219">
        <v>10880</v>
      </c>
      <c r="D153" s="3219">
        <v>10820</v>
      </c>
      <c r="E153" s="3219">
        <v>13660</v>
      </c>
      <c r="F153" s="3219">
        <v>2260</v>
      </c>
      <c r="G153" s="3219">
        <v>6970</v>
      </c>
    </row>
    <row r="154" spans="1:7" s="3208" customFormat="1" ht="14.25" customHeight="1">
      <c r="A154" s="3219" t="s">
        <v>29</v>
      </c>
      <c r="B154" s="3219" t="s">
        <v>3081</v>
      </c>
      <c r="C154" s="3219">
        <v>11220</v>
      </c>
      <c r="D154" s="3219">
        <v>11160</v>
      </c>
      <c r="E154" s="3219">
        <v>14130</v>
      </c>
      <c r="F154" s="3219">
        <v>2230</v>
      </c>
      <c r="G154" s="3219">
        <v>7180</v>
      </c>
    </row>
    <row r="155" spans="1:7" s="3208" customFormat="1" ht="14.25" customHeight="1">
      <c r="A155" s="3219" t="s">
        <v>29</v>
      </c>
      <c r="B155" s="3219" t="s">
        <v>2967</v>
      </c>
      <c r="C155" s="3219">
        <v>10430</v>
      </c>
      <c r="D155" s="3219">
        <v>10380</v>
      </c>
      <c r="E155" s="3219">
        <v>13140</v>
      </c>
      <c r="F155" s="3219">
        <v>2080</v>
      </c>
      <c r="G155" s="3219">
        <v>6650</v>
      </c>
    </row>
    <row r="156" spans="1:7" s="3208" customFormat="1" ht="14.25" customHeight="1">
      <c r="A156" s="3219" t="s">
        <v>29</v>
      </c>
      <c r="B156" s="3219" t="s">
        <v>3082</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3083</v>
      </c>
      <c r="C160" s="3219">
        <v>11180</v>
      </c>
      <c r="D160" s="3219">
        <v>11140</v>
      </c>
      <c r="E160" s="3219">
        <v>14050</v>
      </c>
      <c r="F160" s="3219">
        <v>2270</v>
      </c>
      <c r="G160" s="3219">
        <v>7170</v>
      </c>
    </row>
    <row r="161" spans="1:7" s="3208" customFormat="1" ht="14.25" customHeight="1">
      <c r="A161" s="3219" t="s">
        <v>29</v>
      </c>
      <c r="B161" s="3219" t="s">
        <v>2999</v>
      </c>
      <c r="C161" s="3219">
        <v>11160</v>
      </c>
      <c r="D161" s="3219">
        <v>11120</v>
      </c>
      <c r="E161" s="3219">
        <v>14020</v>
      </c>
      <c r="F161" s="3219">
        <v>2150</v>
      </c>
      <c r="G161" s="3219">
        <v>7160</v>
      </c>
    </row>
    <row r="162" spans="1:7" s="3208" customFormat="1" ht="14.25" customHeight="1">
      <c r="A162" s="3219" t="s">
        <v>29</v>
      </c>
      <c r="B162" s="3219" t="s">
        <v>3004</v>
      </c>
      <c r="C162" s="3219">
        <v>9620</v>
      </c>
      <c r="D162" s="3219">
        <v>9570</v>
      </c>
      <c r="E162" s="3219">
        <v>12320</v>
      </c>
      <c r="F162" s="3219">
        <v>2010</v>
      </c>
      <c r="G162" s="3219">
        <v>6160</v>
      </c>
    </row>
    <row r="163" spans="1:7" s="3208" customFormat="1" ht="14.25" customHeight="1">
      <c r="A163" s="3219" t="s">
        <v>29</v>
      </c>
      <c r="B163" s="3219" t="s">
        <v>3009</v>
      </c>
      <c r="C163" s="3219">
        <v>9320</v>
      </c>
      <c r="D163" s="3219">
        <v>9270</v>
      </c>
      <c r="E163" s="3219">
        <v>11790</v>
      </c>
      <c r="F163" s="3219">
        <v>1920</v>
      </c>
      <c r="G163" s="3219">
        <v>5960</v>
      </c>
    </row>
    <row r="164" spans="1:7" s="3208" customFormat="1" ht="14.25" customHeight="1">
      <c r="A164" s="3219" t="s">
        <v>29</v>
      </c>
      <c r="B164" s="3219" t="s">
        <v>3014</v>
      </c>
      <c r="C164" s="3219"/>
      <c r="D164" s="3219"/>
      <c r="E164" s="3219"/>
      <c r="F164" s="3219">
        <v>1980</v>
      </c>
      <c r="G164" s="3219"/>
    </row>
    <row r="165" spans="1:7" s="3208" customFormat="1" ht="14.25" customHeight="1">
      <c r="A165" s="3219" t="s">
        <v>29</v>
      </c>
      <c r="B165" s="3219" t="s">
        <v>3084</v>
      </c>
      <c r="C165" s="3219">
        <v>11060</v>
      </c>
      <c r="D165" s="3219">
        <v>11030</v>
      </c>
      <c r="E165" s="3219">
        <v>13850</v>
      </c>
      <c r="F165" s="3219">
        <v>2170</v>
      </c>
      <c r="G165" s="3219">
        <v>7090</v>
      </c>
    </row>
    <row r="166" spans="1:7" s="3208" customFormat="1" ht="14.25" customHeight="1">
      <c r="A166" s="3219" t="s">
        <v>29</v>
      </c>
      <c r="B166" s="3219" t="s">
        <v>3024</v>
      </c>
      <c r="C166" s="3219">
        <v>11050</v>
      </c>
      <c r="D166" s="3219">
        <v>11010</v>
      </c>
      <c r="E166" s="3219">
        <v>13920</v>
      </c>
      <c r="F166" s="3219">
        <v>2140</v>
      </c>
      <c r="G166" s="3219">
        <v>7080</v>
      </c>
    </row>
    <row r="167" spans="1:7" s="3208" customFormat="1" ht="14.25" customHeight="1">
      <c r="A167" s="3219" t="s">
        <v>29</v>
      </c>
      <c r="B167" s="3219" t="s">
        <v>3028</v>
      </c>
      <c r="C167" s="3219">
        <v>10930</v>
      </c>
      <c r="D167" s="3219">
        <v>10890</v>
      </c>
      <c r="E167" s="3219">
        <v>13790</v>
      </c>
      <c r="F167" s="3219">
        <v>2010</v>
      </c>
      <c r="G167" s="3219">
        <v>7000</v>
      </c>
    </row>
    <row r="168" spans="1:7" s="3208" customFormat="1" ht="14.25" customHeight="1">
      <c r="A168" s="3219" t="s">
        <v>29</v>
      </c>
      <c r="B168" s="3219" t="s">
        <v>3033</v>
      </c>
      <c r="C168" s="3219">
        <v>9420</v>
      </c>
      <c r="D168" s="3219">
        <v>9380</v>
      </c>
      <c r="E168" s="3219">
        <v>11970</v>
      </c>
      <c r="F168" s="3219"/>
      <c r="G168" s="3219">
        <v>6040</v>
      </c>
    </row>
    <row r="169" spans="1:7" s="3208" customFormat="1" ht="14.25" customHeight="1">
      <c r="A169" s="3219" t="s">
        <v>29</v>
      </c>
      <c r="B169" s="3219" t="s">
        <v>3085</v>
      </c>
      <c r="C169" s="3219"/>
      <c r="D169" s="3219"/>
      <c r="E169" s="3219"/>
      <c r="F169" s="3219">
        <v>2880</v>
      </c>
      <c r="G169" s="3219"/>
    </row>
    <row r="170" spans="1:7" s="3208" customFormat="1" ht="14.25" customHeight="1">
      <c r="A170" s="3219" t="s">
        <v>29</v>
      </c>
      <c r="B170" s="3219" t="s">
        <v>3041</v>
      </c>
      <c r="C170" s="3219"/>
      <c r="D170" s="3219"/>
      <c r="E170" s="3219"/>
      <c r="F170" s="3219">
        <v>2880</v>
      </c>
      <c r="G170" s="3219"/>
    </row>
    <row r="171" spans="1:7" s="3208" customFormat="1" ht="14.25" customHeight="1">
      <c r="A171" s="3219" t="s">
        <v>29</v>
      </c>
      <c r="B171" s="3219" t="s">
        <v>3044</v>
      </c>
      <c r="C171" s="3219"/>
      <c r="D171" s="3219"/>
      <c r="E171" s="3219"/>
      <c r="F171" s="3219">
        <v>2880</v>
      </c>
      <c r="G171" s="3219"/>
    </row>
    <row r="172" spans="1:7" s="3208" customFormat="1" ht="14.25" customHeight="1">
      <c r="A172" s="3219" t="s">
        <v>29</v>
      </c>
      <c r="B172" s="3219" t="s">
        <v>3046</v>
      </c>
      <c r="C172" s="3219"/>
      <c r="D172" s="3219"/>
      <c r="E172" s="3219"/>
      <c r="F172" s="3219">
        <v>2880</v>
      </c>
      <c r="G172" s="3219"/>
    </row>
    <row r="173" spans="1:7" s="3208" customFormat="1" ht="14.25" customHeight="1">
      <c r="A173" s="3219" t="s">
        <v>29</v>
      </c>
      <c r="B173" s="3219" t="s">
        <v>3048</v>
      </c>
      <c r="C173" s="3219"/>
      <c r="D173" s="3219"/>
      <c r="E173" s="3219"/>
      <c r="F173" s="3219">
        <v>2150</v>
      </c>
      <c r="G173" s="3219"/>
    </row>
    <row r="174" spans="1:7" s="3208" customFormat="1" ht="14.25" customHeight="1">
      <c r="A174" s="3219" t="s">
        <v>29</v>
      </c>
      <c r="B174" s="3219" t="s">
        <v>3050</v>
      </c>
      <c r="C174" s="3219"/>
      <c r="D174" s="3219"/>
      <c r="E174" s="3219"/>
      <c r="F174" s="3219">
        <v>2030</v>
      </c>
      <c r="G174" s="3219"/>
    </row>
    <row r="175" spans="1:7" s="3208" customFormat="1" ht="14.25" customHeight="1">
      <c r="A175" s="3219" t="s">
        <v>29</v>
      </c>
      <c r="B175" s="3219" t="s">
        <v>3052</v>
      </c>
      <c r="C175" s="3219"/>
      <c r="D175" s="3219"/>
      <c r="E175" s="3219"/>
      <c r="F175" s="3219">
        <v>2780</v>
      </c>
      <c r="G175" s="3219"/>
    </row>
    <row r="176" spans="1:7" s="3208" customFormat="1" ht="14.25" customHeight="1">
      <c r="A176" s="3219" t="s">
        <v>29</v>
      </c>
      <c r="B176" s="3219" t="s">
        <v>3054</v>
      </c>
      <c r="C176" s="3219"/>
      <c r="D176" s="3219"/>
      <c r="E176" s="3219"/>
      <c r="F176" s="3219">
        <v>2780</v>
      </c>
      <c r="G176" s="3219"/>
    </row>
    <row r="177" spans="1:7" s="3208" customFormat="1" ht="14.25" customHeight="1">
      <c r="A177" s="3219" t="s">
        <v>29</v>
      </c>
      <c r="B177" s="3219" t="s">
        <v>3086</v>
      </c>
      <c r="C177" s="3219"/>
      <c r="D177" s="3219"/>
      <c r="E177" s="3219"/>
      <c r="F177" s="3219">
        <v>2780</v>
      </c>
      <c r="G177" s="3219"/>
    </row>
    <row r="178" spans="1:7" s="3208" customFormat="1" ht="14.25" customHeight="1">
      <c r="A178" s="3219" t="s">
        <v>29</v>
      </c>
      <c r="B178" s="3219" t="s">
        <v>3087</v>
      </c>
      <c r="C178" s="3219"/>
      <c r="D178" s="3219"/>
      <c r="E178" s="3219"/>
      <c r="F178" s="3219">
        <v>2060</v>
      </c>
      <c r="G178" s="3219"/>
    </row>
    <row r="179" spans="1:7" s="3208" customFormat="1" ht="14.25" customHeight="1">
      <c r="A179" s="3219" t="s">
        <v>29</v>
      </c>
      <c r="B179" s="3219" t="s">
        <v>3088</v>
      </c>
      <c r="C179" s="3219"/>
      <c r="D179" s="3219"/>
      <c r="E179" s="3219"/>
      <c r="F179" s="3219">
        <v>2120</v>
      </c>
      <c r="G179" s="3219"/>
    </row>
    <row r="180" spans="1:7" s="3208" customFormat="1" ht="14.25" customHeight="1">
      <c r="A180" s="3219" t="s">
        <v>29</v>
      </c>
      <c r="B180" s="3219" t="s">
        <v>3060</v>
      </c>
      <c r="C180" s="3219"/>
      <c r="D180" s="3219"/>
      <c r="E180" s="3219"/>
      <c r="F180" s="3219">
        <v>2340</v>
      </c>
      <c r="G180" s="3219"/>
    </row>
    <row r="181" spans="1:7" s="3208" customFormat="1" ht="14.25" customHeight="1">
      <c r="A181" s="3219" t="s">
        <v>29</v>
      </c>
      <c r="B181" s="3219" t="s">
        <v>3061</v>
      </c>
      <c r="C181" s="3219"/>
      <c r="D181" s="3219"/>
      <c r="E181" s="3219"/>
      <c r="F181" s="3219">
        <v>2340</v>
      </c>
      <c r="G181" s="3219"/>
    </row>
    <row r="182" spans="1:7" s="3208" customFormat="1" ht="14.25" customHeight="1">
      <c r="A182" s="3219" t="s">
        <v>29</v>
      </c>
      <c r="B182" s="3219" t="s">
        <v>3062</v>
      </c>
      <c r="C182" s="3219"/>
      <c r="D182" s="3219"/>
      <c r="E182" s="3219"/>
      <c r="F182" s="3219">
        <v>2340</v>
      </c>
      <c r="G182" s="3219"/>
    </row>
    <row r="183" spans="1:7" s="3208" customFormat="1" ht="14.25" customHeight="1">
      <c r="A183" s="3219" t="s">
        <v>29</v>
      </c>
      <c r="B183" s="3219" t="s">
        <v>3063</v>
      </c>
      <c r="C183" s="3219"/>
      <c r="D183" s="3219"/>
      <c r="E183" s="3219"/>
      <c r="F183" s="3219">
        <v>2340</v>
      </c>
      <c r="G183" s="3219"/>
    </row>
    <row r="184" spans="1:7" s="3208" customFormat="1" ht="14.25" customHeight="1">
      <c r="A184" s="3219" t="s">
        <v>29</v>
      </c>
      <c r="B184" s="3219" t="s">
        <v>3064</v>
      </c>
      <c r="C184" s="3219"/>
      <c r="D184" s="3219"/>
      <c r="E184" s="3219"/>
      <c r="F184" s="3219">
        <v>2340</v>
      </c>
      <c r="G184" s="3219"/>
    </row>
    <row r="185" spans="1:7" s="3208" customFormat="1" ht="14.25" customHeight="1">
      <c r="A185" s="3219" t="s">
        <v>29</v>
      </c>
      <c r="B185" s="3219" t="s">
        <v>3065</v>
      </c>
      <c r="C185" s="3219"/>
      <c r="D185" s="3219"/>
      <c r="E185" s="3219"/>
      <c r="F185" s="3219">
        <v>2530</v>
      </c>
      <c r="G185" s="3219"/>
    </row>
    <row r="186" spans="1:7" s="3208" customFormat="1" ht="14.25" customHeight="1">
      <c r="A186" s="3219" t="s">
        <v>29</v>
      </c>
      <c r="B186" s="3219" t="s">
        <v>3066</v>
      </c>
      <c r="C186" s="3219"/>
      <c r="D186" s="3219"/>
      <c r="E186" s="3219"/>
      <c r="F186" s="3219">
        <v>2550</v>
      </c>
      <c r="G186" s="3219"/>
    </row>
    <row r="187" spans="1:7" s="3208" customFormat="1" ht="14.25" customHeight="1">
      <c r="A187" s="3219" t="s">
        <v>29</v>
      </c>
      <c r="B187" s="3219" t="s">
        <v>3067</v>
      </c>
      <c r="C187" s="3219"/>
      <c r="D187" s="3219"/>
      <c r="E187" s="3219"/>
      <c r="F187" s="3219">
        <v>2070</v>
      </c>
      <c r="G187" s="3219"/>
    </row>
    <row r="188" spans="1:7" s="3208" customFormat="1" ht="14.25" customHeight="1">
      <c r="A188" s="3219" t="s">
        <v>29</v>
      </c>
      <c r="B188" s="3219" t="s">
        <v>3068</v>
      </c>
      <c r="C188" s="3219"/>
      <c r="D188" s="3219"/>
      <c r="E188" s="3219"/>
      <c r="F188" s="3219">
        <v>2340</v>
      </c>
      <c r="G188" s="3219"/>
    </row>
    <row r="189" spans="1:7" s="3208" customFormat="1" ht="14.25" customHeight="1" thickBot="1">
      <c r="A189" s="3227" t="s">
        <v>29</v>
      </c>
      <c r="B189" s="3230" t="s">
        <v>3069</v>
      </c>
      <c r="C189" s="3230"/>
      <c r="D189" s="3230"/>
      <c r="E189" s="3230"/>
      <c r="F189" s="3230">
        <v>2050</v>
      </c>
      <c r="G189" s="3230"/>
    </row>
    <row r="190" spans="1:7" s="3208" customFormat="1" ht="14.25" customHeight="1">
      <c r="A190" s="3224" t="s">
        <v>304</v>
      </c>
      <c r="B190" s="3215" t="s">
        <v>3089</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3090</v>
      </c>
      <c r="C199" s="3219">
        <v>8690</v>
      </c>
      <c r="D199" s="3219">
        <v>8630</v>
      </c>
      <c r="E199" s="3219">
        <v>11350</v>
      </c>
      <c r="F199" s="3219">
        <v>1600</v>
      </c>
      <c r="G199" s="3232">
        <v>5450</v>
      </c>
    </row>
    <row r="200" spans="1:7" s="3208" customFormat="1" ht="14.25" customHeight="1">
      <c r="A200" s="3219" t="s">
        <v>304</v>
      </c>
      <c r="B200" s="3219" t="s">
        <v>2901</v>
      </c>
      <c r="C200" s="3219"/>
      <c r="D200" s="3219"/>
      <c r="E200" s="3219"/>
      <c r="F200" s="3219">
        <v>1510</v>
      </c>
      <c r="G200" s="3232"/>
    </row>
    <row r="201" spans="1:7" s="3208" customFormat="1" ht="14.25" customHeight="1">
      <c r="A201" s="3219" t="s">
        <v>304</v>
      </c>
      <c r="B201" s="3219" t="s">
        <v>3091</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3092</v>
      </c>
      <c r="C203" s="3219">
        <v>8130</v>
      </c>
      <c r="D203" s="3219">
        <v>8070</v>
      </c>
      <c r="E203" s="3219">
        <v>10820</v>
      </c>
      <c r="F203" s="3219">
        <v>1690</v>
      </c>
      <c r="G203" s="3232">
        <v>5100</v>
      </c>
    </row>
    <row r="204" spans="1:7" s="3208" customFormat="1" ht="14.25" customHeight="1">
      <c r="A204" s="3219" t="s">
        <v>304</v>
      </c>
      <c r="B204" s="3219" t="s">
        <v>2912</v>
      </c>
      <c r="C204" s="3219">
        <v>8350</v>
      </c>
      <c r="D204" s="3219">
        <v>8290</v>
      </c>
      <c r="E204" s="3219">
        <v>11080</v>
      </c>
      <c r="F204" s="3219">
        <v>1450</v>
      </c>
      <c r="G204" s="3232">
        <v>5240</v>
      </c>
    </row>
    <row r="205" spans="1:7" s="3208" customFormat="1" ht="14.25" customHeight="1">
      <c r="A205" s="3219" t="s">
        <v>304</v>
      </c>
      <c r="B205" s="3219" t="s">
        <v>2914</v>
      </c>
      <c r="C205" s="3219">
        <v>7190</v>
      </c>
      <c r="D205" s="3219">
        <v>7130</v>
      </c>
      <c r="E205" s="3219">
        <v>9490</v>
      </c>
      <c r="F205" s="3219">
        <v>1470</v>
      </c>
      <c r="G205" s="3232">
        <v>4510</v>
      </c>
    </row>
    <row r="206" spans="1:7" s="3208" customFormat="1" ht="14.25" customHeight="1">
      <c r="A206" s="3219" t="s">
        <v>304</v>
      </c>
      <c r="B206" s="3219" t="s">
        <v>2917</v>
      </c>
      <c r="C206" s="3219">
        <v>7000</v>
      </c>
      <c r="D206" s="3219">
        <v>6950</v>
      </c>
      <c r="E206" s="3219">
        <v>9170</v>
      </c>
      <c r="F206" s="3219">
        <v>1400</v>
      </c>
      <c r="G206" s="3232">
        <v>4380</v>
      </c>
    </row>
    <row r="207" spans="1:7" s="3208" customFormat="1" ht="14.25" customHeight="1">
      <c r="A207" s="3219" t="s">
        <v>304</v>
      </c>
      <c r="B207" s="3219" t="s">
        <v>2919</v>
      </c>
      <c r="C207" s="3219">
        <v>6950</v>
      </c>
      <c r="D207" s="3219">
        <v>6900</v>
      </c>
      <c r="E207" s="3219">
        <v>9110</v>
      </c>
      <c r="F207" s="3219">
        <v>1790</v>
      </c>
      <c r="G207" s="3232">
        <v>4360</v>
      </c>
    </row>
    <row r="208" spans="1:7" s="3208" customFormat="1" ht="14.25" customHeight="1">
      <c r="A208" s="3219" t="s">
        <v>304</v>
      </c>
      <c r="B208" s="3219" t="s">
        <v>3093</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2929</v>
      </c>
      <c r="C210" s="3219">
        <v>8710</v>
      </c>
      <c r="D210" s="3219">
        <v>8660</v>
      </c>
      <c r="E210" s="3219">
        <v>11440</v>
      </c>
      <c r="F210" s="3219">
        <v>1740</v>
      </c>
      <c r="G210" s="3232">
        <v>5470</v>
      </c>
    </row>
    <row r="211" spans="1:7" s="3208" customFormat="1" ht="14.25" customHeight="1">
      <c r="A211" s="3219" t="s">
        <v>304</v>
      </c>
      <c r="B211" s="3219" t="s">
        <v>3094</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3095</v>
      </c>
      <c r="C214" s="3219">
        <v>8090</v>
      </c>
      <c r="D214" s="3219">
        <v>8030</v>
      </c>
      <c r="E214" s="3219">
        <v>10780</v>
      </c>
      <c r="F214" s="3219">
        <v>1570</v>
      </c>
      <c r="G214" s="3232">
        <v>5070</v>
      </c>
    </row>
    <row r="215" spans="1:7" s="3208" customFormat="1" ht="14.25" customHeight="1">
      <c r="A215" s="3219" t="s">
        <v>304</v>
      </c>
      <c r="B215" s="3219" t="s">
        <v>3096</v>
      </c>
      <c r="C215" s="3219">
        <v>7950</v>
      </c>
      <c r="D215" s="3219">
        <v>7900</v>
      </c>
      <c r="E215" s="3219">
        <v>10560</v>
      </c>
      <c r="F215" s="3219">
        <v>1630</v>
      </c>
      <c r="G215" s="3232">
        <v>4990</v>
      </c>
    </row>
    <row r="216" spans="1:7" s="3208" customFormat="1" ht="14.25" customHeight="1">
      <c r="A216" s="3219" t="s">
        <v>304</v>
      </c>
      <c r="B216" s="3219" t="s">
        <v>3097</v>
      </c>
      <c r="C216" s="3219">
        <v>8490</v>
      </c>
      <c r="D216" s="3219">
        <v>8440</v>
      </c>
      <c r="E216" s="3219">
        <v>11260</v>
      </c>
      <c r="F216" s="3219">
        <v>1690</v>
      </c>
      <c r="G216" s="3232">
        <v>5330</v>
      </c>
    </row>
    <row r="217" spans="1:7" s="3208" customFormat="1" ht="14.25" customHeight="1">
      <c r="A217" s="3219" t="s">
        <v>304</v>
      </c>
      <c r="B217" s="3219" t="s">
        <v>2962</v>
      </c>
      <c r="C217" s="3219">
        <v>8200</v>
      </c>
      <c r="D217" s="3219">
        <v>8150</v>
      </c>
      <c r="E217" s="3219">
        <v>10910</v>
      </c>
      <c r="F217" s="3219">
        <v>1670</v>
      </c>
      <c r="G217" s="3232">
        <v>5150</v>
      </c>
    </row>
    <row r="218" spans="1:7" s="3208" customFormat="1" ht="14.25" customHeight="1">
      <c r="A218" s="3219" t="s">
        <v>304</v>
      </c>
      <c r="B218" s="3219" t="s">
        <v>3098</v>
      </c>
      <c r="C218" s="3219"/>
      <c r="D218" s="3219"/>
      <c r="E218" s="3219"/>
      <c r="F218" s="3219">
        <v>2040</v>
      </c>
      <c r="G218" s="3232"/>
    </row>
    <row r="219" spans="1:7" s="3208" customFormat="1" ht="14.25" customHeight="1">
      <c r="A219" s="3219" t="s">
        <v>304</v>
      </c>
      <c r="B219" s="3219" t="s">
        <v>3099</v>
      </c>
      <c r="C219" s="3219"/>
      <c r="D219" s="3219"/>
      <c r="E219" s="3219"/>
      <c r="F219" s="3219">
        <v>2040</v>
      </c>
      <c r="G219" s="3232"/>
    </row>
    <row r="220" spans="1:7" s="3208" customFormat="1" ht="14.25" customHeight="1">
      <c r="A220" s="3219" t="s">
        <v>304</v>
      </c>
      <c r="B220" s="3219" t="s">
        <v>3100</v>
      </c>
      <c r="C220" s="3219"/>
      <c r="D220" s="3219"/>
      <c r="E220" s="3219"/>
      <c r="F220" s="3219">
        <v>2040</v>
      </c>
      <c r="G220" s="3232"/>
    </row>
    <row r="221" spans="1:7" s="3208" customFormat="1" ht="14.25" customHeight="1">
      <c r="A221" s="3219" t="s">
        <v>304</v>
      </c>
      <c r="B221" s="3219" t="s">
        <v>3101</v>
      </c>
      <c r="C221" s="3219"/>
      <c r="D221" s="3219"/>
      <c r="E221" s="3219"/>
      <c r="F221" s="3219">
        <v>2040</v>
      </c>
      <c r="G221" s="3232"/>
    </row>
    <row r="222" spans="1:7" s="3208" customFormat="1" ht="14.25" customHeight="1">
      <c r="A222" s="3219" t="s">
        <v>304</v>
      </c>
      <c r="B222" s="3219" t="s">
        <v>3102</v>
      </c>
      <c r="C222" s="3219"/>
      <c r="D222" s="3219"/>
      <c r="E222" s="3219"/>
      <c r="F222" s="3219">
        <v>2040</v>
      </c>
      <c r="G222" s="3232"/>
    </row>
    <row r="223" spans="1:7" s="3208" customFormat="1" ht="14.25" customHeight="1">
      <c r="A223" s="3219" t="s">
        <v>304</v>
      </c>
      <c r="B223" s="3219" t="s">
        <v>3103</v>
      </c>
      <c r="C223" s="3219"/>
      <c r="D223" s="3219"/>
      <c r="E223" s="3219"/>
      <c r="F223" s="3219">
        <v>1930</v>
      </c>
      <c r="G223" s="3232"/>
    </row>
    <row r="224" spans="1:7" s="3208" customFormat="1" ht="14.25" customHeight="1">
      <c r="A224" s="3219" t="s">
        <v>304</v>
      </c>
      <c r="B224" s="3219" t="s">
        <v>3104</v>
      </c>
      <c r="C224" s="3219"/>
      <c r="D224" s="3219"/>
      <c r="E224" s="3219"/>
      <c r="F224" s="3219">
        <v>1930</v>
      </c>
      <c r="G224" s="3232"/>
    </row>
    <row r="225" spans="1:7" s="3208" customFormat="1" ht="14.25" customHeight="1">
      <c r="A225" s="3219" t="s">
        <v>304</v>
      </c>
      <c r="B225" s="3219" t="s">
        <v>3105</v>
      </c>
      <c r="C225" s="3219"/>
      <c r="D225" s="3219"/>
      <c r="E225" s="3219"/>
      <c r="F225" s="3219">
        <v>1930</v>
      </c>
      <c r="G225" s="3232"/>
    </row>
    <row r="226" spans="1:7" s="3208" customFormat="1" ht="14.25" customHeight="1">
      <c r="A226" s="3219" t="s">
        <v>304</v>
      </c>
      <c r="B226" s="3219" t="s">
        <v>3106</v>
      </c>
      <c r="C226" s="3219"/>
      <c r="D226" s="3219"/>
      <c r="E226" s="3219"/>
      <c r="F226" s="3219">
        <v>1700</v>
      </c>
      <c r="G226" s="3232"/>
    </row>
    <row r="227" spans="1:7" s="3208" customFormat="1" ht="14.25" customHeight="1">
      <c r="A227" s="3219" t="s">
        <v>304</v>
      </c>
      <c r="B227" s="3219" t="s">
        <v>3107</v>
      </c>
      <c r="C227" s="3219"/>
      <c r="D227" s="3219"/>
      <c r="E227" s="3219"/>
      <c r="F227" s="3219">
        <v>1520</v>
      </c>
      <c r="G227" s="3232"/>
    </row>
    <row r="228" spans="1:7" s="3208" customFormat="1" ht="14.25" customHeight="1">
      <c r="A228" s="3219" t="s">
        <v>304</v>
      </c>
      <c r="B228" s="3219" t="s">
        <v>3108</v>
      </c>
      <c r="C228" s="3219"/>
      <c r="D228" s="3219"/>
      <c r="E228" s="3219"/>
      <c r="F228" s="3219">
        <v>1520</v>
      </c>
      <c r="G228" s="3232"/>
    </row>
    <row r="229" spans="1:7" s="3208" customFormat="1" ht="14.25" customHeight="1">
      <c r="A229" s="3219" t="s">
        <v>304</v>
      </c>
      <c r="B229" s="3219" t="s">
        <v>3025</v>
      </c>
      <c r="C229" s="3219"/>
      <c r="D229" s="3219"/>
      <c r="E229" s="3219"/>
      <c r="F229" s="3219">
        <v>1520</v>
      </c>
      <c r="G229" s="3232"/>
    </row>
    <row r="230" spans="1:7" s="3208" customFormat="1" ht="14.25" customHeight="1">
      <c r="A230" s="3219" t="s">
        <v>304</v>
      </c>
      <c r="B230" s="3219" t="s">
        <v>3109</v>
      </c>
      <c r="C230" s="3219"/>
      <c r="D230" s="3219"/>
      <c r="E230" s="3219"/>
      <c r="F230" s="3219">
        <v>1820</v>
      </c>
      <c r="G230" s="3232"/>
    </row>
    <row r="231" spans="1:7" s="3208" customFormat="1" ht="14.25" customHeight="1">
      <c r="A231" s="3219" t="s">
        <v>304</v>
      </c>
      <c r="B231" s="3219" t="s">
        <v>3110</v>
      </c>
      <c r="C231" s="3219"/>
      <c r="D231" s="3219"/>
      <c r="E231" s="3219"/>
      <c r="F231" s="3219">
        <v>1760</v>
      </c>
      <c r="G231" s="3232"/>
    </row>
    <row r="232" spans="1:7" s="3208" customFormat="1" ht="14.25" customHeight="1">
      <c r="A232" s="3219" t="s">
        <v>304</v>
      </c>
      <c r="B232" s="3219" t="s">
        <v>3111</v>
      </c>
      <c r="C232" s="3219"/>
      <c r="D232" s="3219"/>
      <c r="E232" s="3219"/>
      <c r="F232" s="3219">
        <v>1840</v>
      </c>
      <c r="G232" s="3232"/>
    </row>
    <row r="233" spans="1:7" s="3208" customFormat="1" ht="14.25" customHeight="1" thickBot="1">
      <c r="A233" s="3233" t="s">
        <v>304</v>
      </c>
      <c r="B233" s="3226" t="s">
        <v>3042</v>
      </c>
      <c r="C233" s="3226"/>
      <c r="D233" s="3226"/>
      <c r="E233" s="3226"/>
      <c r="F233" s="3226">
        <v>1770</v>
      </c>
      <c r="G233" s="3234"/>
    </row>
    <row r="234" spans="1:7" s="3208" customFormat="1" ht="14.25" customHeight="1">
      <c r="A234" s="3224" t="s">
        <v>305</v>
      </c>
      <c r="B234" s="3215" t="s">
        <v>3112</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2883</v>
      </c>
      <c r="C238" s="3219">
        <v>6920</v>
      </c>
      <c r="D238" s="3219">
        <v>6890</v>
      </c>
      <c r="E238" s="3219">
        <v>8640</v>
      </c>
      <c r="F238" s="3219">
        <v>1310</v>
      </c>
      <c r="G238" s="3219">
        <v>4230</v>
      </c>
    </row>
    <row r="239" spans="1:7" s="3208" customFormat="1" ht="14.25" customHeight="1">
      <c r="A239" s="3219" t="s">
        <v>305</v>
      </c>
      <c r="B239" s="3219" t="s">
        <v>3113</v>
      </c>
      <c r="C239" s="3219">
        <v>6780</v>
      </c>
      <c r="D239" s="3219">
        <v>6750</v>
      </c>
      <c r="E239" s="3219">
        <v>8440</v>
      </c>
      <c r="F239" s="3219">
        <v>1160</v>
      </c>
      <c r="G239" s="3219">
        <v>4140</v>
      </c>
    </row>
    <row r="240" spans="1:7" s="3208" customFormat="1" ht="14.25" customHeight="1">
      <c r="A240" s="3219" t="s">
        <v>305</v>
      </c>
      <c r="B240" s="3219" t="s">
        <v>3114</v>
      </c>
      <c r="C240" s="3219">
        <v>5420</v>
      </c>
      <c r="D240" s="3219">
        <v>5380</v>
      </c>
      <c r="E240" s="3219">
        <v>6640</v>
      </c>
      <c r="F240" s="3219">
        <v>1020</v>
      </c>
      <c r="G240" s="3219">
        <v>3300</v>
      </c>
    </row>
    <row r="241" spans="1:7" s="3208" customFormat="1" ht="14.25" customHeight="1">
      <c r="A241" s="3219" t="s">
        <v>305</v>
      </c>
      <c r="B241" s="3219" t="s">
        <v>3115</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3116</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3117</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3118</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3119</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3120</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2945</v>
      </c>
      <c r="C258" s="3219">
        <v>6190</v>
      </c>
      <c r="D258" s="3219">
        <v>6160</v>
      </c>
      <c r="E258" s="3219">
        <v>7680</v>
      </c>
      <c r="F258" s="3219">
        <v>1170</v>
      </c>
      <c r="G258" s="3219">
        <v>3780</v>
      </c>
    </row>
    <row r="259" spans="1:7" s="3208" customFormat="1" ht="14.25" customHeight="1">
      <c r="A259" s="3219" t="s">
        <v>305</v>
      </c>
      <c r="B259" s="3219" t="s">
        <v>3121</v>
      </c>
      <c r="C259" s="3219">
        <v>7610</v>
      </c>
      <c r="D259" s="3219">
        <v>7570</v>
      </c>
      <c r="E259" s="3219">
        <v>9350</v>
      </c>
      <c r="F259" s="3219">
        <v>1350</v>
      </c>
      <c r="G259" s="3219">
        <v>4650</v>
      </c>
    </row>
    <row r="260" spans="1:7" s="3208" customFormat="1" ht="14.25" customHeight="1">
      <c r="A260" s="3219" t="s">
        <v>305</v>
      </c>
      <c r="B260" s="3219" t="s">
        <v>3122</v>
      </c>
      <c r="C260" s="3219">
        <v>6920</v>
      </c>
      <c r="D260" s="3219">
        <v>6880</v>
      </c>
      <c r="E260" s="3219">
        <v>8380</v>
      </c>
      <c r="F260" s="3219">
        <v>1160</v>
      </c>
      <c r="G260" s="3219">
        <v>4220</v>
      </c>
    </row>
    <row r="261" spans="1:7" s="3208" customFormat="1" ht="14.25" customHeight="1">
      <c r="A261" s="3219" t="s">
        <v>305</v>
      </c>
      <c r="B261" s="3219" t="s">
        <v>3123</v>
      </c>
      <c r="C261" s="3219">
        <v>6850</v>
      </c>
      <c r="D261" s="3219">
        <v>6810</v>
      </c>
      <c r="E261" s="3219">
        <v>8290</v>
      </c>
      <c r="F261" s="3219">
        <v>1130</v>
      </c>
      <c r="G261" s="3219">
        <v>4180</v>
      </c>
    </row>
    <row r="262" spans="1:7" s="3208" customFormat="1" ht="14.25" customHeight="1">
      <c r="A262" s="3219" t="s">
        <v>305</v>
      </c>
      <c r="B262" s="3219" t="s">
        <v>3124</v>
      </c>
      <c r="C262" s="3219">
        <v>5860</v>
      </c>
      <c r="D262" s="3219">
        <v>5820</v>
      </c>
      <c r="E262" s="3219">
        <v>7640</v>
      </c>
      <c r="F262" s="3219">
        <v>1070</v>
      </c>
      <c r="G262" s="3219">
        <v>3570</v>
      </c>
    </row>
    <row r="263" spans="1:7" s="3208" customFormat="1" ht="14.25" customHeight="1">
      <c r="A263" s="3219" t="s">
        <v>305</v>
      </c>
      <c r="B263" s="3219" t="s">
        <v>3125</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3126</v>
      </c>
      <c r="C265" s="3219"/>
      <c r="D265" s="3219"/>
      <c r="E265" s="3219"/>
      <c r="F265" s="3219">
        <v>1500</v>
      </c>
      <c r="G265" s="3219"/>
    </row>
    <row r="266" spans="1:7" s="3208" customFormat="1" ht="14.25" customHeight="1">
      <c r="A266" s="3219" t="s">
        <v>305</v>
      </c>
      <c r="B266" s="3219" t="s">
        <v>3127</v>
      </c>
      <c r="C266" s="3219"/>
      <c r="D266" s="3219"/>
      <c r="E266" s="3219"/>
      <c r="F266" s="3219">
        <v>1500</v>
      </c>
      <c r="G266" s="3219"/>
    </row>
    <row r="267" spans="1:7" s="3208" customFormat="1" ht="14.25" customHeight="1">
      <c r="A267" s="3219" t="s">
        <v>305</v>
      </c>
      <c r="B267" s="3219" t="s">
        <v>3128</v>
      </c>
      <c r="C267" s="3219"/>
      <c r="D267" s="3219"/>
      <c r="E267" s="3219"/>
      <c r="F267" s="3219">
        <v>1500</v>
      </c>
      <c r="G267" s="3219"/>
    </row>
    <row r="268" spans="1:7" s="3208" customFormat="1" ht="14.25" customHeight="1">
      <c r="A268" s="3219" t="s">
        <v>305</v>
      </c>
      <c r="B268" s="3219" t="s">
        <v>3129</v>
      </c>
      <c r="C268" s="3219"/>
      <c r="D268" s="3219"/>
      <c r="E268" s="3219"/>
      <c r="F268" s="3219">
        <v>1290</v>
      </c>
      <c r="G268" s="3219"/>
    </row>
    <row r="269" spans="1:7" s="3208" customFormat="1" ht="14.25" customHeight="1">
      <c r="A269" s="3219" t="s">
        <v>305</v>
      </c>
      <c r="B269" s="3219" t="s">
        <v>3130</v>
      </c>
      <c r="C269" s="3219"/>
      <c r="D269" s="3219"/>
      <c r="E269" s="3219"/>
      <c r="F269" s="3219">
        <v>1150</v>
      </c>
      <c r="G269" s="3219"/>
    </row>
    <row r="270" spans="1:7" s="3208" customFormat="1" ht="14.25" customHeight="1">
      <c r="A270" s="3219" t="s">
        <v>305</v>
      </c>
      <c r="B270" s="3219" t="s">
        <v>3131</v>
      </c>
      <c r="C270" s="3219"/>
      <c r="D270" s="3219"/>
      <c r="E270" s="3219"/>
      <c r="F270" s="3219">
        <v>1380</v>
      </c>
      <c r="G270" s="3219"/>
    </row>
    <row r="271" spans="1:7" s="3208" customFormat="1" ht="14.25" customHeight="1">
      <c r="A271" s="3219" t="s">
        <v>305</v>
      </c>
      <c r="B271" s="3219" t="s">
        <v>3132</v>
      </c>
      <c r="C271" s="3219"/>
      <c r="D271" s="3219"/>
      <c r="E271" s="3219"/>
      <c r="F271" s="3219">
        <v>1460</v>
      </c>
      <c r="G271" s="3219"/>
    </row>
    <row r="272" spans="1:7" s="3208" customFormat="1" ht="14.25" customHeight="1">
      <c r="A272" s="3219" t="s">
        <v>305</v>
      </c>
      <c r="B272" s="3219" t="s">
        <v>3133</v>
      </c>
      <c r="C272" s="3219"/>
      <c r="D272" s="3219"/>
      <c r="E272" s="3219"/>
      <c r="F272" s="3219">
        <v>1460</v>
      </c>
      <c r="G272" s="3219"/>
    </row>
    <row r="273" spans="1:7" s="3208" customFormat="1" ht="14.25" customHeight="1">
      <c r="A273" s="3219" t="s">
        <v>305</v>
      </c>
      <c r="B273" s="3219" t="s">
        <v>3026</v>
      </c>
      <c r="C273" s="3219"/>
      <c r="D273" s="3219"/>
      <c r="E273" s="3219"/>
      <c r="F273" s="3219">
        <v>1490</v>
      </c>
      <c r="G273" s="3219"/>
    </row>
    <row r="274" spans="1:7" s="3208" customFormat="1" ht="14.25" customHeight="1">
      <c r="A274" s="3219" t="s">
        <v>305</v>
      </c>
      <c r="B274" s="3219" t="s">
        <v>3134</v>
      </c>
      <c r="C274" s="3219"/>
      <c r="D274" s="3219"/>
      <c r="E274" s="3219"/>
      <c r="F274" s="3219">
        <v>1490</v>
      </c>
      <c r="G274" s="3219"/>
    </row>
    <row r="275" spans="1:7" s="3208" customFormat="1" ht="14.25" customHeight="1">
      <c r="A275" s="3219" t="s">
        <v>305</v>
      </c>
      <c r="B275" s="3219" t="s">
        <v>3135</v>
      </c>
      <c r="C275" s="3219"/>
      <c r="D275" s="3219"/>
      <c r="E275" s="3219"/>
      <c r="F275" s="3219">
        <v>1220</v>
      </c>
      <c r="G275" s="3219"/>
    </row>
    <row r="276" spans="1:7" s="3208" customFormat="1" ht="14.25" customHeight="1" thickBot="1">
      <c r="A276" s="3227" t="s">
        <v>305</v>
      </c>
      <c r="B276" s="3229" t="s">
        <v>3136</v>
      </c>
      <c r="C276" s="3230"/>
      <c r="D276" s="3230"/>
      <c r="E276" s="3230"/>
      <c r="F276" s="3230">
        <v>1380</v>
      </c>
      <c r="G276" s="3230"/>
    </row>
    <row r="277" spans="1:7" s="3208" customFormat="1" ht="14.25" customHeight="1">
      <c r="A277" s="3224" t="s">
        <v>306</v>
      </c>
      <c r="B277" s="3215" t="s">
        <v>3137</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3138</v>
      </c>
      <c r="C279" s="3219">
        <v>4760</v>
      </c>
      <c r="D279" s="3219">
        <v>4720</v>
      </c>
      <c r="E279" s="3219">
        <v>5540</v>
      </c>
      <c r="F279" s="3219">
        <v>810</v>
      </c>
      <c r="G279" s="3232">
        <v>2850</v>
      </c>
    </row>
    <row r="280" spans="1:7" s="3208" customFormat="1" ht="14.25" customHeight="1">
      <c r="A280" s="3219" t="s">
        <v>306</v>
      </c>
      <c r="B280" s="3219" t="s">
        <v>3139</v>
      </c>
      <c r="C280" s="3219">
        <v>4010</v>
      </c>
      <c r="D280" s="3219">
        <v>3950</v>
      </c>
      <c r="E280" s="3219">
        <v>4710</v>
      </c>
      <c r="F280" s="3219">
        <v>800</v>
      </c>
      <c r="G280" s="3232">
        <v>2390</v>
      </c>
    </row>
    <row r="281" spans="1:7" s="3208" customFormat="1" ht="14.25" customHeight="1">
      <c r="A281" s="3219" t="s">
        <v>306</v>
      </c>
      <c r="B281" s="3219" t="s">
        <v>3140</v>
      </c>
      <c r="C281" s="3219">
        <v>4480</v>
      </c>
      <c r="D281" s="3219">
        <v>4420</v>
      </c>
      <c r="E281" s="3219">
        <v>5230</v>
      </c>
      <c r="F281" s="3219">
        <v>870</v>
      </c>
      <c r="G281" s="3232">
        <v>2660</v>
      </c>
    </row>
    <row r="282" spans="1:7" s="3208" customFormat="1" ht="14.25" customHeight="1">
      <c r="A282" s="3219" t="s">
        <v>306</v>
      </c>
      <c r="B282" s="3219" t="s">
        <v>3141</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3142</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3143</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2918</v>
      </c>
      <c r="C293" s="3219">
        <v>5320</v>
      </c>
      <c r="D293" s="3219">
        <v>5270</v>
      </c>
      <c r="E293" s="3219">
        <v>6160</v>
      </c>
      <c r="F293" s="3219">
        <v>990</v>
      </c>
      <c r="G293" s="3232">
        <v>3170</v>
      </c>
    </row>
    <row r="294" spans="1:7" s="3208" customFormat="1" ht="14.25" customHeight="1">
      <c r="A294" s="3219" t="s">
        <v>306</v>
      </c>
      <c r="B294" s="3219" t="s">
        <v>3144</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2937</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3145</v>
      </c>
      <c r="C302" s="3219">
        <v>5520</v>
      </c>
      <c r="D302" s="3219">
        <v>5470</v>
      </c>
      <c r="E302" s="3219">
        <v>6410</v>
      </c>
      <c r="F302" s="3219">
        <v>950</v>
      </c>
      <c r="G302" s="3232">
        <v>3300</v>
      </c>
    </row>
    <row r="303" spans="1:7" s="3208" customFormat="1" ht="14.25" customHeight="1">
      <c r="A303" s="3219" t="s">
        <v>306</v>
      </c>
      <c r="B303" s="3219" t="s">
        <v>2957</v>
      </c>
      <c r="C303" s="3219">
        <v>5630</v>
      </c>
      <c r="D303" s="3219">
        <v>5590</v>
      </c>
      <c r="E303" s="3219">
        <v>6550</v>
      </c>
      <c r="F303" s="3219">
        <v>1010</v>
      </c>
      <c r="G303" s="3232">
        <v>3370</v>
      </c>
    </row>
    <row r="304" spans="1:7" s="3208" customFormat="1" ht="14.25" customHeight="1">
      <c r="A304" s="3219" t="s">
        <v>306</v>
      </c>
      <c r="B304" s="3219" t="s">
        <v>2964</v>
      </c>
      <c r="C304" s="3219">
        <v>5680</v>
      </c>
      <c r="D304" s="3219">
        <v>5620</v>
      </c>
      <c r="E304" s="3219">
        <v>6620</v>
      </c>
      <c r="F304" s="3219">
        <v>1050</v>
      </c>
      <c r="G304" s="3232">
        <v>3390</v>
      </c>
    </row>
    <row r="305" spans="1:7" s="3208" customFormat="1" ht="14.25" customHeight="1">
      <c r="A305" s="3219" t="s">
        <v>306</v>
      </c>
      <c r="B305" s="3219" t="s">
        <v>2970</v>
      </c>
      <c r="C305" s="3219">
        <v>5590</v>
      </c>
      <c r="D305" s="3219">
        <v>5530</v>
      </c>
      <c r="E305" s="3219">
        <v>6460</v>
      </c>
      <c r="F305" s="3219">
        <v>900</v>
      </c>
      <c r="G305" s="3232">
        <v>3340</v>
      </c>
    </row>
    <row r="306" spans="1:7" s="3208" customFormat="1" ht="14.25" customHeight="1">
      <c r="A306" s="3219" t="s">
        <v>306</v>
      </c>
      <c r="B306" s="3219" t="s">
        <v>3146</v>
      </c>
      <c r="C306" s="3219">
        <v>5560</v>
      </c>
      <c r="D306" s="3219">
        <v>5510</v>
      </c>
      <c r="E306" s="3219">
        <v>6440</v>
      </c>
      <c r="F306" s="3219">
        <v>900</v>
      </c>
      <c r="G306" s="3232">
        <v>3320</v>
      </c>
    </row>
    <row r="307" spans="1:7" s="3208" customFormat="1" ht="14.25" customHeight="1">
      <c r="A307" s="3219" t="s">
        <v>306</v>
      </c>
      <c r="B307" s="3219" t="s">
        <v>2982</v>
      </c>
      <c r="C307" s="3219">
        <v>5650</v>
      </c>
      <c r="D307" s="3219">
        <v>5600</v>
      </c>
      <c r="E307" s="3219">
        <v>6590</v>
      </c>
      <c r="F307" s="3219">
        <v>930</v>
      </c>
      <c r="G307" s="3232">
        <v>3380</v>
      </c>
    </row>
    <row r="308" spans="1:7" s="3208" customFormat="1" ht="14.25" customHeight="1">
      <c r="A308" s="3219" t="s">
        <v>306</v>
      </c>
      <c r="B308" s="3219" t="s">
        <v>3147</v>
      </c>
      <c r="C308" s="3219">
        <v>5620</v>
      </c>
      <c r="D308" s="3219">
        <v>5580</v>
      </c>
      <c r="E308" s="3219">
        <v>6540</v>
      </c>
      <c r="F308" s="3219">
        <v>910</v>
      </c>
      <c r="G308" s="3232">
        <v>3370</v>
      </c>
    </row>
    <row r="309" spans="1:7" s="3208" customFormat="1" ht="14.25" customHeight="1">
      <c r="A309" s="3219" t="s">
        <v>306</v>
      </c>
      <c r="B309" s="3219" t="s">
        <v>3148</v>
      </c>
      <c r="C309" s="3219">
        <v>5060</v>
      </c>
      <c r="D309" s="3219">
        <v>5020</v>
      </c>
      <c r="E309" s="3219">
        <v>6370</v>
      </c>
      <c r="F309" s="3219">
        <v>800</v>
      </c>
      <c r="G309" s="3232">
        <v>3020</v>
      </c>
    </row>
    <row r="310" spans="1:7" s="3208" customFormat="1" ht="14.25" customHeight="1">
      <c r="A310" s="3219" t="s">
        <v>306</v>
      </c>
      <c r="B310" s="3219" t="s">
        <v>2997</v>
      </c>
      <c r="C310" s="3219">
        <v>5150</v>
      </c>
      <c r="D310" s="3219">
        <v>5110</v>
      </c>
      <c r="E310" s="3219">
        <v>6500</v>
      </c>
      <c r="F310" s="3219">
        <v>880</v>
      </c>
      <c r="G310" s="3232">
        <v>3080</v>
      </c>
    </row>
    <row r="311" spans="1:7" s="3208" customFormat="1" ht="14.25" customHeight="1">
      <c r="A311" s="3219" t="s">
        <v>306</v>
      </c>
      <c r="B311" s="3219" t="s">
        <v>3149</v>
      </c>
      <c r="C311" s="3219">
        <v>4750</v>
      </c>
      <c r="D311" s="3219">
        <v>4710</v>
      </c>
      <c r="E311" s="3219">
        <v>5510</v>
      </c>
      <c r="F311" s="3219">
        <v>880</v>
      </c>
      <c r="G311" s="3232">
        <v>2840</v>
      </c>
    </row>
    <row r="312" spans="1:7" s="3208" customFormat="1" ht="14.25" customHeight="1">
      <c r="A312" s="3219" t="s">
        <v>306</v>
      </c>
      <c r="B312" s="3219" t="s">
        <v>3007</v>
      </c>
      <c r="C312" s="3219">
        <v>4690</v>
      </c>
      <c r="D312" s="3219">
        <v>4640</v>
      </c>
      <c r="E312" s="3219">
        <v>5420</v>
      </c>
      <c r="F312" s="3219">
        <v>800</v>
      </c>
      <c r="G312" s="3232">
        <v>2800</v>
      </c>
    </row>
    <row r="313" spans="1:7" s="3208" customFormat="1" ht="14.25" customHeight="1">
      <c r="A313" s="3219" t="s">
        <v>306</v>
      </c>
      <c r="B313" s="3219" t="s">
        <v>3012</v>
      </c>
      <c r="C313" s="3219">
        <v>4810</v>
      </c>
      <c r="D313" s="3219">
        <v>4760</v>
      </c>
      <c r="E313" s="3219">
        <v>5550</v>
      </c>
      <c r="F313" s="3219">
        <v>920</v>
      </c>
      <c r="G313" s="3232">
        <v>2870</v>
      </c>
    </row>
    <row r="314" spans="1:7" s="3208" customFormat="1" ht="14.25" customHeight="1">
      <c r="A314" s="3219" t="s">
        <v>306</v>
      </c>
      <c r="B314" s="3219" t="s">
        <v>3150</v>
      </c>
      <c r="C314" s="3219"/>
      <c r="D314" s="3219"/>
      <c r="E314" s="3219"/>
      <c r="F314" s="3219">
        <v>1020</v>
      </c>
      <c r="G314" s="3232"/>
    </row>
    <row r="315" spans="1:7" s="3208" customFormat="1" ht="14.25" customHeight="1">
      <c r="A315" s="3219" t="s">
        <v>306</v>
      </c>
      <c r="B315" s="3219" t="s">
        <v>3151</v>
      </c>
      <c r="C315" s="3219"/>
      <c r="D315" s="3219"/>
      <c r="E315" s="3219"/>
      <c r="F315" s="3219">
        <v>1050</v>
      </c>
      <c r="G315" s="3232"/>
    </row>
    <row r="316" spans="1:7" s="3208" customFormat="1" ht="14.25" customHeight="1">
      <c r="A316" s="3219" t="s">
        <v>306</v>
      </c>
      <c r="B316" s="3219" t="s">
        <v>3027</v>
      </c>
      <c r="C316" s="3219"/>
      <c r="D316" s="3219"/>
      <c r="E316" s="3219"/>
      <c r="F316" s="3219">
        <v>900</v>
      </c>
      <c r="G316" s="3232"/>
    </row>
    <row r="317" spans="1:7" s="3208" customFormat="1" ht="14.25" customHeight="1">
      <c r="A317" s="3219" t="s">
        <v>306</v>
      </c>
      <c r="B317" s="3219" t="s">
        <v>3152</v>
      </c>
      <c r="C317" s="3219"/>
      <c r="D317" s="3219"/>
      <c r="E317" s="3219"/>
      <c r="F317" s="3219">
        <v>920</v>
      </c>
      <c r="G317" s="3232"/>
    </row>
    <row r="318" spans="1:7" s="3208" customFormat="1" ht="14.25" customHeight="1">
      <c r="A318" s="3219" t="s">
        <v>306</v>
      </c>
      <c r="B318" s="3219" t="s">
        <v>3153</v>
      </c>
      <c r="C318" s="3219"/>
      <c r="D318" s="3219"/>
      <c r="E318" s="3219"/>
      <c r="F318" s="3219">
        <v>1080</v>
      </c>
      <c r="G318" s="3232"/>
    </row>
    <row r="319" spans="1:7" s="3208" customFormat="1" ht="14.25" customHeight="1">
      <c r="A319" s="3219" t="s">
        <v>306</v>
      </c>
      <c r="B319" s="3219" t="s">
        <v>3040</v>
      </c>
      <c r="C319" s="3219"/>
      <c r="D319" s="3219"/>
      <c r="E319" s="3219"/>
      <c r="F319" s="3219">
        <v>1020</v>
      </c>
      <c r="G319" s="3232"/>
    </row>
    <row r="320" spans="1:7" s="3208" customFormat="1" ht="14.25" customHeight="1">
      <c r="A320" s="3219" t="s">
        <v>306</v>
      </c>
      <c r="B320" s="3219" t="s">
        <v>3043</v>
      </c>
      <c r="C320" s="3219"/>
      <c r="D320" s="3219"/>
      <c r="E320" s="3219"/>
      <c r="F320" s="3219">
        <v>1050</v>
      </c>
      <c r="G320" s="3232"/>
    </row>
    <row r="321" spans="1:7" s="3208" customFormat="1" ht="14.25" customHeight="1">
      <c r="A321" s="3219" t="s">
        <v>306</v>
      </c>
      <c r="B321" s="3219" t="s">
        <v>3045</v>
      </c>
      <c r="C321" s="3219"/>
      <c r="D321" s="3219"/>
      <c r="E321" s="3219"/>
      <c r="F321" s="3219">
        <v>960</v>
      </c>
      <c r="G321" s="3232"/>
    </row>
    <row r="322" spans="1:7" s="3208" customFormat="1" ht="14.25" customHeight="1">
      <c r="A322" s="3219" t="s">
        <v>306</v>
      </c>
      <c r="B322" s="3219" t="s">
        <v>3047</v>
      </c>
      <c r="C322" s="3219"/>
      <c r="D322" s="3219"/>
      <c r="E322" s="3219"/>
      <c r="F322" s="3219">
        <v>960</v>
      </c>
      <c r="G322" s="3232"/>
    </row>
    <row r="323" spans="1:7" s="3208" customFormat="1" ht="14.25" customHeight="1">
      <c r="A323" s="3219" t="s">
        <v>306</v>
      </c>
      <c r="B323" s="3219" t="s">
        <v>3049</v>
      </c>
      <c r="C323" s="3219"/>
      <c r="D323" s="3219"/>
      <c r="E323" s="3219"/>
      <c r="F323" s="3219">
        <v>880</v>
      </c>
      <c r="G323" s="3232"/>
    </row>
    <row r="324" spans="1:7" s="3208" customFormat="1" ht="14.25" customHeight="1">
      <c r="A324" s="3219" t="s">
        <v>306</v>
      </c>
      <c r="B324" s="3219" t="s">
        <v>3051</v>
      </c>
      <c r="C324" s="3219"/>
      <c r="D324" s="3219"/>
      <c r="E324" s="3219"/>
      <c r="F324" s="3219">
        <v>930</v>
      </c>
      <c r="G324" s="3232"/>
    </row>
    <row r="325" spans="1:7" s="3208" customFormat="1" ht="14.25" customHeight="1">
      <c r="A325" s="3219" t="s">
        <v>306</v>
      </c>
      <c r="B325" s="3220" t="s">
        <v>3053</v>
      </c>
      <c r="C325" s="3219"/>
      <c r="D325" s="3219"/>
      <c r="E325" s="3219"/>
      <c r="F325" s="3219">
        <v>900</v>
      </c>
      <c r="G325" s="3232"/>
    </row>
    <row r="326" spans="1:7" s="3208" customFormat="1" ht="14.25" customHeight="1" thickBot="1">
      <c r="A326" s="3233" t="s">
        <v>306</v>
      </c>
      <c r="B326" s="3226" t="s">
        <v>3055</v>
      </c>
      <c r="C326" s="3226"/>
      <c r="D326" s="3226"/>
      <c r="E326" s="3226"/>
      <c r="F326" s="3226">
        <v>790</v>
      </c>
      <c r="G326" s="3234"/>
    </row>
    <row r="327" spans="1:7" s="3208" customFormat="1" ht="14.25" customHeight="1">
      <c r="A327" s="3224" t="s">
        <v>307</v>
      </c>
      <c r="B327" s="3215" t="s">
        <v>3154</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3155</v>
      </c>
      <c r="C329" s="3219">
        <v>2730</v>
      </c>
      <c r="D329" s="3219">
        <v>2690</v>
      </c>
      <c r="E329" s="3219">
        <v>3100</v>
      </c>
      <c r="F329" s="3219">
        <v>660</v>
      </c>
      <c r="G329" s="3219">
        <v>1610</v>
      </c>
    </row>
    <row r="330" spans="1:7" s="3208" customFormat="1" ht="14.25" customHeight="1">
      <c r="A330" s="3219" t="s">
        <v>307</v>
      </c>
      <c r="B330" s="3219" t="s">
        <v>3156</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2889</v>
      </c>
      <c r="C332" s="3219">
        <v>3520</v>
      </c>
      <c r="D332" s="3219">
        <v>3480</v>
      </c>
      <c r="E332" s="3219">
        <v>3830</v>
      </c>
      <c r="F332" s="3219">
        <v>720</v>
      </c>
      <c r="G332" s="3219">
        <v>2090</v>
      </c>
    </row>
    <row r="333" spans="1:7" s="3208" customFormat="1" ht="14.25" customHeight="1">
      <c r="A333" s="3219" t="s">
        <v>307</v>
      </c>
      <c r="B333" s="3219" t="s">
        <v>3157</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2899</v>
      </c>
      <c r="C336" s="3219">
        <v>3570</v>
      </c>
      <c r="D336" s="3219">
        <v>3530</v>
      </c>
      <c r="E336" s="3219">
        <v>3880</v>
      </c>
      <c r="F336" s="3219">
        <v>770</v>
      </c>
      <c r="G336" s="3219">
        <v>2110</v>
      </c>
    </row>
    <row r="337" spans="1:10" s="3208" customFormat="1" ht="14.25" customHeight="1">
      <c r="A337" s="3219" t="s">
        <v>307</v>
      </c>
      <c r="B337" s="3219" t="s">
        <v>3158</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3159</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3160</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2924</v>
      </c>
      <c r="C345" s="3219">
        <v>3190</v>
      </c>
      <c r="D345" s="3219">
        <v>3140</v>
      </c>
      <c r="E345" s="3219">
        <v>3450</v>
      </c>
      <c r="F345" s="3219">
        <v>720</v>
      </c>
      <c r="G345" s="3219">
        <v>1880</v>
      </c>
      <c r="J345" s="3208"/>
    </row>
    <row r="346" spans="1:10">
      <c r="A346" s="3219" t="s">
        <v>307</v>
      </c>
      <c r="B346" s="3219" t="s">
        <v>3161</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2933</v>
      </c>
      <c r="C348" s="3219">
        <v>4000</v>
      </c>
      <c r="D348" s="3219">
        <v>3950</v>
      </c>
      <c r="E348" s="3219">
        <v>4430</v>
      </c>
      <c r="F348" s="3219">
        <v>760</v>
      </c>
      <c r="G348" s="3219">
        <v>2360</v>
      </c>
      <c r="J348" s="3208"/>
    </row>
    <row r="349" spans="1:10">
      <c r="A349" s="3219" t="s">
        <v>307</v>
      </c>
      <c r="B349" s="3219" t="s">
        <v>2938</v>
      </c>
      <c r="C349" s="3219">
        <v>3820</v>
      </c>
      <c r="D349" s="3219">
        <v>3780</v>
      </c>
      <c r="E349" s="3219">
        <v>4170</v>
      </c>
      <c r="F349" s="3219">
        <v>710</v>
      </c>
      <c r="G349" s="3219">
        <v>2260</v>
      </c>
      <c r="J349" s="3208"/>
    </row>
    <row r="350" spans="1:10">
      <c r="A350" s="3219" t="s">
        <v>307</v>
      </c>
      <c r="B350" s="3219" t="s">
        <v>3162</v>
      </c>
      <c r="C350" s="3219">
        <v>3760</v>
      </c>
      <c r="D350" s="3219">
        <v>3730</v>
      </c>
      <c r="E350" s="3219">
        <v>4100</v>
      </c>
      <c r="F350" s="3219">
        <v>800</v>
      </c>
      <c r="G350" s="3219">
        <v>2230</v>
      </c>
      <c r="J350" s="3208"/>
    </row>
    <row r="351" spans="1:10">
      <c r="A351" s="3219" t="s">
        <v>307</v>
      </c>
      <c r="B351" s="3219" t="s">
        <v>2946</v>
      </c>
      <c r="C351" s="3219">
        <v>3610</v>
      </c>
      <c r="D351" s="3219">
        <v>3580</v>
      </c>
      <c r="E351" s="3219">
        <v>3930</v>
      </c>
      <c r="F351" s="3219">
        <v>700</v>
      </c>
      <c r="G351" s="3219">
        <v>2140</v>
      </c>
      <c r="J351" s="3208"/>
    </row>
    <row r="352" spans="1:10">
      <c r="A352" s="3219" t="s">
        <v>307</v>
      </c>
      <c r="B352" s="3219" t="s">
        <v>2951</v>
      </c>
      <c r="C352" s="3219">
        <v>3670</v>
      </c>
      <c r="D352" s="3219">
        <v>3630</v>
      </c>
      <c r="E352" s="3219">
        <v>4000</v>
      </c>
      <c r="F352" s="3219">
        <v>750</v>
      </c>
      <c r="G352" s="3219">
        <v>2180</v>
      </c>
    </row>
    <row r="353" spans="1:7" s="3212" customFormat="1">
      <c r="A353" s="3219" t="s">
        <v>307</v>
      </c>
      <c r="B353" s="3219" t="s">
        <v>3163</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2971</v>
      </c>
      <c r="C355" s="3219">
        <v>3650</v>
      </c>
      <c r="D355" s="3219">
        <v>3610</v>
      </c>
      <c r="E355" s="3219">
        <v>4200</v>
      </c>
      <c r="F355" s="3219">
        <v>640</v>
      </c>
      <c r="G355" s="3219">
        <v>2160</v>
      </c>
    </row>
    <row r="356" spans="1:7" s="3212" customFormat="1">
      <c r="A356" s="3219" t="s">
        <v>307</v>
      </c>
      <c r="B356" s="3219" t="s">
        <v>2978</v>
      </c>
      <c r="C356" s="3219">
        <v>3260</v>
      </c>
      <c r="D356" s="3219">
        <v>3230</v>
      </c>
      <c r="E356" s="3219">
        <v>3740</v>
      </c>
      <c r="F356" s="3219">
        <v>600</v>
      </c>
      <c r="G356" s="3219">
        <v>1930</v>
      </c>
    </row>
    <row r="357" spans="1:7" s="3212" customFormat="1" ht="11.4" thickBot="1">
      <c r="A357" s="3227" t="s">
        <v>307</v>
      </c>
      <c r="B357" s="3230" t="s">
        <v>3164</v>
      </c>
      <c r="C357" s="3230">
        <v>3690</v>
      </c>
      <c r="D357" s="3230">
        <v>3650</v>
      </c>
      <c r="E357" s="3230">
        <v>4020</v>
      </c>
      <c r="F357" s="3230">
        <v>700</v>
      </c>
      <c r="G357" s="3230">
        <v>2190</v>
      </c>
    </row>
    <row r="358" spans="1:7" s="3212" customFormat="1">
      <c r="A358" s="3224" t="s">
        <v>3165</v>
      </c>
      <c r="B358" s="3215" t="s">
        <v>3166</v>
      </c>
      <c r="C358" s="3215">
        <v>2080</v>
      </c>
      <c r="D358" s="3215">
        <v>2040</v>
      </c>
      <c r="E358" s="3215">
        <v>2010</v>
      </c>
      <c r="F358" s="3215">
        <v>530</v>
      </c>
      <c r="G358" s="3231">
        <v>1230</v>
      </c>
    </row>
    <row r="359" spans="1:7" s="3212" customFormat="1">
      <c r="A359" s="3219" t="s">
        <v>3165</v>
      </c>
      <c r="B359" s="3219" t="s">
        <v>3167</v>
      </c>
      <c r="C359" s="3219">
        <v>1850</v>
      </c>
      <c r="D359" s="3219">
        <v>1820</v>
      </c>
      <c r="E359" s="3219">
        <v>1780</v>
      </c>
      <c r="F359" s="3219">
        <v>520</v>
      </c>
      <c r="G359" s="3232">
        <v>1100</v>
      </c>
    </row>
    <row r="360" spans="1:7" s="3212" customFormat="1">
      <c r="A360" s="3219" t="s">
        <v>3165</v>
      </c>
      <c r="B360" s="3219" t="s">
        <v>3168</v>
      </c>
      <c r="C360" s="3219">
        <v>2020</v>
      </c>
      <c r="D360" s="3219">
        <v>1990</v>
      </c>
      <c r="E360" s="3219">
        <v>1950</v>
      </c>
      <c r="F360" s="3219">
        <v>500</v>
      </c>
      <c r="G360" s="3232">
        <v>1200</v>
      </c>
    </row>
    <row r="361" spans="1:7" s="3212" customFormat="1">
      <c r="A361" s="3219" t="s">
        <v>3165</v>
      </c>
      <c r="B361" s="3219" t="s">
        <v>153</v>
      </c>
      <c r="C361" s="3219">
        <v>2260</v>
      </c>
      <c r="D361" s="3219">
        <v>2220</v>
      </c>
      <c r="E361" s="3219">
        <v>2180</v>
      </c>
      <c r="F361" s="3219">
        <v>580</v>
      </c>
      <c r="G361" s="3232">
        <v>1340</v>
      </c>
    </row>
    <row r="362" spans="1:7" s="3212" customFormat="1">
      <c r="A362" s="3219" t="s">
        <v>3165</v>
      </c>
      <c r="B362" s="3219" t="s">
        <v>3169</v>
      </c>
      <c r="C362" s="3219">
        <v>2650</v>
      </c>
      <c r="D362" s="3219">
        <v>2610</v>
      </c>
      <c r="E362" s="3219">
        <v>2570</v>
      </c>
      <c r="F362" s="3219">
        <v>630</v>
      </c>
      <c r="G362" s="3232">
        <v>1570</v>
      </c>
    </row>
    <row r="363" spans="1:7" s="3212" customFormat="1">
      <c r="A363" s="3219" t="s">
        <v>3165</v>
      </c>
      <c r="B363" s="3219" t="s">
        <v>2890</v>
      </c>
      <c r="C363" s="3219">
        <v>2390</v>
      </c>
      <c r="D363" s="3219">
        <v>2360</v>
      </c>
      <c r="E363" s="3219">
        <v>2320</v>
      </c>
      <c r="F363" s="3219">
        <v>600</v>
      </c>
      <c r="G363" s="3232">
        <v>1420</v>
      </c>
    </row>
    <row r="364" spans="1:7" s="3212" customFormat="1">
      <c r="A364" s="3219" t="s">
        <v>3165</v>
      </c>
      <c r="B364" s="3219" t="s">
        <v>3170</v>
      </c>
      <c r="C364" s="3219">
        <v>2050</v>
      </c>
      <c r="D364" s="3219">
        <v>2030</v>
      </c>
      <c r="E364" s="3219">
        <v>1990</v>
      </c>
      <c r="F364" s="3219">
        <v>550</v>
      </c>
      <c r="G364" s="3232">
        <v>1220</v>
      </c>
    </row>
    <row r="365" spans="1:7" s="3212" customFormat="1">
      <c r="A365" s="3219" t="s">
        <v>3165</v>
      </c>
      <c r="B365" s="3219" t="s">
        <v>200</v>
      </c>
      <c r="C365" s="3219">
        <v>2140</v>
      </c>
      <c r="D365" s="3219">
        <v>2100</v>
      </c>
      <c r="E365" s="3219">
        <v>2060</v>
      </c>
      <c r="F365" s="3219">
        <v>540</v>
      </c>
      <c r="G365" s="3232">
        <v>1270</v>
      </c>
    </row>
    <row r="366" spans="1:7" s="3212" customFormat="1">
      <c r="A366" s="3219" t="s">
        <v>3165</v>
      </c>
      <c r="B366" s="3219" t="s">
        <v>2897</v>
      </c>
      <c r="C366" s="3219">
        <v>2410</v>
      </c>
      <c r="D366" s="3219">
        <v>2370</v>
      </c>
      <c r="E366" s="3219">
        <v>2330</v>
      </c>
      <c r="F366" s="3219">
        <v>570</v>
      </c>
      <c r="G366" s="3232">
        <v>1440</v>
      </c>
    </row>
    <row r="367" spans="1:7" s="3212" customFormat="1">
      <c r="A367" s="3219" t="s">
        <v>3165</v>
      </c>
      <c r="B367" s="3219" t="s">
        <v>3171</v>
      </c>
      <c r="C367" s="3219">
        <v>2300</v>
      </c>
      <c r="D367" s="3219">
        <v>2260</v>
      </c>
      <c r="E367" s="3219">
        <v>2220</v>
      </c>
      <c r="F367" s="3219">
        <v>560</v>
      </c>
      <c r="G367" s="3232">
        <v>1370</v>
      </c>
    </row>
    <row r="368" spans="1:7" s="3212" customFormat="1">
      <c r="A368" s="3219" t="s">
        <v>3165</v>
      </c>
      <c r="B368" s="3219" t="s">
        <v>3172</v>
      </c>
      <c r="C368" s="3219">
        <v>2430</v>
      </c>
      <c r="D368" s="3219">
        <v>2390</v>
      </c>
      <c r="E368" s="3219">
        <v>2350</v>
      </c>
      <c r="F368" s="3219">
        <v>570</v>
      </c>
      <c r="G368" s="3232">
        <v>1450</v>
      </c>
    </row>
    <row r="369" spans="1:7" s="3212" customFormat="1">
      <c r="A369" s="3219" t="s">
        <v>3165</v>
      </c>
      <c r="B369" s="3219" t="s">
        <v>214</v>
      </c>
      <c r="C369" s="3219">
        <v>2320</v>
      </c>
      <c r="D369" s="3219">
        <v>2290</v>
      </c>
      <c r="E369" s="3219">
        <v>2250</v>
      </c>
      <c r="F369" s="3219">
        <v>550</v>
      </c>
      <c r="G369" s="3232">
        <v>1380</v>
      </c>
    </row>
    <row r="370" spans="1:7" s="3212" customFormat="1">
      <c r="A370" s="3219" t="s">
        <v>3165</v>
      </c>
      <c r="B370" s="3219" t="s">
        <v>221</v>
      </c>
      <c r="C370" s="3219">
        <v>2190</v>
      </c>
      <c r="D370" s="3219">
        <v>2170</v>
      </c>
      <c r="E370" s="3219">
        <v>2130</v>
      </c>
      <c r="F370" s="3219">
        <v>530</v>
      </c>
      <c r="G370" s="3232">
        <v>1310</v>
      </c>
    </row>
    <row r="371" spans="1:7" s="3212" customFormat="1">
      <c r="A371" s="3219" t="s">
        <v>3165</v>
      </c>
      <c r="B371" s="3219" t="s">
        <v>229</v>
      </c>
      <c r="C371" s="3219">
        <v>2460</v>
      </c>
      <c r="D371" s="3219">
        <v>2420</v>
      </c>
      <c r="E371" s="3219">
        <v>2370</v>
      </c>
      <c r="F371" s="3219">
        <v>560</v>
      </c>
      <c r="G371" s="3232">
        <v>1470</v>
      </c>
    </row>
    <row r="372" spans="1:7" s="3212" customFormat="1">
      <c r="A372" s="3219" t="s">
        <v>3165</v>
      </c>
      <c r="B372" s="3219" t="s">
        <v>3173</v>
      </c>
      <c r="C372" s="3219">
        <v>2250</v>
      </c>
      <c r="D372" s="3219">
        <v>2210</v>
      </c>
      <c r="E372" s="3219">
        <v>2180</v>
      </c>
      <c r="F372" s="3219">
        <v>550</v>
      </c>
      <c r="G372" s="3232">
        <v>1340</v>
      </c>
    </row>
    <row r="373" spans="1:7" s="3212" customFormat="1">
      <c r="A373" s="3219" t="s">
        <v>3165</v>
      </c>
      <c r="B373" s="3219" t="s">
        <v>258</v>
      </c>
      <c r="C373" s="3219">
        <v>2210</v>
      </c>
      <c r="D373" s="3219">
        <v>2190</v>
      </c>
      <c r="E373" s="3219">
        <v>2150</v>
      </c>
      <c r="F373" s="3219">
        <v>530</v>
      </c>
      <c r="G373" s="3232">
        <v>1320</v>
      </c>
    </row>
    <row r="374" spans="1:7" s="3212" customFormat="1">
      <c r="A374" s="3219" t="s">
        <v>3165</v>
      </c>
      <c r="B374" s="3219" t="s">
        <v>266</v>
      </c>
      <c r="C374" s="3219">
        <v>2320</v>
      </c>
      <c r="D374" s="3219">
        <v>2280</v>
      </c>
      <c r="E374" s="3219">
        <v>2230</v>
      </c>
      <c r="F374" s="3219">
        <v>580</v>
      </c>
      <c r="G374" s="3232">
        <v>1380</v>
      </c>
    </row>
    <row r="375" spans="1:7" s="3212" customFormat="1">
      <c r="A375" s="3219" t="s">
        <v>3165</v>
      </c>
      <c r="B375" s="3219" t="s">
        <v>3174</v>
      </c>
      <c r="C375" s="3219">
        <v>2090</v>
      </c>
      <c r="D375" s="3219">
        <v>2050</v>
      </c>
      <c r="E375" s="3219">
        <v>2020</v>
      </c>
      <c r="F375" s="3219">
        <v>520</v>
      </c>
      <c r="G375" s="3232">
        <v>1240</v>
      </c>
    </row>
    <row r="376" spans="1:7" s="3212" customFormat="1">
      <c r="A376" s="3219" t="s">
        <v>3165</v>
      </c>
      <c r="B376" s="3219" t="s">
        <v>277</v>
      </c>
      <c r="C376" s="3219">
        <v>2010</v>
      </c>
      <c r="D376" s="3219">
        <v>1980</v>
      </c>
      <c r="E376" s="3219">
        <v>1940</v>
      </c>
      <c r="F376" s="3219">
        <v>540</v>
      </c>
      <c r="G376" s="3232">
        <v>1190</v>
      </c>
    </row>
    <row r="377" spans="1:7" s="3212" customFormat="1" ht="11.4" thickBot="1">
      <c r="A377" s="3227" t="s">
        <v>3165</v>
      </c>
      <c r="B377" s="3230" t="s">
        <v>2927</v>
      </c>
      <c r="C377" s="3230">
        <v>1930</v>
      </c>
      <c r="D377" s="3230">
        <v>1890</v>
      </c>
      <c r="E377" s="3230">
        <v>1860</v>
      </c>
      <c r="F377" s="3230">
        <v>530</v>
      </c>
      <c r="G377" s="3235">
        <v>1150</v>
      </c>
    </row>
    <row r="378" spans="1:7" s="3212" customFormat="1">
      <c r="A378" s="3236" t="s">
        <v>3175</v>
      </c>
      <c r="B378" s="3215" t="s">
        <v>3176</v>
      </c>
      <c r="C378" s="3215">
        <v>1520</v>
      </c>
      <c r="D378" s="3215">
        <v>1490</v>
      </c>
      <c r="E378" s="3215">
        <v>1460</v>
      </c>
      <c r="F378" s="3215">
        <v>460</v>
      </c>
      <c r="G378" s="3231">
        <v>940</v>
      </c>
    </row>
    <row r="379" spans="1:7" s="3212" customFormat="1">
      <c r="A379" s="3237" t="s">
        <v>3175</v>
      </c>
      <c r="B379" s="3219" t="s">
        <v>3177</v>
      </c>
      <c r="C379" s="3219">
        <v>1500</v>
      </c>
      <c r="D379" s="3219">
        <v>1470</v>
      </c>
      <c r="E379" s="3219">
        <v>1430</v>
      </c>
      <c r="F379" s="3219">
        <v>460</v>
      </c>
      <c r="G379" s="3232">
        <v>920</v>
      </c>
    </row>
    <row r="380" spans="1:7" s="3212" customFormat="1">
      <c r="A380" s="3237" t="s">
        <v>3175</v>
      </c>
      <c r="B380" s="3219" t="s">
        <v>3178</v>
      </c>
      <c r="C380" s="3219">
        <v>1620</v>
      </c>
      <c r="D380" s="3219">
        <v>1590</v>
      </c>
      <c r="E380" s="3219">
        <v>1560</v>
      </c>
      <c r="F380" s="3219">
        <v>480</v>
      </c>
      <c r="G380" s="3232">
        <v>1000</v>
      </c>
    </row>
    <row r="381" spans="1:7" s="3212" customFormat="1">
      <c r="A381" s="3237" t="s">
        <v>3175</v>
      </c>
      <c r="B381" s="3219" t="s">
        <v>3179</v>
      </c>
      <c r="C381" s="3219">
        <v>1460</v>
      </c>
      <c r="D381" s="3219">
        <v>1430</v>
      </c>
      <c r="E381" s="3219">
        <v>1390</v>
      </c>
      <c r="F381" s="3219">
        <v>450</v>
      </c>
      <c r="G381" s="3232">
        <v>900</v>
      </c>
    </row>
    <row r="382" spans="1:7" s="3212" customFormat="1">
      <c r="A382" s="3237" t="s">
        <v>3175</v>
      </c>
      <c r="B382" s="3219" t="s">
        <v>3180</v>
      </c>
      <c r="C382" s="3219">
        <v>1310</v>
      </c>
      <c r="D382" s="3219">
        <v>1280</v>
      </c>
      <c r="E382" s="3219">
        <v>1250</v>
      </c>
      <c r="F382" s="3219">
        <v>440</v>
      </c>
      <c r="G382" s="3232">
        <v>800</v>
      </c>
    </row>
    <row r="383" spans="1:7" s="3212" customFormat="1">
      <c r="A383" s="3237" t="s">
        <v>3175</v>
      </c>
      <c r="B383" s="3219" t="s">
        <v>3181</v>
      </c>
      <c r="C383" s="3219">
        <v>1260</v>
      </c>
      <c r="D383" s="3219">
        <v>1230</v>
      </c>
      <c r="E383" s="3219">
        <v>1200</v>
      </c>
      <c r="F383" s="3219">
        <v>420</v>
      </c>
      <c r="G383" s="3232">
        <v>770</v>
      </c>
    </row>
    <row r="384" spans="1:7" s="3212" customFormat="1" ht="11.4" thickBot="1">
      <c r="A384" s="3238" t="s">
        <v>3175</v>
      </c>
      <c r="B384" s="3226" t="s">
        <v>3182</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5" customWidth="1"/>
    <col min="2" max="2" width="20" style="3275" customWidth="1"/>
    <col min="3" max="7" width="8.88671875" style="3239"/>
    <col min="8" max="16384" width="8.88671875" style="3240"/>
  </cols>
  <sheetData>
    <row r="1" spans="1:7">
      <c r="A1" s="3773" t="s">
        <v>3183</v>
      </c>
      <c r="B1" s="3773"/>
    </row>
    <row r="2" spans="1:7" ht="15" thickBot="1">
      <c r="A2" s="3241"/>
      <c r="B2" s="3241"/>
    </row>
    <row r="3" spans="1:7" ht="15" thickBot="1">
      <c r="A3" s="3241"/>
      <c r="B3" s="3241"/>
      <c r="C3" s="3242" t="s">
        <v>2813</v>
      </c>
      <c r="D3" s="3242" t="s">
        <v>2869</v>
      </c>
      <c r="E3" s="3242" t="s">
        <v>2815</v>
      </c>
      <c r="F3" s="3242" t="s">
        <v>2870</v>
      </c>
      <c r="G3" s="3242" t="s">
        <v>2633</v>
      </c>
    </row>
    <row r="4" spans="1:7" ht="15" thickBot="1">
      <c r="A4" s="3243" t="s">
        <v>2868</v>
      </c>
      <c r="B4" s="3244" t="s">
        <v>2874</v>
      </c>
      <c r="C4" s="3242"/>
      <c r="D4" s="3242"/>
      <c r="E4" s="3242"/>
      <c r="F4" s="3242"/>
      <c r="G4" s="3242"/>
    </row>
    <row r="5" spans="1:7">
      <c r="A5" s="3245" t="s">
        <v>2842</v>
      </c>
      <c r="B5" s="3246" t="s">
        <v>2856</v>
      </c>
      <c r="C5" s="3247">
        <v>9.8000000000000004E-2</v>
      </c>
      <c r="D5" s="3247">
        <v>8.6999999999999994E-2</v>
      </c>
      <c r="E5" s="3247">
        <v>8.6999999999999994E-2</v>
      </c>
      <c r="F5" s="3247">
        <v>9.8000000000000004E-2</v>
      </c>
      <c r="G5" s="3248">
        <v>9.5000000000000001E-2</v>
      </c>
    </row>
    <row r="6" spans="1:7">
      <c r="A6" s="3249" t="s">
        <v>144</v>
      </c>
      <c r="B6" s="3250" t="s">
        <v>2871</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5" thickBot="1">
      <c r="A9" s="3253" t="s">
        <v>144</v>
      </c>
      <c r="B9" s="3254" t="s">
        <v>154</v>
      </c>
      <c r="C9" s="3255">
        <v>0.1</v>
      </c>
      <c r="D9" s="3255">
        <v>0.1</v>
      </c>
      <c r="E9" s="3255">
        <v>0.1</v>
      </c>
      <c r="F9" s="3256"/>
      <c r="G9" s="3257">
        <v>0.1</v>
      </c>
    </row>
    <row r="10" spans="1:7">
      <c r="A10" s="3245" t="s">
        <v>184</v>
      </c>
      <c r="B10" s="3246" t="s">
        <v>2857</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2907</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5" thickBot="1">
      <c r="A29" s="3253" t="s">
        <v>184</v>
      </c>
      <c r="B29" s="3254" t="s">
        <v>2925</v>
      </c>
      <c r="C29" s="3259"/>
      <c r="D29" s="3255">
        <v>5.1999999999999998E-2</v>
      </c>
      <c r="E29" s="3255">
        <v>7.0000000000000007E-2</v>
      </c>
      <c r="F29" s="3259"/>
      <c r="G29" s="3257">
        <v>7.0999999999999994E-2</v>
      </c>
    </row>
    <row r="30" spans="1:7">
      <c r="A30" s="3260" t="s">
        <v>296</v>
      </c>
      <c r="B30" s="3246" t="s">
        <v>2858</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2844</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2928</v>
      </c>
      <c r="C50" s="3251">
        <v>9.8000000000000004E-2</v>
      </c>
      <c r="D50" s="3251">
        <v>7.2999999999999995E-2</v>
      </c>
      <c r="E50" s="3251">
        <v>7.0999999999999994E-2</v>
      </c>
      <c r="F50" s="3262"/>
      <c r="G50" s="3252">
        <v>7.2999999999999995E-2</v>
      </c>
    </row>
    <row r="51" spans="1:7">
      <c r="A51" s="3261" t="s">
        <v>296</v>
      </c>
      <c r="B51" s="3250" t="s">
        <v>2930</v>
      </c>
      <c r="C51" s="3251">
        <v>9.9000000000000005E-2</v>
      </c>
      <c r="D51" s="3251">
        <v>8.5000000000000006E-2</v>
      </c>
      <c r="E51" s="3251">
        <v>6.3E-2</v>
      </c>
      <c r="F51" s="3262"/>
      <c r="G51" s="3252">
        <v>9.6000000000000002E-2</v>
      </c>
    </row>
    <row r="52" spans="1:7">
      <c r="A52" s="3261" t="s">
        <v>296</v>
      </c>
      <c r="B52" s="3250" t="s">
        <v>2934</v>
      </c>
      <c r="C52" s="3251">
        <v>7.3999999999999996E-2</v>
      </c>
      <c r="D52" s="3251">
        <v>9.6000000000000002E-2</v>
      </c>
      <c r="E52" s="3251">
        <v>0.05</v>
      </c>
      <c r="F52" s="3262"/>
      <c r="G52" s="3252">
        <v>9.8000000000000004E-2</v>
      </c>
    </row>
    <row r="53" spans="1:7">
      <c r="A53" s="3261" t="s">
        <v>296</v>
      </c>
      <c r="B53" s="3250" t="s">
        <v>2939</v>
      </c>
      <c r="C53" s="3251">
        <v>8.5999999999999993E-2</v>
      </c>
      <c r="D53" s="3262"/>
      <c r="E53" s="3251">
        <v>9.1999999999999998E-2</v>
      </c>
      <c r="F53" s="3262"/>
      <c r="G53" s="3263"/>
    </row>
    <row r="54" spans="1:7" ht="15" thickBot="1">
      <c r="A54" s="3264" t="s">
        <v>296</v>
      </c>
      <c r="B54" s="3254" t="s">
        <v>2942</v>
      </c>
      <c r="C54" s="3255">
        <v>9.6000000000000002E-2</v>
      </c>
      <c r="D54" s="3256"/>
      <c r="E54" s="3265"/>
      <c r="F54" s="3256"/>
      <c r="G54" s="3266"/>
    </row>
    <row r="55" spans="1:7">
      <c r="A55" s="3260" t="s">
        <v>110</v>
      </c>
      <c r="B55" s="3246" t="s">
        <v>2859</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2940</v>
      </c>
      <c r="C78" s="3251">
        <v>0.1</v>
      </c>
      <c r="D78" s="3251">
        <v>8.5000000000000006E-2</v>
      </c>
      <c r="E78" s="3251">
        <v>9.6000000000000002E-2</v>
      </c>
      <c r="F78" s="3262"/>
      <c r="G78" s="3252">
        <v>9.6000000000000002E-2</v>
      </c>
    </row>
    <row r="79" spans="1:7">
      <c r="A79" s="3261" t="s">
        <v>110</v>
      </c>
      <c r="B79" s="3250" t="s">
        <v>2943</v>
      </c>
      <c r="C79" s="3251">
        <v>0.05</v>
      </c>
      <c r="D79" s="3251">
        <v>9.6000000000000002E-2</v>
      </c>
      <c r="E79" s="3251">
        <v>9.5000000000000001E-2</v>
      </c>
      <c r="F79" s="3262"/>
      <c r="G79" s="3252">
        <v>9.8000000000000004E-2</v>
      </c>
    </row>
    <row r="80" spans="1:7">
      <c r="A80" s="3261" t="s">
        <v>110</v>
      </c>
      <c r="B80" s="3250" t="s">
        <v>2947</v>
      </c>
      <c r="C80" s="3251">
        <v>8.5999999999999993E-2</v>
      </c>
      <c r="D80" s="3267"/>
      <c r="E80" s="3251">
        <v>0.1</v>
      </c>
      <c r="F80" s="3262"/>
      <c r="G80" s="3263"/>
    </row>
    <row r="81" spans="1:7">
      <c r="A81" s="3261" t="s">
        <v>110</v>
      </c>
      <c r="B81" s="3250" t="s">
        <v>2952</v>
      </c>
      <c r="C81" s="3251">
        <v>9.6000000000000002E-2</v>
      </c>
      <c r="D81" s="3262"/>
      <c r="E81" s="3251">
        <v>9.8000000000000004E-2</v>
      </c>
      <c r="F81" s="3262"/>
      <c r="G81" s="3263"/>
    </row>
    <row r="82" spans="1:7">
      <c r="A82" s="3261" t="s">
        <v>110</v>
      </c>
      <c r="B82" s="3250" t="s">
        <v>2959</v>
      </c>
      <c r="C82" s="3267"/>
      <c r="D82" s="3262"/>
      <c r="E82" s="3251">
        <v>7.6999999999999999E-2</v>
      </c>
      <c r="F82" s="3262"/>
      <c r="G82" s="3263"/>
    </row>
    <row r="83" spans="1:7">
      <c r="A83" s="3261" t="s">
        <v>110</v>
      </c>
      <c r="B83" s="3250" t="s">
        <v>2965</v>
      </c>
      <c r="C83" s="3262"/>
      <c r="D83" s="3262"/>
      <c r="E83" s="3262"/>
      <c r="F83" s="3251">
        <v>0.1</v>
      </c>
      <c r="G83" s="3268"/>
    </row>
    <row r="84" spans="1:7">
      <c r="A84" s="3261" t="s">
        <v>110</v>
      </c>
      <c r="B84" s="3250" t="s">
        <v>2972</v>
      </c>
      <c r="C84" s="3262"/>
      <c r="D84" s="3262"/>
      <c r="E84" s="3262"/>
      <c r="F84" s="3251">
        <v>0.1</v>
      </c>
      <c r="G84" s="3268"/>
    </row>
    <row r="85" spans="1:7">
      <c r="A85" s="3261" t="s">
        <v>110</v>
      </c>
      <c r="B85" s="3250" t="s">
        <v>2979</v>
      </c>
      <c r="C85" s="3262"/>
      <c r="D85" s="3262"/>
      <c r="E85" s="3262"/>
      <c r="F85" s="3251">
        <v>0.1</v>
      </c>
      <c r="G85" s="3268"/>
    </row>
    <row r="86" spans="1:7" ht="15" thickBot="1">
      <c r="A86" s="3264" t="s">
        <v>110</v>
      </c>
      <c r="B86" s="3254" t="s">
        <v>2984</v>
      </c>
      <c r="C86" s="3255">
        <v>9.8000000000000004E-2</v>
      </c>
      <c r="D86" s="3255">
        <v>9.8000000000000004E-2</v>
      </c>
      <c r="E86" s="3255">
        <v>9.6000000000000002E-2</v>
      </c>
      <c r="F86" s="3265"/>
      <c r="G86" s="3257">
        <v>0.1</v>
      </c>
    </row>
    <row r="87" spans="1:7">
      <c r="A87" s="3260" t="s">
        <v>303</v>
      </c>
      <c r="B87" s="3246" t="s">
        <v>2860</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2953</v>
      </c>
      <c r="C113" s="3251">
        <v>0.1</v>
      </c>
      <c r="D113" s="3251">
        <v>0.1</v>
      </c>
      <c r="E113" s="3262"/>
      <c r="F113" s="3262"/>
      <c r="G113" s="3252">
        <v>0.1</v>
      </c>
    </row>
    <row r="114" spans="1:7">
      <c r="A114" s="3261" t="s">
        <v>303</v>
      </c>
      <c r="B114" s="3250" t="s">
        <v>2960</v>
      </c>
      <c r="C114" s="3251">
        <v>9.7000000000000003E-2</v>
      </c>
      <c r="D114" s="3251">
        <v>9.7000000000000003E-2</v>
      </c>
      <c r="E114" s="3262"/>
      <c r="F114" s="3262"/>
      <c r="G114" s="3252">
        <v>9.9000000000000005E-2</v>
      </c>
    </row>
    <row r="115" spans="1:7">
      <c r="A115" s="3261" t="s">
        <v>303</v>
      </c>
      <c r="B115" s="3250" t="s">
        <v>2966</v>
      </c>
      <c r="C115" s="3251">
        <v>0.1</v>
      </c>
      <c r="D115" s="3251">
        <v>0.1</v>
      </c>
      <c r="E115" s="3262"/>
      <c r="F115" s="3262"/>
      <c r="G115" s="3252">
        <v>0.1</v>
      </c>
    </row>
    <row r="116" spans="1:7">
      <c r="A116" s="3261" t="s">
        <v>303</v>
      </c>
      <c r="B116" s="3250" t="s">
        <v>2973</v>
      </c>
      <c r="C116" s="3251">
        <v>0.1</v>
      </c>
      <c r="D116" s="3251">
        <v>0.1</v>
      </c>
      <c r="E116" s="3262"/>
      <c r="F116" s="3262"/>
      <c r="G116" s="3252">
        <v>0.1</v>
      </c>
    </row>
    <row r="117" spans="1:7">
      <c r="A117" s="3261" t="s">
        <v>303</v>
      </c>
      <c r="B117" s="3250" t="s">
        <v>2980</v>
      </c>
      <c r="C117" s="3251">
        <v>9.7000000000000003E-2</v>
      </c>
      <c r="D117" s="3251">
        <v>9.7000000000000003E-2</v>
      </c>
      <c r="E117" s="3262"/>
      <c r="F117" s="3262"/>
      <c r="G117" s="3252">
        <v>9.7000000000000003E-2</v>
      </c>
    </row>
    <row r="118" spans="1:7">
      <c r="A118" s="3261" t="s">
        <v>303</v>
      </c>
      <c r="B118" s="3250" t="s">
        <v>2985</v>
      </c>
      <c r="C118" s="3251">
        <v>0.1</v>
      </c>
      <c r="D118" s="3251">
        <v>0.1</v>
      </c>
      <c r="E118" s="3262"/>
      <c r="F118" s="3262"/>
      <c r="G118" s="3252">
        <v>0.1</v>
      </c>
    </row>
    <row r="119" spans="1:7">
      <c r="A119" s="3261" t="s">
        <v>303</v>
      </c>
      <c r="B119" s="3250" t="s">
        <v>2989</v>
      </c>
      <c r="C119" s="3251">
        <v>5.0999999999999997E-2</v>
      </c>
      <c r="D119" s="3251">
        <v>5.1999999999999998E-2</v>
      </c>
      <c r="E119" s="3262"/>
      <c r="F119" s="3267"/>
      <c r="G119" s="3252">
        <v>0.06</v>
      </c>
    </row>
    <row r="120" spans="1:7">
      <c r="A120" s="3261" t="s">
        <v>303</v>
      </c>
      <c r="B120" s="3250" t="s">
        <v>2993</v>
      </c>
      <c r="C120" s="3262"/>
      <c r="D120" s="3262"/>
      <c r="E120" s="3262"/>
      <c r="F120" s="3251">
        <v>0.1</v>
      </c>
      <c r="G120" s="3268"/>
    </row>
    <row r="121" spans="1:7">
      <c r="A121" s="3261" t="s">
        <v>303</v>
      </c>
      <c r="B121" s="3250" t="s">
        <v>2998</v>
      </c>
      <c r="C121" s="3262"/>
      <c r="D121" s="3262"/>
      <c r="E121" s="3262"/>
      <c r="F121" s="3251">
        <v>0.1</v>
      </c>
      <c r="G121" s="3268"/>
    </row>
    <row r="122" spans="1:7">
      <c r="A122" s="3261" t="s">
        <v>303</v>
      </c>
      <c r="B122" s="3250" t="s">
        <v>3003</v>
      </c>
      <c r="C122" s="3251">
        <v>0.1</v>
      </c>
      <c r="D122" s="3251">
        <v>0.1</v>
      </c>
      <c r="E122" s="3251">
        <v>9.8000000000000004E-2</v>
      </c>
      <c r="F122" s="3251">
        <v>0.1</v>
      </c>
      <c r="G122" s="3252">
        <v>0.1</v>
      </c>
    </row>
    <row r="123" spans="1:7">
      <c r="A123" s="3261" t="s">
        <v>303</v>
      </c>
      <c r="B123" s="3250" t="s">
        <v>3008</v>
      </c>
      <c r="C123" s="3251">
        <v>0.1</v>
      </c>
      <c r="D123" s="3251">
        <v>0.1</v>
      </c>
      <c r="E123" s="3251">
        <v>9.8000000000000004E-2</v>
      </c>
      <c r="F123" s="3251">
        <v>0.1</v>
      </c>
      <c r="G123" s="3252">
        <v>0.1</v>
      </c>
    </row>
    <row r="124" spans="1:7">
      <c r="A124" s="3261" t="s">
        <v>303</v>
      </c>
      <c r="B124" s="3250" t="s">
        <v>3013</v>
      </c>
      <c r="C124" s="3251">
        <v>0.1</v>
      </c>
      <c r="D124" s="3251">
        <v>0.1</v>
      </c>
      <c r="E124" s="3251">
        <v>9.8000000000000004E-2</v>
      </c>
      <c r="F124" s="3267"/>
      <c r="G124" s="3252">
        <v>0.1</v>
      </c>
    </row>
    <row r="125" spans="1:7">
      <c r="A125" s="3261" t="s">
        <v>303</v>
      </c>
      <c r="B125" s="3250" t="s">
        <v>3018</v>
      </c>
      <c r="C125" s="3251">
        <v>9.8000000000000004E-2</v>
      </c>
      <c r="D125" s="3251">
        <v>9.8000000000000004E-2</v>
      </c>
      <c r="E125" s="3251">
        <v>9.6000000000000002E-2</v>
      </c>
      <c r="F125" s="3267"/>
      <c r="G125" s="3252">
        <v>0.1</v>
      </c>
    </row>
    <row r="126" spans="1:7" ht="15" thickBot="1">
      <c r="A126" s="3264" t="s">
        <v>303</v>
      </c>
      <c r="B126" s="3254" t="s">
        <v>3184</v>
      </c>
      <c r="C126" s="3255">
        <v>0.1</v>
      </c>
      <c r="D126" s="3255">
        <v>0.1</v>
      </c>
      <c r="E126" s="3255">
        <v>9.8000000000000004E-2</v>
      </c>
      <c r="F126" s="3255">
        <v>0.1</v>
      </c>
      <c r="G126" s="3257">
        <v>0.1</v>
      </c>
    </row>
    <row r="127" spans="1:7">
      <c r="A127" s="3260" t="s">
        <v>29</v>
      </c>
      <c r="B127" s="3246" t="s">
        <v>2861</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2931</v>
      </c>
      <c r="C148" s="3251">
        <v>0.13</v>
      </c>
      <c r="D148" s="3251">
        <v>0.13</v>
      </c>
      <c r="E148" s="3251">
        <v>0.13</v>
      </c>
      <c r="F148" s="3262"/>
      <c r="G148" s="3252">
        <v>0.13</v>
      </c>
    </row>
    <row r="149" spans="1:7">
      <c r="A149" s="3261" t="s">
        <v>29</v>
      </c>
      <c r="B149" s="3250" t="s">
        <v>2935</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2954</v>
      </c>
      <c r="C153" s="3251">
        <v>0.13</v>
      </c>
      <c r="D153" s="3251">
        <v>0.13</v>
      </c>
      <c r="E153" s="3251">
        <v>0.13</v>
      </c>
      <c r="F153" s="3251">
        <v>0.13</v>
      </c>
      <c r="G153" s="3252">
        <v>0.13</v>
      </c>
    </row>
    <row r="154" spans="1:7">
      <c r="A154" s="3261" t="s">
        <v>29</v>
      </c>
      <c r="B154" s="3250" t="s">
        <v>2961</v>
      </c>
      <c r="C154" s="3251">
        <v>0.121</v>
      </c>
      <c r="D154" s="3251">
        <v>0.121</v>
      </c>
      <c r="E154" s="3251">
        <v>0.105</v>
      </c>
      <c r="F154" s="3251">
        <v>0.121</v>
      </c>
      <c r="G154" s="3252">
        <v>0.123</v>
      </c>
    </row>
    <row r="155" spans="1:7">
      <c r="A155" s="3261" t="s">
        <v>29</v>
      </c>
      <c r="B155" s="3250" t="s">
        <v>2967</v>
      </c>
      <c r="C155" s="3251">
        <v>0.1</v>
      </c>
      <c r="D155" s="3251">
        <v>0.1</v>
      </c>
      <c r="E155" s="3251">
        <v>0.1</v>
      </c>
      <c r="F155" s="3251">
        <v>0.1</v>
      </c>
      <c r="G155" s="3252">
        <v>0.1</v>
      </c>
    </row>
    <row r="156" spans="1:7">
      <c r="A156" s="3261" t="s">
        <v>29</v>
      </c>
      <c r="B156" s="3250" t="s">
        <v>2974</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2994</v>
      </c>
      <c r="C160" s="3251">
        <v>0.13</v>
      </c>
      <c r="D160" s="3251">
        <v>0.13</v>
      </c>
      <c r="E160" s="3251">
        <v>0.124</v>
      </c>
      <c r="F160" s="3251">
        <v>0.126</v>
      </c>
      <c r="G160" s="3252">
        <v>0.13</v>
      </c>
    </row>
    <row r="161" spans="1:7">
      <c r="A161" s="3261" t="s">
        <v>29</v>
      </c>
      <c r="B161" s="3250" t="s">
        <v>2999</v>
      </c>
      <c r="C161" s="3251">
        <v>0.13</v>
      </c>
      <c r="D161" s="3251">
        <v>0.13</v>
      </c>
      <c r="E161" s="3251">
        <v>0.124</v>
      </c>
      <c r="F161" s="3251">
        <v>0.127</v>
      </c>
      <c r="G161" s="3252">
        <v>0.13</v>
      </c>
    </row>
    <row r="162" spans="1:7">
      <c r="A162" s="3261" t="s">
        <v>29</v>
      </c>
      <c r="B162" s="3250" t="s">
        <v>3004</v>
      </c>
      <c r="C162" s="3251">
        <v>0.1</v>
      </c>
      <c r="D162" s="3251">
        <v>0.1</v>
      </c>
      <c r="E162" s="3251">
        <v>0.1</v>
      </c>
      <c r="F162" s="3251">
        <v>0.121</v>
      </c>
      <c r="G162" s="3252">
        <v>0.105</v>
      </c>
    </row>
    <row r="163" spans="1:7">
      <c r="A163" s="3261" t="s">
        <v>29</v>
      </c>
      <c r="B163" s="3250" t="s">
        <v>3009</v>
      </c>
      <c r="C163" s="3251">
        <v>0.1</v>
      </c>
      <c r="D163" s="3251">
        <v>0.1</v>
      </c>
      <c r="E163" s="3251">
        <v>0.1</v>
      </c>
      <c r="F163" s="3251">
        <v>0.1</v>
      </c>
      <c r="G163" s="3252">
        <v>0.1</v>
      </c>
    </row>
    <row r="164" spans="1:7">
      <c r="A164" s="3261" t="s">
        <v>29</v>
      </c>
      <c r="B164" s="3250" t="s">
        <v>3014</v>
      </c>
      <c r="C164" s="3267"/>
      <c r="D164" s="3267"/>
      <c r="E164" s="3267"/>
      <c r="F164" s="3251">
        <v>0.1</v>
      </c>
      <c r="G164" s="3263"/>
    </row>
    <row r="165" spans="1:7">
      <c r="A165" s="3261" t="s">
        <v>29</v>
      </c>
      <c r="B165" s="3250" t="s">
        <v>3185</v>
      </c>
      <c r="C165" s="3251">
        <v>0.126</v>
      </c>
      <c r="D165" s="3251">
        <v>0.126</v>
      </c>
      <c r="E165" s="3251">
        <v>0.11899999999999999</v>
      </c>
      <c r="F165" s="3251">
        <v>0.13</v>
      </c>
      <c r="G165" s="3252">
        <v>0.128</v>
      </c>
    </row>
    <row r="166" spans="1:7">
      <c r="A166" s="3261" t="s">
        <v>29</v>
      </c>
      <c r="B166" s="3250" t="s">
        <v>3024</v>
      </c>
      <c r="C166" s="3251">
        <v>0.129</v>
      </c>
      <c r="D166" s="3251">
        <v>0.129</v>
      </c>
      <c r="E166" s="3251">
        <v>0.123</v>
      </c>
      <c r="F166" s="3251">
        <v>0.128</v>
      </c>
      <c r="G166" s="3252">
        <v>0.13</v>
      </c>
    </row>
    <row r="167" spans="1:7">
      <c r="A167" s="3261" t="s">
        <v>29</v>
      </c>
      <c r="B167" s="3250" t="s">
        <v>3028</v>
      </c>
      <c r="C167" s="3251">
        <v>0.125</v>
      </c>
      <c r="D167" s="3251">
        <v>0.125</v>
      </c>
      <c r="E167" s="3251">
        <v>0.11700000000000001</v>
      </c>
      <c r="F167" s="3251">
        <v>0.13</v>
      </c>
      <c r="G167" s="3252">
        <v>0.126</v>
      </c>
    </row>
    <row r="168" spans="1:7">
      <c r="A168" s="3261" t="s">
        <v>29</v>
      </c>
      <c r="B168" s="3250" t="s">
        <v>3033</v>
      </c>
      <c r="C168" s="3251">
        <v>0.128</v>
      </c>
      <c r="D168" s="3251">
        <v>0.128</v>
      </c>
      <c r="E168" s="3251">
        <v>0.123</v>
      </c>
      <c r="F168" s="3262"/>
      <c r="G168" s="3252">
        <v>0.13</v>
      </c>
    </row>
    <row r="169" spans="1:7">
      <c r="A169" s="3261" t="s">
        <v>29</v>
      </c>
      <c r="B169" s="3250" t="s">
        <v>3186</v>
      </c>
      <c r="C169" s="3267"/>
      <c r="D169" s="3267"/>
      <c r="E169" s="3267"/>
      <c r="F169" s="3251">
        <v>0.05</v>
      </c>
      <c r="G169" s="3263"/>
    </row>
    <row r="170" spans="1:7">
      <c r="A170" s="3261" t="s">
        <v>29</v>
      </c>
      <c r="B170" s="3250" t="s">
        <v>3187</v>
      </c>
      <c r="C170" s="3267"/>
      <c r="D170" s="3267"/>
      <c r="E170" s="3267"/>
      <c r="F170" s="3251">
        <v>0.05</v>
      </c>
      <c r="G170" s="3263"/>
    </row>
    <row r="171" spans="1:7">
      <c r="A171" s="3261" t="s">
        <v>29</v>
      </c>
      <c r="B171" s="3250" t="s">
        <v>3188</v>
      </c>
      <c r="C171" s="3267"/>
      <c r="D171" s="3267"/>
      <c r="E171" s="3267"/>
      <c r="F171" s="3251">
        <v>0.05</v>
      </c>
      <c r="G171" s="3268"/>
    </row>
    <row r="172" spans="1:7">
      <c r="A172" s="3261" t="s">
        <v>29</v>
      </c>
      <c r="B172" s="3250" t="s">
        <v>3189</v>
      </c>
      <c r="C172" s="3267"/>
      <c r="D172" s="3267"/>
      <c r="E172" s="3267"/>
      <c r="F172" s="3251">
        <v>0.05</v>
      </c>
      <c r="G172" s="3268"/>
    </row>
    <row r="173" spans="1:7">
      <c r="A173" s="3261" t="s">
        <v>29</v>
      </c>
      <c r="B173" s="3250" t="s">
        <v>3190</v>
      </c>
      <c r="C173" s="3267"/>
      <c r="D173" s="3267"/>
      <c r="E173" s="3267"/>
      <c r="F173" s="3251">
        <v>0.05</v>
      </c>
      <c r="G173" s="3263"/>
    </row>
    <row r="174" spans="1:7">
      <c r="A174" s="3261" t="s">
        <v>29</v>
      </c>
      <c r="B174" s="3250" t="s">
        <v>3191</v>
      </c>
      <c r="C174" s="3267"/>
      <c r="D174" s="3267"/>
      <c r="E174" s="3267"/>
      <c r="F174" s="3251">
        <v>0.05</v>
      </c>
      <c r="G174" s="3263"/>
    </row>
    <row r="175" spans="1:7">
      <c r="A175" s="3261" t="s">
        <v>29</v>
      </c>
      <c r="B175" s="3250" t="s">
        <v>3192</v>
      </c>
      <c r="C175" s="3267"/>
      <c r="D175" s="3267"/>
      <c r="E175" s="3267"/>
      <c r="F175" s="3251">
        <v>0.05</v>
      </c>
      <c r="G175" s="3263"/>
    </row>
    <row r="176" spans="1:7">
      <c r="A176" s="3261" t="s">
        <v>29</v>
      </c>
      <c r="B176" s="3250" t="s">
        <v>3193</v>
      </c>
      <c r="C176" s="3267"/>
      <c r="D176" s="3267"/>
      <c r="E176" s="3267"/>
      <c r="F176" s="3251">
        <v>0.05</v>
      </c>
      <c r="G176" s="3263"/>
    </row>
    <row r="177" spans="1:7">
      <c r="A177" s="3261" t="s">
        <v>29</v>
      </c>
      <c r="B177" s="3250" t="s">
        <v>3194</v>
      </c>
      <c r="C177" s="3262"/>
      <c r="D177" s="3262"/>
      <c r="E177" s="3262"/>
      <c r="F177" s="3251">
        <v>0.05</v>
      </c>
      <c r="G177" s="3268"/>
    </row>
    <row r="178" spans="1:7">
      <c r="A178" s="3261" t="s">
        <v>29</v>
      </c>
      <c r="B178" s="3250" t="s">
        <v>3195</v>
      </c>
      <c r="C178" s="3262"/>
      <c r="D178" s="3262"/>
      <c r="E178" s="3262"/>
      <c r="F178" s="3251">
        <v>0.05</v>
      </c>
      <c r="G178" s="3268"/>
    </row>
    <row r="179" spans="1:7">
      <c r="A179" s="3261" t="s">
        <v>29</v>
      </c>
      <c r="B179" s="3250" t="s">
        <v>3196</v>
      </c>
      <c r="C179" s="3262"/>
      <c r="D179" s="3262"/>
      <c r="E179" s="3262"/>
      <c r="F179" s="3251">
        <v>0.05</v>
      </c>
      <c r="G179" s="3268"/>
    </row>
    <row r="180" spans="1:7">
      <c r="A180" s="3261" t="s">
        <v>29</v>
      </c>
      <c r="B180" s="3250" t="s">
        <v>3197</v>
      </c>
      <c r="C180" s="3262"/>
      <c r="D180" s="3262"/>
      <c r="E180" s="3262"/>
      <c r="F180" s="3251">
        <v>0.05</v>
      </c>
      <c r="G180" s="3268"/>
    </row>
    <row r="181" spans="1:7">
      <c r="A181" s="3261" t="s">
        <v>29</v>
      </c>
      <c r="B181" s="3250" t="s">
        <v>3198</v>
      </c>
      <c r="C181" s="3262"/>
      <c r="D181" s="3262"/>
      <c r="E181" s="3262"/>
      <c r="F181" s="3251">
        <v>0.05</v>
      </c>
      <c r="G181" s="3268"/>
    </row>
    <row r="182" spans="1:7">
      <c r="A182" s="3261" t="s">
        <v>29</v>
      </c>
      <c r="B182" s="3250" t="s">
        <v>3199</v>
      </c>
      <c r="C182" s="3262"/>
      <c r="D182" s="3262"/>
      <c r="E182" s="3262"/>
      <c r="F182" s="3251">
        <v>0.05</v>
      </c>
      <c r="G182" s="3268"/>
    </row>
    <row r="183" spans="1:7">
      <c r="A183" s="3261" t="s">
        <v>29</v>
      </c>
      <c r="B183" s="3250" t="s">
        <v>3200</v>
      </c>
      <c r="C183" s="3262"/>
      <c r="D183" s="3262"/>
      <c r="E183" s="3262"/>
      <c r="F183" s="3251">
        <v>0.05</v>
      </c>
      <c r="G183" s="3268"/>
    </row>
    <row r="184" spans="1:7">
      <c r="A184" s="3261" t="s">
        <v>29</v>
      </c>
      <c r="B184" s="3250" t="s">
        <v>3201</v>
      </c>
      <c r="C184" s="3262"/>
      <c r="D184" s="3262"/>
      <c r="E184" s="3262"/>
      <c r="F184" s="3251">
        <v>0.05</v>
      </c>
      <c r="G184" s="3268"/>
    </row>
    <row r="185" spans="1:7">
      <c r="A185" s="3261" t="s">
        <v>29</v>
      </c>
      <c r="B185" s="3250" t="s">
        <v>3202</v>
      </c>
      <c r="C185" s="3262"/>
      <c r="D185" s="3262"/>
      <c r="E185" s="3262"/>
      <c r="F185" s="3251">
        <v>0.05</v>
      </c>
      <c r="G185" s="3268"/>
    </row>
    <row r="186" spans="1:7">
      <c r="A186" s="3261" t="s">
        <v>29</v>
      </c>
      <c r="B186" s="3250" t="s">
        <v>3203</v>
      </c>
      <c r="C186" s="3262"/>
      <c r="D186" s="3262"/>
      <c r="E186" s="3262"/>
      <c r="F186" s="3251">
        <v>0.05</v>
      </c>
      <c r="G186" s="3268"/>
    </row>
    <row r="187" spans="1:7">
      <c r="A187" s="3261" t="s">
        <v>29</v>
      </c>
      <c r="B187" s="3250" t="s">
        <v>3204</v>
      </c>
      <c r="C187" s="3262"/>
      <c r="D187" s="3262"/>
      <c r="E187" s="3262"/>
      <c r="F187" s="3251">
        <v>0.05</v>
      </c>
      <c r="G187" s="3268"/>
    </row>
    <row r="188" spans="1:7">
      <c r="A188" s="3261" t="s">
        <v>29</v>
      </c>
      <c r="B188" s="3250" t="s">
        <v>3205</v>
      </c>
      <c r="C188" s="3262"/>
      <c r="D188" s="3262"/>
      <c r="E188" s="3262"/>
      <c r="F188" s="3251">
        <v>0.05</v>
      </c>
      <c r="G188" s="3268"/>
    </row>
    <row r="189" spans="1:7" ht="15" thickBot="1">
      <c r="A189" s="3264" t="s">
        <v>29</v>
      </c>
      <c r="B189" s="3254" t="s">
        <v>3206</v>
      </c>
      <c r="C189" s="3256"/>
      <c r="D189" s="3256"/>
      <c r="E189" s="3256"/>
      <c r="F189" s="3255">
        <v>0.05</v>
      </c>
      <c r="G189" s="3269"/>
    </row>
    <row r="190" spans="1:7">
      <c r="A190" s="3260" t="s">
        <v>304</v>
      </c>
      <c r="B190" s="3246" t="s">
        <v>2862</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2898</v>
      </c>
      <c r="C199" s="3251">
        <v>0.13</v>
      </c>
      <c r="D199" s="3251">
        <v>0.13</v>
      </c>
      <c r="E199" s="3251">
        <v>0.13</v>
      </c>
      <c r="F199" s="3251">
        <v>0.13</v>
      </c>
      <c r="G199" s="3252">
        <v>0.13</v>
      </c>
    </row>
    <row r="200" spans="1:7">
      <c r="A200" s="3261" t="s">
        <v>304</v>
      </c>
      <c r="B200" s="3250" t="s">
        <v>2901</v>
      </c>
      <c r="C200" s="3267"/>
      <c r="D200" s="3267"/>
      <c r="E200" s="3267"/>
      <c r="F200" s="3251">
        <v>0.13</v>
      </c>
      <c r="G200" s="3263"/>
    </row>
    <row r="201" spans="1:7">
      <c r="A201" s="3261" t="s">
        <v>304</v>
      </c>
      <c r="B201" s="3250" t="s">
        <v>2906</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2909</v>
      </c>
      <c r="C203" s="3251">
        <v>0.129</v>
      </c>
      <c r="D203" s="3251">
        <v>0.129</v>
      </c>
      <c r="E203" s="3251">
        <v>0.13</v>
      </c>
      <c r="F203" s="3251">
        <v>0.13</v>
      </c>
      <c r="G203" s="3252">
        <v>0.13</v>
      </c>
    </row>
    <row r="204" spans="1:7">
      <c r="A204" s="3261" t="s">
        <v>304</v>
      </c>
      <c r="B204" s="3250" t="s">
        <v>2912</v>
      </c>
      <c r="C204" s="3251">
        <v>0.129</v>
      </c>
      <c r="D204" s="3251">
        <v>0.129</v>
      </c>
      <c r="E204" s="3251">
        <v>0.123</v>
      </c>
      <c r="F204" s="3251">
        <v>0.13</v>
      </c>
      <c r="G204" s="3252">
        <v>0.13</v>
      </c>
    </row>
    <row r="205" spans="1:7">
      <c r="A205" s="3261" t="s">
        <v>304</v>
      </c>
      <c r="B205" s="3250" t="s">
        <v>2914</v>
      </c>
      <c r="C205" s="3251">
        <v>0.13</v>
      </c>
      <c r="D205" s="3251">
        <v>0.13</v>
      </c>
      <c r="E205" s="3251">
        <v>0.13</v>
      </c>
      <c r="F205" s="3251">
        <v>0.13</v>
      </c>
      <c r="G205" s="3252">
        <v>0.13</v>
      </c>
    </row>
    <row r="206" spans="1:7">
      <c r="A206" s="3261" t="s">
        <v>304</v>
      </c>
      <c r="B206" s="3250" t="s">
        <v>2917</v>
      </c>
      <c r="C206" s="3251">
        <v>0.13</v>
      </c>
      <c r="D206" s="3251">
        <v>0.13</v>
      </c>
      <c r="E206" s="3251">
        <v>0.13</v>
      </c>
      <c r="F206" s="3251">
        <v>0.128</v>
      </c>
      <c r="G206" s="3252">
        <v>0.13</v>
      </c>
    </row>
    <row r="207" spans="1:7">
      <c r="A207" s="3261" t="s">
        <v>304</v>
      </c>
      <c r="B207" s="3250" t="s">
        <v>2919</v>
      </c>
      <c r="C207" s="3251">
        <v>0.13</v>
      </c>
      <c r="D207" s="3251">
        <v>0.13</v>
      </c>
      <c r="E207" s="3251">
        <v>0.13</v>
      </c>
      <c r="F207" s="3251">
        <v>0.13</v>
      </c>
      <c r="G207" s="3252">
        <v>0.13</v>
      </c>
    </row>
    <row r="208" spans="1:7">
      <c r="A208" s="3261" t="s">
        <v>304</v>
      </c>
      <c r="B208" s="3250" t="s">
        <v>2922</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2929</v>
      </c>
      <c r="C210" s="3251">
        <v>0.121</v>
      </c>
      <c r="D210" s="3251">
        <v>0.121</v>
      </c>
      <c r="E210" s="3251">
        <v>0.125</v>
      </c>
      <c r="F210" s="3251">
        <v>0.13</v>
      </c>
      <c r="G210" s="3252">
        <v>0.123</v>
      </c>
    </row>
    <row r="211" spans="1:7">
      <c r="A211" s="3261" t="s">
        <v>304</v>
      </c>
      <c r="B211" s="3250" t="s">
        <v>2932</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2944</v>
      </c>
      <c r="C214" s="3251">
        <v>0.128</v>
      </c>
      <c r="D214" s="3251">
        <v>0.128</v>
      </c>
      <c r="E214" s="3251">
        <v>0.13</v>
      </c>
      <c r="F214" s="3251">
        <v>0.13</v>
      </c>
      <c r="G214" s="3252">
        <v>0.13</v>
      </c>
    </row>
    <row r="215" spans="1:7">
      <c r="A215" s="3261" t="s">
        <v>304</v>
      </c>
      <c r="B215" s="3250" t="s">
        <v>2948</v>
      </c>
      <c r="C215" s="3251">
        <v>0.13</v>
      </c>
      <c r="D215" s="3251">
        <v>0.13</v>
      </c>
      <c r="E215" s="3251">
        <v>0.13</v>
      </c>
      <c r="F215" s="3251">
        <v>0.129</v>
      </c>
      <c r="G215" s="3252">
        <v>0.13</v>
      </c>
    </row>
    <row r="216" spans="1:7">
      <c r="A216" s="3261" t="s">
        <v>304</v>
      </c>
      <c r="B216" s="3250" t="s">
        <v>2955</v>
      </c>
      <c r="C216" s="3251">
        <v>0.13</v>
      </c>
      <c r="D216" s="3251">
        <v>0.13</v>
      </c>
      <c r="E216" s="3251">
        <v>0.13</v>
      </c>
      <c r="F216" s="3251">
        <v>0.13</v>
      </c>
      <c r="G216" s="3252">
        <v>0.13</v>
      </c>
    </row>
    <row r="217" spans="1:7">
      <c r="A217" s="3261" t="s">
        <v>304</v>
      </c>
      <c r="B217" s="3250" t="s">
        <v>2962</v>
      </c>
      <c r="C217" s="3251">
        <v>0.129</v>
      </c>
      <c r="D217" s="3251">
        <v>0.129</v>
      </c>
      <c r="E217" s="3251">
        <v>0.13</v>
      </c>
      <c r="F217" s="3251">
        <v>0.13</v>
      </c>
      <c r="G217" s="3252">
        <v>0.13</v>
      </c>
    </row>
    <row r="218" spans="1:7">
      <c r="A218" s="3261" t="s">
        <v>304</v>
      </c>
      <c r="B218" s="3250" t="s">
        <v>2968</v>
      </c>
      <c r="C218" s="3262"/>
      <c r="D218" s="3262"/>
      <c r="E218" s="3262"/>
      <c r="F218" s="3251">
        <v>0.05</v>
      </c>
      <c r="G218" s="3268"/>
    </row>
    <row r="219" spans="1:7">
      <c r="A219" s="3261" t="s">
        <v>304</v>
      </c>
      <c r="B219" s="3250" t="s">
        <v>2975</v>
      </c>
      <c r="C219" s="3262"/>
      <c r="D219" s="3262"/>
      <c r="E219" s="3262"/>
      <c r="F219" s="3251">
        <v>0.05</v>
      </c>
      <c r="G219" s="3268"/>
    </row>
    <row r="220" spans="1:7">
      <c r="A220" s="3261" t="s">
        <v>304</v>
      </c>
      <c r="B220" s="3250" t="s">
        <v>2981</v>
      </c>
      <c r="C220" s="3262"/>
      <c r="D220" s="3262"/>
      <c r="E220" s="3262"/>
      <c r="F220" s="3251">
        <v>0.05</v>
      </c>
      <c r="G220" s="3268"/>
    </row>
    <row r="221" spans="1:7">
      <c r="A221" s="3261" t="s">
        <v>304</v>
      </c>
      <c r="B221" s="3250" t="s">
        <v>2986</v>
      </c>
      <c r="C221" s="3262"/>
      <c r="D221" s="3262"/>
      <c r="E221" s="3262"/>
      <c r="F221" s="3251">
        <v>0.05</v>
      </c>
      <c r="G221" s="3268"/>
    </row>
    <row r="222" spans="1:7">
      <c r="A222" s="3261" t="s">
        <v>304</v>
      </c>
      <c r="B222" s="3250" t="s">
        <v>2990</v>
      </c>
      <c r="C222" s="3262"/>
      <c r="D222" s="3262"/>
      <c r="E222" s="3262"/>
      <c r="F222" s="3251">
        <v>0.05</v>
      </c>
      <c r="G222" s="3268"/>
    </row>
    <row r="223" spans="1:7">
      <c r="A223" s="3261" t="s">
        <v>304</v>
      </c>
      <c r="B223" s="3250" t="s">
        <v>2995</v>
      </c>
      <c r="C223" s="3262"/>
      <c r="D223" s="3262"/>
      <c r="E223" s="3262"/>
      <c r="F223" s="3251">
        <v>0.05</v>
      </c>
      <c r="G223" s="3268"/>
    </row>
    <row r="224" spans="1:7">
      <c r="A224" s="3261" t="s">
        <v>304</v>
      </c>
      <c r="B224" s="3250" t="s">
        <v>3000</v>
      </c>
      <c r="C224" s="3262"/>
      <c r="D224" s="3262"/>
      <c r="E224" s="3262"/>
      <c r="F224" s="3251">
        <v>0.05</v>
      </c>
      <c r="G224" s="3268"/>
    </row>
    <row r="225" spans="1:7">
      <c r="A225" s="3261" t="s">
        <v>304</v>
      </c>
      <c r="B225" s="3250" t="s">
        <v>3005</v>
      </c>
      <c r="C225" s="3262"/>
      <c r="D225" s="3262"/>
      <c r="E225" s="3262"/>
      <c r="F225" s="3251">
        <v>0.05</v>
      </c>
      <c r="G225" s="3268"/>
    </row>
    <row r="226" spans="1:7">
      <c r="A226" s="3261" t="s">
        <v>304</v>
      </c>
      <c r="B226" s="3250" t="s">
        <v>3207</v>
      </c>
      <c r="C226" s="3262"/>
      <c r="D226" s="3262"/>
      <c r="E226" s="3262"/>
      <c r="F226" s="3251">
        <v>0.05</v>
      </c>
      <c r="G226" s="3268"/>
    </row>
    <row r="227" spans="1:7">
      <c r="A227" s="3261" t="s">
        <v>304</v>
      </c>
      <c r="B227" s="3250" t="s">
        <v>3208</v>
      </c>
      <c r="C227" s="3262"/>
      <c r="D227" s="3262"/>
      <c r="E227" s="3262"/>
      <c r="F227" s="3251">
        <v>0.05</v>
      </c>
      <c r="G227" s="3268"/>
    </row>
    <row r="228" spans="1:7">
      <c r="A228" s="3261" t="s">
        <v>304</v>
      </c>
      <c r="B228" s="3250" t="s">
        <v>3209</v>
      </c>
      <c r="C228" s="3262"/>
      <c r="D228" s="3262"/>
      <c r="E228" s="3262"/>
      <c r="F228" s="3251">
        <v>0.05</v>
      </c>
      <c r="G228" s="3268"/>
    </row>
    <row r="229" spans="1:7">
      <c r="A229" s="3261" t="s">
        <v>304</v>
      </c>
      <c r="B229" s="3250" t="s">
        <v>3210</v>
      </c>
      <c r="C229" s="3262"/>
      <c r="D229" s="3262"/>
      <c r="E229" s="3262"/>
      <c r="F229" s="3251">
        <v>0.05</v>
      </c>
      <c r="G229" s="3268"/>
    </row>
    <row r="230" spans="1:7">
      <c r="A230" s="3261" t="s">
        <v>304</v>
      </c>
      <c r="B230" s="3250" t="s">
        <v>3211</v>
      </c>
      <c r="C230" s="3262"/>
      <c r="D230" s="3262"/>
      <c r="E230" s="3262"/>
      <c r="F230" s="3251">
        <v>0.05</v>
      </c>
      <c r="G230" s="3268"/>
    </row>
    <row r="231" spans="1:7">
      <c r="A231" s="3261" t="s">
        <v>304</v>
      </c>
      <c r="B231" s="3250" t="s">
        <v>3212</v>
      </c>
      <c r="C231" s="3262"/>
      <c r="D231" s="3262"/>
      <c r="E231" s="3262"/>
      <c r="F231" s="3251">
        <v>0.05</v>
      </c>
      <c r="G231" s="3268"/>
    </row>
    <row r="232" spans="1:7">
      <c r="A232" s="3261" t="s">
        <v>304</v>
      </c>
      <c r="B232" s="3250" t="s">
        <v>3213</v>
      </c>
      <c r="C232" s="3262"/>
      <c r="D232" s="3262"/>
      <c r="E232" s="3262"/>
      <c r="F232" s="3251">
        <v>0.05</v>
      </c>
      <c r="G232" s="3268"/>
    </row>
    <row r="233" spans="1:7" ht="15" thickBot="1">
      <c r="A233" s="3264" t="s">
        <v>304</v>
      </c>
      <c r="B233" s="3254" t="s">
        <v>3214</v>
      </c>
      <c r="C233" s="3256"/>
      <c r="D233" s="3256"/>
      <c r="E233" s="3256"/>
      <c r="F233" s="3255">
        <v>0.05</v>
      </c>
      <c r="G233" s="3269"/>
    </row>
    <row r="234" spans="1:7">
      <c r="A234" s="3260" t="s">
        <v>305</v>
      </c>
      <c r="B234" s="3246" t="s">
        <v>2863</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2883</v>
      </c>
      <c r="C238" s="3251">
        <v>0.14899999999999999</v>
      </c>
      <c r="D238" s="3251">
        <v>0.14899999999999999</v>
      </c>
      <c r="E238" s="3251">
        <v>0.15</v>
      </c>
      <c r="F238" s="3251">
        <v>0.15</v>
      </c>
      <c r="G238" s="3252">
        <v>0.15</v>
      </c>
    </row>
    <row r="239" spans="1:7">
      <c r="A239" s="3261" t="s">
        <v>305</v>
      </c>
      <c r="B239" s="3250" t="s">
        <v>2887</v>
      </c>
      <c r="C239" s="3251">
        <v>0.15</v>
      </c>
      <c r="D239" s="3251">
        <v>0.15</v>
      </c>
      <c r="E239" s="3251">
        <v>0.15</v>
      </c>
      <c r="F239" s="3251">
        <v>0.15</v>
      </c>
      <c r="G239" s="3252">
        <v>0.15</v>
      </c>
    </row>
    <row r="240" spans="1:7">
      <c r="A240" s="3261" t="s">
        <v>305</v>
      </c>
      <c r="B240" s="3250" t="s">
        <v>2892</v>
      </c>
      <c r="C240" s="3251">
        <v>0.15</v>
      </c>
      <c r="D240" s="3251">
        <v>0.15</v>
      </c>
      <c r="E240" s="3251">
        <v>0.15</v>
      </c>
      <c r="F240" s="3251">
        <v>0.15</v>
      </c>
      <c r="G240" s="3252">
        <v>0.15</v>
      </c>
    </row>
    <row r="241" spans="1:7">
      <c r="A241" s="3261" t="s">
        <v>305</v>
      </c>
      <c r="B241" s="3250" t="s">
        <v>2896</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2902</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2910</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2915</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2923</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2936</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2945</v>
      </c>
      <c r="C258" s="3251">
        <v>0.14299999999999999</v>
      </c>
      <c r="D258" s="3251">
        <v>0.14299999999999999</v>
      </c>
      <c r="E258" s="3251">
        <v>0.15</v>
      </c>
      <c r="F258" s="3251">
        <v>0.14799999999999999</v>
      </c>
      <c r="G258" s="3252">
        <v>0.14599999999999999</v>
      </c>
    </row>
    <row r="259" spans="1:7">
      <c r="A259" s="3261" t="s">
        <v>305</v>
      </c>
      <c r="B259" s="3250" t="s">
        <v>2949</v>
      </c>
      <c r="C259" s="3251">
        <v>0.14399999999999999</v>
      </c>
      <c r="D259" s="3251">
        <v>0.14399999999999999</v>
      </c>
      <c r="E259" s="3251">
        <v>0.14899999999999999</v>
      </c>
      <c r="F259" s="3251">
        <v>0.14699999999999999</v>
      </c>
      <c r="G259" s="3252">
        <v>0.14599999999999999</v>
      </c>
    </row>
    <row r="260" spans="1:7">
      <c r="A260" s="3261" t="s">
        <v>305</v>
      </c>
      <c r="B260" s="3250" t="s">
        <v>2956</v>
      </c>
      <c r="C260" s="3251">
        <v>0.109</v>
      </c>
      <c r="D260" s="3251">
        <v>0.111</v>
      </c>
      <c r="E260" s="3251">
        <v>0.13100000000000001</v>
      </c>
      <c r="F260" s="3251">
        <v>0.126</v>
      </c>
      <c r="G260" s="3252">
        <v>0.11899999999999999</v>
      </c>
    </row>
    <row r="261" spans="1:7">
      <c r="A261" s="3261" t="s">
        <v>305</v>
      </c>
      <c r="B261" s="3250" t="s">
        <v>2963</v>
      </c>
      <c r="C261" s="3251">
        <v>0.1</v>
      </c>
      <c r="D261" s="3251">
        <v>0.1</v>
      </c>
      <c r="E261" s="3251">
        <v>0.11799999999999999</v>
      </c>
      <c r="F261" s="3251">
        <v>0.108</v>
      </c>
      <c r="G261" s="3252">
        <v>0.107</v>
      </c>
    </row>
    <row r="262" spans="1:7">
      <c r="A262" s="3261" t="s">
        <v>305</v>
      </c>
      <c r="B262" s="3250" t="s">
        <v>2969</v>
      </c>
      <c r="C262" s="3251">
        <v>0.1</v>
      </c>
      <c r="D262" s="3251">
        <v>0.1</v>
      </c>
      <c r="E262" s="3251">
        <v>0.1</v>
      </c>
      <c r="F262" s="3251">
        <v>0.14099999999999999</v>
      </c>
      <c r="G262" s="3252">
        <v>0.1</v>
      </c>
    </row>
    <row r="263" spans="1:7">
      <c r="A263" s="3261" t="s">
        <v>305</v>
      </c>
      <c r="B263" s="3250" t="s">
        <v>2976</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2987</v>
      </c>
      <c r="C265" s="3262"/>
      <c r="D265" s="3262"/>
      <c r="E265" s="3262"/>
      <c r="F265" s="3251">
        <v>0.05</v>
      </c>
      <c r="G265" s="3268"/>
    </row>
    <row r="266" spans="1:7">
      <c r="A266" s="3261" t="s">
        <v>305</v>
      </c>
      <c r="B266" s="3250" t="s">
        <v>2991</v>
      </c>
      <c r="C266" s="3262"/>
      <c r="D266" s="3262"/>
      <c r="E266" s="3262"/>
      <c r="F266" s="3251">
        <v>0.05</v>
      </c>
      <c r="G266" s="3268"/>
    </row>
    <row r="267" spans="1:7">
      <c r="A267" s="3261" t="s">
        <v>305</v>
      </c>
      <c r="B267" s="3250" t="s">
        <v>2996</v>
      </c>
      <c r="C267" s="3262"/>
      <c r="D267" s="3262"/>
      <c r="E267" s="3262"/>
      <c r="F267" s="3251">
        <v>0.05</v>
      </c>
      <c r="G267" s="3268"/>
    </row>
    <row r="268" spans="1:7">
      <c r="A268" s="3261" t="s">
        <v>305</v>
      </c>
      <c r="B268" s="3250" t="s">
        <v>3001</v>
      </c>
      <c r="C268" s="3262"/>
      <c r="D268" s="3262"/>
      <c r="E268" s="3262"/>
      <c r="F268" s="3251">
        <v>0.05</v>
      </c>
      <c r="G268" s="3268"/>
    </row>
    <row r="269" spans="1:7">
      <c r="A269" s="3261" t="s">
        <v>305</v>
      </c>
      <c r="B269" s="3250" t="s">
        <v>3006</v>
      </c>
      <c r="C269" s="3262"/>
      <c r="D269" s="3262"/>
      <c r="E269" s="3262"/>
      <c r="F269" s="3251">
        <v>0.05</v>
      </c>
      <c r="G269" s="3268"/>
    </row>
    <row r="270" spans="1:7">
      <c r="A270" s="3261" t="s">
        <v>305</v>
      </c>
      <c r="B270" s="3250" t="s">
        <v>3011</v>
      </c>
      <c r="C270" s="3262"/>
      <c r="D270" s="3262"/>
      <c r="E270" s="3262"/>
      <c r="F270" s="3251">
        <v>0.05</v>
      </c>
      <c r="G270" s="3268"/>
    </row>
    <row r="271" spans="1:7">
      <c r="A271" s="3261" t="s">
        <v>305</v>
      </c>
      <c r="B271" s="3250" t="s">
        <v>3215</v>
      </c>
      <c r="C271" s="3262"/>
      <c r="D271" s="3262"/>
      <c r="E271" s="3262"/>
      <c r="F271" s="3251">
        <v>0.05</v>
      </c>
      <c r="G271" s="3268"/>
    </row>
    <row r="272" spans="1:7">
      <c r="A272" s="3261" t="s">
        <v>305</v>
      </c>
      <c r="B272" s="3250" t="s">
        <v>3216</v>
      </c>
      <c r="C272" s="3262"/>
      <c r="D272" s="3262"/>
      <c r="E272" s="3262"/>
      <c r="F272" s="3251">
        <v>0.05</v>
      </c>
      <c r="G272" s="3268"/>
    </row>
    <row r="273" spans="1:7">
      <c r="A273" s="3261" t="s">
        <v>305</v>
      </c>
      <c r="B273" s="3250" t="s">
        <v>3217</v>
      </c>
      <c r="C273" s="3262"/>
      <c r="D273" s="3262"/>
      <c r="E273" s="3262"/>
      <c r="F273" s="3251">
        <v>0.05</v>
      </c>
      <c r="G273" s="3268"/>
    </row>
    <row r="274" spans="1:7">
      <c r="A274" s="3261" t="s">
        <v>305</v>
      </c>
      <c r="B274" s="3250" t="s">
        <v>3218</v>
      </c>
      <c r="C274" s="3262"/>
      <c r="D274" s="3262"/>
      <c r="E274" s="3262"/>
      <c r="F274" s="3251">
        <v>0.05</v>
      </c>
      <c r="G274" s="3268"/>
    </row>
    <row r="275" spans="1:7">
      <c r="A275" s="3261" t="s">
        <v>305</v>
      </c>
      <c r="B275" s="3250" t="s">
        <v>3219</v>
      </c>
      <c r="C275" s="3262"/>
      <c r="D275" s="3262"/>
      <c r="E275" s="3262"/>
      <c r="F275" s="3251">
        <v>0.05</v>
      </c>
      <c r="G275" s="3268"/>
    </row>
    <row r="276" spans="1:7" ht="15" thickBot="1">
      <c r="A276" s="3264" t="s">
        <v>305</v>
      </c>
      <c r="B276" s="3254" t="s">
        <v>3220</v>
      </c>
      <c r="C276" s="3256"/>
      <c r="D276" s="3256"/>
      <c r="E276" s="3256"/>
      <c r="F276" s="3255">
        <v>0.05</v>
      </c>
      <c r="G276" s="3269"/>
    </row>
    <row r="277" spans="1:7">
      <c r="A277" s="3260" t="s">
        <v>306</v>
      </c>
      <c r="B277" s="3246" t="s">
        <v>2864</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2876</v>
      </c>
      <c r="C279" s="3251">
        <v>0.15</v>
      </c>
      <c r="D279" s="3251">
        <v>0.15</v>
      </c>
      <c r="E279" s="3251">
        <v>0.15</v>
      </c>
      <c r="F279" s="3251">
        <v>0.15</v>
      </c>
      <c r="G279" s="3252">
        <v>0.15</v>
      </c>
    </row>
    <row r="280" spans="1:7">
      <c r="A280" s="3261" t="s">
        <v>306</v>
      </c>
      <c r="B280" s="3250" t="s">
        <v>2880</v>
      </c>
      <c r="C280" s="3251">
        <v>0.15</v>
      </c>
      <c r="D280" s="3251">
        <v>0.15</v>
      </c>
      <c r="E280" s="3251">
        <v>0.15</v>
      </c>
      <c r="F280" s="3251">
        <v>0.15</v>
      </c>
      <c r="G280" s="3252">
        <v>0.15</v>
      </c>
    </row>
    <row r="281" spans="1:7">
      <c r="A281" s="3261" t="s">
        <v>306</v>
      </c>
      <c r="B281" s="3250" t="s">
        <v>2884</v>
      </c>
      <c r="C281" s="3251">
        <v>0.15</v>
      </c>
      <c r="D281" s="3251">
        <v>0.15</v>
      </c>
      <c r="E281" s="3251">
        <v>0.15</v>
      </c>
      <c r="F281" s="3251">
        <v>0.15</v>
      </c>
      <c r="G281" s="3252">
        <v>0.15</v>
      </c>
    </row>
    <row r="282" spans="1:7">
      <c r="A282" s="3261" t="s">
        <v>306</v>
      </c>
      <c r="B282" s="3250" t="s">
        <v>2888</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2903</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2908</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2918</v>
      </c>
      <c r="C293" s="3251">
        <v>0.15</v>
      </c>
      <c r="D293" s="3251">
        <v>0.15</v>
      </c>
      <c r="E293" s="3251">
        <v>0.15</v>
      </c>
      <c r="F293" s="3251">
        <v>0.14499999999999999</v>
      </c>
      <c r="G293" s="3252">
        <v>0.15</v>
      </c>
    </row>
    <row r="294" spans="1:7">
      <c r="A294" s="3261" t="s">
        <v>306</v>
      </c>
      <c r="B294" s="3250" t="s">
        <v>2920</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2937</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2950</v>
      </c>
      <c r="C302" s="3251">
        <v>0.15</v>
      </c>
      <c r="D302" s="3251">
        <v>0.15</v>
      </c>
      <c r="E302" s="3251">
        <v>0.15</v>
      </c>
      <c r="F302" s="3251">
        <v>0.14699999999999999</v>
      </c>
      <c r="G302" s="3252">
        <v>0.15</v>
      </c>
    </row>
    <row r="303" spans="1:7">
      <c r="A303" s="3261" t="s">
        <v>306</v>
      </c>
      <c r="B303" s="3250" t="s">
        <v>2957</v>
      </c>
      <c r="C303" s="3251">
        <v>0.15</v>
      </c>
      <c r="D303" s="3251">
        <v>0.15</v>
      </c>
      <c r="E303" s="3251">
        <v>0.15</v>
      </c>
      <c r="F303" s="3251">
        <v>0.14199999999999999</v>
      </c>
      <c r="G303" s="3252">
        <v>0.15</v>
      </c>
    </row>
    <row r="304" spans="1:7">
      <c r="A304" s="3261" t="s">
        <v>306</v>
      </c>
      <c r="B304" s="3250" t="s">
        <v>2964</v>
      </c>
      <c r="C304" s="3251">
        <v>0.15</v>
      </c>
      <c r="D304" s="3251">
        <v>0.15</v>
      </c>
      <c r="E304" s="3251">
        <v>0.15</v>
      </c>
      <c r="F304" s="3251">
        <v>0.14499999999999999</v>
      </c>
      <c r="G304" s="3252">
        <v>0.15</v>
      </c>
    </row>
    <row r="305" spans="1:7">
      <c r="A305" s="3261" t="s">
        <v>306</v>
      </c>
      <c r="B305" s="3250" t="s">
        <v>2970</v>
      </c>
      <c r="C305" s="3251">
        <v>0.15</v>
      </c>
      <c r="D305" s="3251">
        <v>0.15</v>
      </c>
      <c r="E305" s="3251">
        <v>0.15</v>
      </c>
      <c r="F305" s="3251">
        <v>0.111</v>
      </c>
      <c r="G305" s="3252">
        <v>0.15</v>
      </c>
    </row>
    <row r="306" spans="1:7">
      <c r="A306" s="3261" t="s">
        <v>306</v>
      </c>
      <c r="B306" s="3250" t="s">
        <v>2977</v>
      </c>
      <c r="C306" s="3251">
        <v>0.15</v>
      </c>
      <c r="D306" s="3251">
        <v>0.15</v>
      </c>
      <c r="E306" s="3251">
        <v>0.15</v>
      </c>
      <c r="F306" s="3251">
        <v>0.126</v>
      </c>
      <c r="G306" s="3252">
        <v>0.15</v>
      </c>
    </row>
    <row r="307" spans="1:7">
      <c r="A307" s="3261" t="s">
        <v>306</v>
      </c>
      <c r="B307" s="3250" t="s">
        <v>2982</v>
      </c>
      <c r="C307" s="3251">
        <v>0.15</v>
      </c>
      <c r="D307" s="3251">
        <v>0.15</v>
      </c>
      <c r="E307" s="3251">
        <v>0.15</v>
      </c>
      <c r="F307" s="3251">
        <v>0.12</v>
      </c>
      <c r="G307" s="3252">
        <v>0.15</v>
      </c>
    </row>
    <row r="308" spans="1:7">
      <c r="A308" s="3261" t="s">
        <v>306</v>
      </c>
      <c r="B308" s="3250" t="s">
        <v>2988</v>
      </c>
      <c r="C308" s="3251">
        <v>0.15</v>
      </c>
      <c r="D308" s="3251">
        <v>0.15</v>
      </c>
      <c r="E308" s="3251">
        <v>0.15</v>
      </c>
      <c r="F308" s="3251">
        <v>0.13</v>
      </c>
      <c r="G308" s="3252">
        <v>0.15</v>
      </c>
    </row>
    <row r="309" spans="1:7">
      <c r="A309" s="3261" t="s">
        <v>306</v>
      </c>
      <c r="B309" s="3250" t="s">
        <v>2992</v>
      </c>
      <c r="C309" s="3251">
        <v>0.15</v>
      </c>
      <c r="D309" s="3251">
        <v>0.15</v>
      </c>
      <c r="E309" s="3251">
        <v>0.15</v>
      </c>
      <c r="F309" s="3251">
        <v>0.14099999999999999</v>
      </c>
      <c r="G309" s="3252">
        <v>0.15</v>
      </c>
    </row>
    <row r="310" spans="1:7">
      <c r="A310" s="3261" t="s">
        <v>306</v>
      </c>
      <c r="B310" s="3250" t="s">
        <v>2997</v>
      </c>
      <c r="C310" s="3251">
        <v>0.15</v>
      </c>
      <c r="D310" s="3251">
        <v>0.15</v>
      </c>
      <c r="E310" s="3251">
        <v>0.15</v>
      </c>
      <c r="F310" s="3251">
        <v>0.15</v>
      </c>
      <c r="G310" s="3252">
        <v>0.15</v>
      </c>
    </row>
    <row r="311" spans="1:7">
      <c r="A311" s="3261" t="s">
        <v>306</v>
      </c>
      <c r="B311" s="3250" t="s">
        <v>3002</v>
      </c>
      <c r="C311" s="3251">
        <v>0.13200000000000001</v>
      </c>
      <c r="D311" s="3251">
        <v>0.13300000000000001</v>
      </c>
      <c r="E311" s="3251">
        <v>0.14499999999999999</v>
      </c>
      <c r="F311" s="3251">
        <v>0.14199999999999999</v>
      </c>
      <c r="G311" s="3252">
        <v>0.14000000000000001</v>
      </c>
    </row>
    <row r="312" spans="1:7">
      <c r="A312" s="3261" t="s">
        <v>306</v>
      </c>
      <c r="B312" s="3250" t="s">
        <v>3007</v>
      </c>
      <c r="C312" s="3251">
        <v>0.13800000000000001</v>
      </c>
      <c r="D312" s="3251">
        <v>0.14000000000000001</v>
      </c>
      <c r="E312" s="3251">
        <v>0.14599999999999999</v>
      </c>
      <c r="F312" s="3251">
        <v>0.14899999999999999</v>
      </c>
      <c r="G312" s="3252">
        <v>0.14199999999999999</v>
      </c>
    </row>
    <row r="313" spans="1:7">
      <c r="A313" s="3261" t="s">
        <v>306</v>
      </c>
      <c r="B313" s="3250" t="s">
        <v>3012</v>
      </c>
      <c r="C313" s="3251">
        <v>0.125</v>
      </c>
      <c r="D313" s="3251">
        <v>0.127</v>
      </c>
      <c r="E313" s="3251">
        <v>0.14399999999999999</v>
      </c>
      <c r="F313" s="3251">
        <v>0.115</v>
      </c>
      <c r="G313" s="3252">
        <v>0.13600000000000001</v>
      </c>
    </row>
    <row r="314" spans="1:7">
      <c r="A314" s="3261" t="s">
        <v>306</v>
      </c>
      <c r="B314" s="3250" t="s">
        <v>3221</v>
      </c>
      <c r="C314" s="3267"/>
      <c r="D314" s="3267"/>
      <c r="E314" s="3267"/>
      <c r="F314" s="3251">
        <v>0.05</v>
      </c>
      <c r="G314" s="3268"/>
    </row>
    <row r="315" spans="1:7">
      <c r="A315" s="3261" t="s">
        <v>306</v>
      </c>
      <c r="B315" s="3250" t="s">
        <v>3222</v>
      </c>
      <c r="C315" s="3267"/>
      <c r="D315" s="3267"/>
      <c r="E315" s="3267"/>
      <c r="F315" s="3251">
        <v>0.05</v>
      </c>
      <c r="G315" s="3268"/>
    </row>
    <row r="316" spans="1:7">
      <c r="A316" s="3261" t="s">
        <v>306</v>
      </c>
      <c r="B316" s="3250" t="s">
        <v>3223</v>
      </c>
      <c r="C316" s="3262"/>
      <c r="D316" s="3262"/>
      <c r="E316" s="3262"/>
      <c r="F316" s="3251">
        <v>0.05</v>
      </c>
      <c r="G316" s="3268"/>
    </row>
    <row r="317" spans="1:7">
      <c r="A317" s="3261" t="s">
        <v>306</v>
      </c>
      <c r="B317" s="3250" t="s">
        <v>3224</v>
      </c>
      <c r="C317" s="3262"/>
      <c r="D317" s="3262"/>
      <c r="E317" s="3262"/>
      <c r="F317" s="3251">
        <v>0.05</v>
      </c>
      <c r="G317" s="3268"/>
    </row>
    <row r="318" spans="1:7">
      <c r="A318" s="3261" t="s">
        <v>306</v>
      </c>
      <c r="B318" s="3250" t="s">
        <v>3225</v>
      </c>
      <c r="C318" s="3262"/>
      <c r="D318" s="3262"/>
      <c r="E318" s="3262"/>
      <c r="F318" s="3251">
        <v>0.05</v>
      </c>
      <c r="G318" s="3268"/>
    </row>
    <row r="319" spans="1:7">
      <c r="A319" s="3261" t="s">
        <v>306</v>
      </c>
      <c r="B319" s="3250" t="s">
        <v>3226</v>
      </c>
      <c r="C319" s="3262"/>
      <c r="D319" s="3262"/>
      <c r="E319" s="3262"/>
      <c r="F319" s="3251">
        <v>0.05</v>
      </c>
      <c r="G319" s="3268"/>
    </row>
    <row r="320" spans="1:7">
      <c r="A320" s="3261" t="s">
        <v>306</v>
      </c>
      <c r="B320" s="3250" t="s">
        <v>3227</v>
      </c>
      <c r="C320" s="3262"/>
      <c r="D320" s="3262"/>
      <c r="E320" s="3262"/>
      <c r="F320" s="3251">
        <v>0.05</v>
      </c>
      <c r="G320" s="3268"/>
    </row>
    <row r="321" spans="1:7">
      <c r="A321" s="3261" t="s">
        <v>306</v>
      </c>
      <c r="B321" s="3250" t="s">
        <v>3228</v>
      </c>
      <c r="C321" s="3262"/>
      <c r="D321" s="3262"/>
      <c r="E321" s="3262"/>
      <c r="F321" s="3251">
        <v>0.05</v>
      </c>
      <c r="G321" s="3268"/>
    </row>
    <row r="322" spans="1:7">
      <c r="A322" s="3261" t="s">
        <v>306</v>
      </c>
      <c r="B322" s="3250" t="s">
        <v>3229</v>
      </c>
      <c r="C322" s="3262"/>
      <c r="D322" s="3262"/>
      <c r="E322" s="3262"/>
      <c r="F322" s="3251">
        <v>0.05</v>
      </c>
      <c r="G322" s="3268"/>
    </row>
    <row r="323" spans="1:7">
      <c r="A323" s="3261" t="s">
        <v>306</v>
      </c>
      <c r="B323" s="3250" t="s">
        <v>3230</v>
      </c>
      <c r="C323" s="3262"/>
      <c r="D323" s="3262"/>
      <c r="E323" s="3262"/>
      <c r="F323" s="3251">
        <v>0.05</v>
      </c>
      <c r="G323" s="3268"/>
    </row>
    <row r="324" spans="1:7">
      <c r="A324" s="3261" t="s">
        <v>306</v>
      </c>
      <c r="B324" s="3250" t="s">
        <v>3231</v>
      </c>
      <c r="C324" s="3262"/>
      <c r="D324" s="3262"/>
      <c r="E324" s="3262"/>
      <c r="F324" s="3251">
        <v>0.05</v>
      </c>
      <c r="G324" s="3268"/>
    </row>
    <row r="325" spans="1:7">
      <c r="A325" s="3261" t="s">
        <v>306</v>
      </c>
      <c r="B325" s="3250" t="s">
        <v>3232</v>
      </c>
      <c r="C325" s="3262"/>
      <c r="D325" s="3262"/>
      <c r="E325" s="3262"/>
      <c r="F325" s="3251">
        <v>0.05</v>
      </c>
      <c r="G325" s="3268"/>
    </row>
    <row r="326" spans="1:7" ht="15" thickBot="1">
      <c r="A326" s="3264" t="s">
        <v>306</v>
      </c>
      <c r="B326" s="3254" t="s">
        <v>3233</v>
      </c>
      <c r="C326" s="3256"/>
      <c r="D326" s="3256"/>
      <c r="E326" s="3256"/>
      <c r="F326" s="3255">
        <v>0.05</v>
      </c>
      <c r="G326" s="3269"/>
    </row>
    <row r="327" spans="1:7">
      <c r="A327" s="3260" t="s">
        <v>307</v>
      </c>
      <c r="B327" s="3246" t="s">
        <v>2865</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2877</v>
      </c>
      <c r="C329" s="3251">
        <v>0.15</v>
      </c>
      <c r="D329" s="3251">
        <v>0.15</v>
      </c>
      <c r="E329" s="3251">
        <v>0.15</v>
      </c>
      <c r="F329" s="3251">
        <v>0.15</v>
      </c>
      <c r="G329" s="3252">
        <v>0.15</v>
      </c>
    </row>
    <row r="330" spans="1:7">
      <c r="A330" s="3261" t="s">
        <v>307</v>
      </c>
      <c r="B330" s="3250" t="s">
        <v>2881</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2889</v>
      </c>
      <c r="C332" s="3251">
        <v>0.15</v>
      </c>
      <c r="D332" s="3251">
        <v>0.15</v>
      </c>
      <c r="E332" s="3251">
        <v>0.15</v>
      </c>
      <c r="F332" s="3251">
        <v>0.15</v>
      </c>
      <c r="G332" s="3252">
        <v>0.15</v>
      </c>
    </row>
    <row r="333" spans="1:7">
      <c r="A333" s="3261" t="s">
        <v>307</v>
      </c>
      <c r="B333" s="3250" t="s">
        <v>2893</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2899</v>
      </c>
      <c r="C336" s="3251">
        <v>0.15</v>
      </c>
      <c r="D336" s="3251">
        <v>0.15</v>
      </c>
      <c r="E336" s="3251">
        <v>0.15</v>
      </c>
      <c r="F336" s="3251">
        <v>0.14199999999999999</v>
      </c>
      <c r="G336" s="3252">
        <v>0.15</v>
      </c>
    </row>
    <row r="337" spans="1:7">
      <c r="A337" s="3261" t="s">
        <v>307</v>
      </c>
      <c r="B337" s="3250" t="s">
        <v>2904</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2911</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2916</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2924</v>
      </c>
      <c r="C345" s="3251">
        <v>0.15</v>
      </c>
      <c r="D345" s="3251">
        <v>0.15</v>
      </c>
      <c r="E345" s="3251">
        <v>0.15</v>
      </c>
      <c r="F345" s="3251">
        <v>0.13800000000000001</v>
      </c>
      <c r="G345" s="3252">
        <v>0.15</v>
      </c>
    </row>
    <row r="346" spans="1:7">
      <c r="A346" s="3261" t="s">
        <v>307</v>
      </c>
      <c r="B346" s="3250" t="s">
        <v>2926</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2933</v>
      </c>
      <c r="C348" s="3251">
        <v>0.15</v>
      </c>
      <c r="D348" s="3251">
        <v>0.15</v>
      </c>
      <c r="E348" s="3251">
        <v>0.15</v>
      </c>
      <c r="F348" s="3251">
        <v>0.14399999999999999</v>
      </c>
      <c r="G348" s="3252">
        <v>0.15</v>
      </c>
    </row>
    <row r="349" spans="1:7">
      <c r="A349" s="3261" t="s">
        <v>307</v>
      </c>
      <c r="B349" s="3250" t="s">
        <v>2938</v>
      </c>
      <c r="C349" s="3251">
        <v>0.15</v>
      </c>
      <c r="D349" s="3251">
        <v>0.15</v>
      </c>
      <c r="E349" s="3251">
        <v>0.15</v>
      </c>
      <c r="F349" s="3251">
        <v>0.15</v>
      </c>
      <c r="G349" s="3252">
        <v>0.15</v>
      </c>
    </row>
    <row r="350" spans="1:7">
      <c r="A350" s="3261" t="s">
        <v>307</v>
      </c>
      <c r="B350" s="3250" t="s">
        <v>2941</v>
      </c>
      <c r="C350" s="3251">
        <v>0.15</v>
      </c>
      <c r="D350" s="3251">
        <v>0.15</v>
      </c>
      <c r="E350" s="3251">
        <v>0.15</v>
      </c>
      <c r="F350" s="3251">
        <v>0.14699999999999999</v>
      </c>
      <c r="G350" s="3252">
        <v>0.15</v>
      </c>
    </row>
    <row r="351" spans="1:7">
      <c r="A351" s="3261" t="s">
        <v>307</v>
      </c>
      <c r="B351" s="3250" t="s">
        <v>2946</v>
      </c>
      <c r="C351" s="3251">
        <v>0.15</v>
      </c>
      <c r="D351" s="3251">
        <v>0.15</v>
      </c>
      <c r="E351" s="3251">
        <v>0.15</v>
      </c>
      <c r="F351" s="3251">
        <v>0.13</v>
      </c>
      <c r="G351" s="3252">
        <v>0.15</v>
      </c>
    </row>
    <row r="352" spans="1:7">
      <c r="A352" s="3261" t="s">
        <v>307</v>
      </c>
      <c r="B352" s="3250" t="s">
        <v>2951</v>
      </c>
      <c r="C352" s="3251">
        <v>0.15</v>
      </c>
      <c r="D352" s="3251">
        <v>0.15</v>
      </c>
      <c r="E352" s="3251">
        <v>0.15</v>
      </c>
      <c r="F352" s="3251">
        <v>0.14599999999999999</v>
      </c>
      <c r="G352" s="3252">
        <v>0.15</v>
      </c>
    </row>
    <row r="353" spans="1:7">
      <c r="A353" s="3261" t="s">
        <v>307</v>
      </c>
      <c r="B353" s="3250" t="s">
        <v>2958</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2971</v>
      </c>
      <c r="C355" s="3251">
        <v>0.15</v>
      </c>
      <c r="D355" s="3251">
        <v>0.15</v>
      </c>
      <c r="E355" s="3251">
        <v>0.15</v>
      </c>
      <c r="F355" s="3251">
        <v>0.15</v>
      </c>
      <c r="G355" s="3252">
        <v>0.15</v>
      </c>
    </row>
    <row r="356" spans="1:7">
      <c r="A356" s="3261" t="s">
        <v>307</v>
      </c>
      <c r="B356" s="3250" t="s">
        <v>2978</v>
      </c>
      <c r="C356" s="3251">
        <v>0.15</v>
      </c>
      <c r="D356" s="3251">
        <v>0.15</v>
      </c>
      <c r="E356" s="3251">
        <v>0.15</v>
      </c>
      <c r="F356" s="3251">
        <v>0.15</v>
      </c>
      <c r="G356" s="3252">
        <v>0.15</v>
      </c>
    </row>
    <row r="357" spans="1:7" ht="15" thickBot="1">
      <c r="A357" s="3264" t="s">
        <v>307</v>
      </c>
      <c r="B357" s="3254" t="s">
        <v>2983</v>
      </c>
      <c r="C357" s="3255">
        <v>0.126</v>
      </c>
      <c r="D357" s="3255">
        <v>0.127</v>
      </c>
      <c r="E357" s="3255">
        <v>0.14299999999999999</v>
      </c>
      <c r="F357" s="3255">
        <v>0.125</v>
      </c>
      <c r="G357" s="3257">
        <v>0.129</v>
      </c>
    </row>
    <row r="358" spans="1:7">
      <c r="A358" s="3260" t="s">
        <v>2852</v>
      </c>
      <c r="B358" s="3246" t="s">
        <v>2866</v>
      </c>
      <c r="C358" s="3247">
        <v>0.15</v>
      </c>
      <c r="D358" s="3247">
        <v>0.15</v>
      </c>
      <c r="E358" s="3247">
        <v>0.15</v>
      </c>
      <c r="F358" s="3247">
        <v>0.15</v>
      </c>
      <c r="G358" s="3248">
        <v>0.15</v>
      </c>
    </row>
    <row r="359" spans="1:7">
      <c r="A359" s="3261" t="s">
        <v>2852</v>
      </c>
      <c r="B359" s="3250" t="s">
        <v>2872</v>
      </c>
      <c r="C359" s="3251">
        <v>0.1</v>
      </c>
      <c r="D359" s="3251">
        <v>0.1</v>
      </c>
      <c r="E359" s="3251">
        <v>0.1</v>
      </c>
      <c r="F359" s="3251">
        <v>0.1</v>
      </c>
      <c r="G359" s="3252">
        <v>0.1</v>
      </c>
    </row>
    <row r="360" spans="1:7">
      <c r="A360" s="3261" t="s">
        <v>2852</v>
      </c>
      <c r="B360" s="3250" t="s">
        <v>2878</v>
      </c>
      <c r="C360" s="3251">
        <v>0.15</v>
      </c>
      <c r="D360" s="3251">
        <v>0.15</v>
      </c>
      <c r="E360" s="3251">
        <v>0.15</v>
      </c>
      <c r="F360" s="3251">
        <v>0.14899999999999999</v>
      </c>
      <c r="G360" s="3252">
        <v>0.15</v>
      </c>
    </row>
    <row r="361" spans="1:7">
      <c r="A361" s="3261" t="s">
        <v>2852</v>
      </c>
      <c r="B361" s="3250" t="s">
        <v>153</v>
      </c>
      <c r="C361" s="3251">
        <v>0.15</v>
      </c>
      <c r="D361" s="3251">
        <v>0.15</v>
      </c>
      <c r="E361" s="3251">
        <v>0.15</v>
      </c>
      <c r="F361" s="3251">
        <v>0.115</v>
      </c>
      <c r="G361" s="3252">
        <v>0.15</v>
      </c>
    </row>
    <row r="362" spans="1:7">
      <c r="A362" s="3261" t="s">
        <v>2852</v>
      </c>
      <c r="B362" s="3250" t="s">
        <v>2885</v>
      </c>
      <c r="C362" s="3251">
        <v>0.15</v>
      </c>
      <c r="D362" s="3251">
        <v>0.15</v>
      </c>
      <c r="E362" s="3251">
        <v>0.15</v>
      </c>
      <c r="F362" s="3251">
        <v>0.106</v>
      </c>
      <c r="G362" s="3252">
        <v>0.15</v>
      </c>
    </row>
    <row r="363" spans="1:7">
      <c r="A363" s="3261" t="s">
        <v>2852</v>
      </c>
      <c r="B363" s="3250" t="s">
        <v>2890</v>
      </c>
      <c r="C363" s="3251">
        <v>0.15</v>
      </c>
      <c r="D363" s="3251">
        <v>0.15</v>
      </c>
      <c r="E363" s="3251">
        <v>0.15</v>
      </c>
      <c r="F363" s="3251">
        <v>0.14699999999999999</v>
      </c>
      <c r="G363" s="3252">
        <v>0.15</v>
      </c>
    </row>
    <row r="364" spans="1:7">
      <c r="A364" s="3261" t="s">
        <v>2852</v>
      </c>
      <c r="B364" s="3250" t="s">
        <v>2894</v>
      </c>
      <c r="C364" s="3251">
        <v>0.15</v>
      </c>
      <c r="D364" s="3251">
        <v>0.15</v>
      </c>
      <c r="E364" s="3251">
        <v>0.15</v>
      </c>
      <c r="F364" s="3251">
        <v>0.14799999999999999</v>
      </c>
      <c r="G364" s="3252">
        <v>0.15</v>
      </c>
    </row>
    <row r="365" spans="1:7">
      <c r="A365" s="3261" t="s">
        <v>2852</v>
      </c>
      <c r="B365" s="3250" t="s">
        <v>200</v>
      </c>
      <c r="C365" s="3251">
        <v>0.15</v>
      </c>
      <c r="D365" s="3251">
        <v>0.15</v>
      </c>
      <c r="E365" s="3251">
        <v>0.15</v>
      </c>
      <c r="F365" s="3251">
        <v>0.15</v>
      </c>
      <c r="G365" s="3252">
        <v>0.15</v>
      </c>
    </row>
    <row r="366" spans="1:7">
      <c r="A366" s="3261" t="s">
        <v>2852</v>
      </c>
      <c r="B366" s="3250" t="s">
        <v>2897</v>
      </c>
      <c r="C366" s="3251">
        <v>0.15</v>
      </c>
      <c r="D366" s="3251">
        <v>0.15</v>
      </c>
      <c r="E366" s="3251">
        <v>0.15</v>
      </c>
      <c r="F366" s="3251">
        <v>0.15</v>
      </c>
      <c r="G366" s="3252">
        <v>0.15</v>
      </c>
    </row>
    <row r="367" spans="1:7">
      <c r="A367" s="3261" t="s">
        <v>2852</v>
      </c>
      <c r="B367" s="3250" t="s">
        <v>2900</v>
      </c>
      <c r="C367" s="3251">
        <v>0.15</v>
      </c>
      <c r="D367" s="3251">
        <v>0.15</v>
      </c>
      <c r="E367" s="3251">
        <v>0.15</v>
      </c>
      <c r="F367" s="3251">
        <v>0.14699999999999999</v>
      </c>
      <c r="G367" s="3252">
        <v>0.15</v>
      </c>
    </row>
    <row r="368" spans="1:7">
      <c r="A368" s="3261" t="s">
        <v>2852</v>
      </c>
      <c r="B368" s="3250" t="s">
        <v>2905</v>
      </c>
      <c r="C368" s="3251">
        <v>0.15</v>
      </c>
      <c r="D368" s="3251">
        <v>0.15</v>
      </c>
      <c r="E368" s="3251">
        <v>0.15</v>
      </c>
      <c r="F368" s="3251">
        <v>0.13600000000000001</v>
      </c>
      <c r="G368" s="3252">
        <v>0.15</v>
      </c>
    </row>
    <row r="369" spans="1:7">
      <c r="A369" s="3261" t="s">
        <v>2852</v>
      </c>
      <c r="B369" s="3250" t="s">
        <v>214</v>
      </c>
      <c r="C369" s="3251">
        <v>0.15</v>
      </c>
      <c r="D369" s="3251">
        <v>0.15</v>
      </c>
      <c r="E369" s="3251">
        <v>0.15</v>
      </c>
      <c r="F369" s="3251">
        <v>0.14399999999999999</v>
      </c>
      <c r="G369" s="3252">
        <v>0.15</v>
      </c>
    </row>
    <row r="370" spans="1:7">
      <c r="A370" s="3261" t="s">
        <v>2852</v>
      </c>
      <c r="B370" s="3250" t="s">
        <v>221</v>
      </c>
      <c r="C370" s="3251">
        <v>0.15</v>
      </c>
      <c r="D370" s="3251">
        <v>0.15</v>
      </c>
      <c r="E370" s="3251">
        <v>0.15</v>
      </c>
      <c r="F370" s="3251">
        <v>0.14599999999999999</v>
      </c>
      <c r="G370" s="3252">
        <v>0.15</v>
      </c>
    </row>
    <row r="371" spans="1:7">
      <c r="A371" s="3261" t="s">
        <v>2852</v>
      </c>
      <c r="B371" s="3250" t="s">
        <v>229</v>
      </c>
      <c r="C371" s="3251">
        <v>0.15</v>
      </c>
      <c r="D371" s="3251">
        <v>0.15</v>
      </c>
      <c r="E371" s="3251">
        <v>0.15</v>
      </c>
      <c r="F371" s="3251">
        <v>0.12</v>
      </c>
      <c r="G371" s="3252">
        <v>0.15</v>
      </c>
    </row>
    <row r="372" spans="1:7">
      <c r="A372" s="3261" t="s">
        <v>2852</v>
      </c>
      <c r="B372" s="3250" t="s">
        <v>2913</v>
      </c>
      <c r="C372" s="3251">
        <v>0.15</v>
      </c>
      <c r="D372" s="3251">
        <v>0.15</v>
      </c>
      <c r="E372" s="3251">
        <v>0.15</v>
      </c>
      <c r="F372" s="3251">
        <v>0.14299999999999999</v>
      </c>
      <c r="G372" s="3252">
        <v>0.15</v>
      </c>
    </row>
    <row r="373" spans="1:7">
      <c r="A373" s="3261" t="s">
        <v>2852</v>
      </c>
      <c r="B373" s="3250" t="s">
        <v>258</v>
      </c>
      <c r="C373" s="3251">
        <v>0.15</v>
      </c>
      <c r="D373" s="3251">
        <v>0.15</v>
      </c>
      <c r="E373" s="3251">
        <v>0.15</v>
      </c>
      <c r="F373" s="3251">
        <v>0.14599999999999999</v>
      </c>
      <c r="G373" s="3252">
        <v>0.15</v>
      </c>
    </row>
    <row r="374" spans="1:7">
      <c r="A374" s="3261" t="s">
        <v>2852</v>
      </c>
      <c r="B374" s="3250" t="s">
        <v>266</v>
      </c>
      <c r="C374" s="3251">
        <v>0.15</v>
      </c>
      <c r="D374" s="3251">
        <v>0.15</v>
      </c>
      <c r="E374" s="3251">
        <v>0.15</v>
      </c>
      <c r="F374" s="3251">
        <v>0.14399999999999999</v>
      </c>
      <c r="G374" s="3252">
        <v>0.15</v>
      </c>
    </row>
    <row r="375" spans="1:7">
      <c r="A375" s="3261" t="s">
        <v>2852</v>
      </c>
      <c r="B375" s="3250" t="s">
        <v>2921</v>
      </c>
      <c r="C375" s="3251">
        <v>0.15</v>
      </c>
      <c r="D375" s="3251">
        <v>0.15</v>
      </c>
      <c r="E375" s="3251">
        <v>0.15</v>
      </c>
      <c r="F375" s="3251">
        <v>0.13</v>
      </c>
      <c r="G375" s="3252">
        <v>0.15</v>
      </c>
    </row>
    <row r="376" spans="1:7">
      <c r="A376" s="3261" t="s">
        <v>2852</v>
      </c>
      <c r="B376" s="3250" t="s">
        <v>277</v>
      </c>
      <c r="C376" s="3251">
        <v>0.15</v>
      </c>
      <c r="D376" s="3251">
        <v>0.15</v>
      </c>
      <c r="E376" s="3251">
        <v>0.15</v>
      </c>
      <c r="F376" s="3251">
        <v>0.14199999999999999</v>
      </c>
      <c r="G376" s="3252">
        <v>0.15</v>
      </c>
    </row>
    <row r="377" spans="1:7" ht="15" thickBot="1">
      <c r="A377" s="3264" t="s">
        <v>2852</v>
      </c>
      <c r="B377" s="3254" t="s">
        <v>2927</v>
      </c>
      <c r="C377" s="3255">
        <v>0.15</v>
      </c>
      <c r="D377" s="3255">
        <v>0.15</v>
      </c>
      <c r="E377" s="3255">
        <v>0.15</v>
      </c>
      <c r="F377" s="3255">
        <v>0.14000000000000001</v>
      </c>
      <c r="G377" s="3257">
        <v>0.15</v>
      </c>
    </row>
    <row r="378" spans="1:7">
      <c r="A378" s="3260" t="s">
        <v>2853</v>
      </c>
      <c r="B378" s="3246" t="s">
        <v>2867</v>
      </c>
      <c r="C378" s="3247">
        <v>0.15</v>
      </c>
      <c r="D378" s="3247">
        <v>0.15</v>
      </c>
      <c r="E378" s="3247">
        <v>0.15</v>
      </c>
      <c r="F378" s="3247">
        <v>0.107</v>
      </c>
      <c r="G378" s="3248">
        <v>0.15</v>
      </c>
    </row>
    <row r="379" spans="1:7">
      <c r="A379" s="3261" t="s">
        <v>2853</v>
      </c>
      <c r="B379" s="3250" t="s">
        <v>2873</v>
      </c>
      <c r="C379" s="3251">
        <v>0.15</v>
      </c>
      <c r="D379" s="3251">
        <v>0.15</v>
      </c>
      <c r="E379" s="3251">
        <v>0.15</v>
      </c>
      <c r="F379" s="3251">
        <v>0.115</v>
      </c>
      <c r="G379" s="3252">
        <v>0.14899999999999999</v>
      </c>
    </row>
    <row r="380" spans="1:7">
      <c r="A380" s="3261" t="s">
        <v>2853</v>
      </c>
      <c r="B380" s="3250" t="s">
        <v>2879</v>
      </c>
      <c r="C380" s="3251">
        <v>0.15</v>
      </c>
      <c r="D380" s="3251">
        <v>0.15</v>
      </c>
      <c r="E380" s="3251">
        <v>0.15</v>
      </c>
      <c r="F380" s="3251">
        <v>0.1</v>
      </c>
      <c r="G380" s="3252">
        <v>0.14799999999999999</v>
      </c>
    </row>
    <row r="381" spans="1:7">
      <c r="A381" s="3261" t="s">
        <v>2853</v>
      </c>
      <c r="B381" s="3250" t="s">
        <v>2882</v>
      </c>
      <c r="C381" s="3251">
        <v>0.15</v>
      </c>
      <c r="D381" s="3251">
        <v>0.15</v>
      </c>
      <c r="E381" s="3251">
        <v>0.15</v>
      </c>
      <c r="F381" s="3251">
        <v>0.126</v>
      </c>
      <c r="G381" s="3252">
        <v>0.15</v>
      </c>
    </row>
    <row r="382" spans="1:7">
      <c r="A382" s="3261" t="s">
        <v>2853</v>
      </c>
      <c r="B382" s="3250" t="s">
        <v>2886</v>
      </c>
      <c r="C382" s="3251">
        <v>0.15</v>
      </c>
      <c r="D382" s="3251">
        <v>0.15</v>
      </c>
      <c r="E382" s="3251">
        <v>0.15</v>
      </c>
      <c r="F382" s="3251">
        <v>0.15</v>
      </c>
      <c r="G382" s="3252">
        <v>0.15</v>
      </c>
    </row>
    <row r="383" spans="1:7">
      <c r="A383" s="3261" t="s">
        <v>2853</v>
      </c>
      <c r="B383" s="3250" t="s">
        <v>2891</v>
      </c>
      <c r="C383" s="3251">
        <v>0.15</v>
      </c>
      <c r="D383" s="3251">
        <v>0.15</v>
      </c>
      <c r="E383" s="3251">
        <v>0.15</v>
      </c>
      <c r="F383" s="3251">
        <v>0.14699999999999999</v>
      </c>
      <c r="G383" s="3252">
        <v>0.15</v>
      </c>
    </row>
    <row r="384" spans="1:7" ht="15" thickBot="1">
      <c r="A384" s="3271" t="s">
        <v>2853</v>
      </c>
      <c r="B384" s="3272" t="s">
        <v>2895</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6"/>
  </cols>
  <sheetData>
    <row r="1" spans="1:6">
      <c r="A1" s="3774" t="s">
        <v>3234</v>
      </c>
      <c r="B1" s="3774"/>
      <c r="C1" s="3774"/>
      <c r="D1" s="3774"/>
      <c r="E1" s="3774"/>
      <c r="F1" s="3775"/>
    </row>
    <row r="2" spans="1:6">
      <c r="A2" s="3277" t="s">
        <v>3235</v>
      </c>
      <c r="B2" s="3278"/>
      <c r="C2" s="3278"/>
      <c r="D2" s="3278"/>
      <c r="E2" s="3278"/>
      <c r="F2" s="3278"/>
    </row>
    <row r="3" spans="1:6">
      <c r="A3" s="3277" t="s">
        <v>3236</v>
      </c>
      <c r="B3" s="3278"/>
      <c r="C3" s="3278"/>
      <c r="D3" s="3278"/>
      <c r="E3" s="3278"/>
      <c r="F3" s="3279" t="s">
        <v>3237</v>
      </c>
    </row>
    <row r="4" spans="1:6">
      <c r="A4" s="3280" t="s">
        <v>672</v>
      </c>
      <c r="B4" s="3280" t="s">
        <v>673</v>
      </c>
      <c r="C4" s="3280" t="s">
        <v>21</v>
      </c>
      <c r="D4" s="3280" t="s">
        <v>674</v>
      </c>
      <c r="E4" s="3280" t="s">
        <v>3</v>
      </c>
      <c r="F4" s="3280" t="s">
        <v>3238</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07">
        <f>基准地价修正!G23</f>
        <v>45539</v>
      </c>
      <c r="B1" s="3196" t="s">
        <v>3373</v>
      </c>
      <c r="C1" s="3197"/>
      <c r="D1" s="3197"/>
      <c r="E1" s="3197"/>
      <c r="F1" s="3197"/>
      <c r="G1" s="3197"/>
      <c r="H1" s="3197"/>
      <c r="I1" s="3197"/>
      <c r="J1" s="3151"/>
      <c r="K1" s="3197" t="s">
        <v>454</v>
      </c>
      <c r="L1" s="3197"/>
      <c r="M1" s="3197"/>
      <c r="N1" s="3197"/>
      <c r="O1" s="3197"/>
      <c r="P1" s="3197"/>
      <c r="Q1" s="3151"/>
      <c r="R1" s="3776" t="s">
        <v>456</v>
      </c>
      <c r="S1" s="3777"/>
      <c r="T1" s="3777"/>
      <c r="U1" s="3777"/>
      <c r="V1" s="3777"/>
      <c r="W1" s="3777"/>
      <c r="X1" s="3151"/>
      <c r="Y1" s="3776" t="s">
        <v>457</v>
      </c>
      <c r="Z1" s="3777"/>
      <c r="AA1" s="3777"/>
      <c r="AB1" s="3777"/>
      <c r="AC1" s="3777"/>
      <c r="AD1" s="3777"/>
    </row>
    <row r="2" spans="1:30" s="3129" customFormat="1" ht="15" thickBot="1">
      <c r="B2" s="3130"/>
      <c r="C2" s="3131"/>
      <c r="D2" s="3132" t="s">
        <v>2812</v>
      </c>
      <c r="E2" s="3133" t="s">
        <v>2813</v>
      </c>
      <c r="F2" s="3133" t="s">
        <v>2814</v>
      </c>
      <c r="G2" s="3133" t="s">
        <v>2815</v>
      </c>
      <c r="H2" s="3133" t="s">
        <v>2816</v>
      </c>
      <c r="I2" s="3133" t="s">
        <v>2633</v>
      </c>
      <c r="J2" s="3134"/>
      <c r="K2" s="3132" t="s">
        <v>2812</v>
      </c>
      <c r="L2" s="3133" t="s">
        <v>2813</v>
      </c>
      <c r="M2" s="3133" t="s">
        <v>2814</v>
      </c>
      <c r="N2" s="3133" t="s">
        <v>2815</v>
      </c>
      <c r="O2" s="3133" t="s">
        <v>2817</v>
      </c>
      <c r="P2" s="3133" t="s">
        <v>2633</v>
      </c>
      <c r="Q2" s="3134"/>
      <c r="R2" s="3132" t="s">
        <v>2812</v>
      </c>
      <c r="S2" s="3133" t="s">
        <v>2813</v>
      </c>
      <c r="T2" s="3133" t="s">
        <v>2814</v>
      </c>
      <c r="U2" s="3133" t="s">
        <v>2818</v>
      </c>
      <c r="V2" s="3133" t="s">
        <v>2819</v>
      </c>
      <c r="W2" s="3133" t="s">
        <v>2633</v>
      </c>
      <c r="X2" s="3134"/>
      <c r="Y2" s="3132" t="s">
        <v>2812</v>
      </c>
      <c r="Z2" s="3133" t="s">
        <v>2813</v>
      </c>
      <c r="AA2" s="3133" t="s">
        <v>2814</v>
      </c>
      <c r="AB2" s="3133" t="s">
        <v>2820</v>
      </c>
      <c r="AC2" s="3133" t="s">
        <v>2819</v>
      </c>
      <c r="AD2" s="3133" t="s">
        <v>2633</v>
      </c>
    </row>
    <row r="3" spans="1:30" s="3147" customFormat="1" ht="13.2">
      <c r="A3" s="3135" t="s">
        <v>2821</v>
      </c>
      <c r="B3" s="3136"/>
      <c r="C3" s="3137"/>
      <c r="D3" s="3137">
        <f>ROUND(AVERAGEIF(D4:D19,"&lt;&gt;0"),2)</f>
        <v>0.59</v>
      </c>
      <c r="E3" s="3137">
        <f t="shared" ref="E3:H3" si="0">ROUND(AVERAGEIF(E4:E19,"&lt;&gt;0"),2)</f>
        <v>0.36</v>
      </c>
      <c r="F3" s="3137">
        <f t="shared" si="0"/>
        <v>0.06</v>
      </c>
      <c r="G3" s="3137">
        <f t="shared" si="0"/>
        <v>0.6</v>
      </c>
      <c r="H3" s="3137">
        <f t="shared" si="0"/>
        <v>0.6</v>
      </c>
      <c r="I3" s="3137">
        <f>F3</f>
        <v>0.06</v>
      </c>
      <c r="J3" s="3138"/>
      <c r="K3" s="3139">
        <f>ROUND(AVERAGEIF(K4:K19,"&lt;&gt;0"),4)</f>
        <v>5.8999999999999999E-3</v>
      </c>
      <c r="L3" s="3140">
        <f t="shared" ref="L3:O3" si="1">ROUND(AVERAGEIF(L4:L19,"&lt;&gt;0"),4)</f>
        <v>3.5999999999999999E-3</v>
      </c>
      <c r="M3" s="3140">
        <f t="shared" si="1"/>
        <v>5.9999999999999995E-4</v>
      </c>
      <c r="N3" s="3140">
        <f t="shared" si="1"/>
        <v>6.0000000000000001E-3</v>
      </c>
      <c r="O3" s="3140">
        <f t="shared" si="1"/>
        <v>6.0000000000000001E-3</v>
      </c>
      <c r="P3" s="3140">
        <f>M3</f>
        <v>5.9999999999999995E-4</v>
      </c>
      <c r="Q3" s="3138"/>
      <c r="R3" s="3141">
        <f>ROUND(SUMPRODUCT(PRODUCT(1+K4:K19)),4)</f>
        <v>1.0852999999999999</v>
      </c>
      <c r="S3" s="3142">
        <f t="shared" ref="S3:V3" si="2">ROUND(SUMPRODUCT(PRODUCT(1+L4:L19)),4)</f>
        <v>1.0513999999999999</v>
      </c>
      <c r="T3" s="3142">
        <f t="shared" si="2"/>
        <v>1.0083</v>
      </c>
      <c r="U3" s="3142">
        <f t="shared" si="2"/>
        <v>1.0871999999999999</v>
      </c>
      <c r="V3" s="3142">
        <f t="shared" si="2"/>
        <v>1.0880000000000001</v>
      </c>
      <c r="W3" s="3141">
        <f>T3</f>
        <v>1.0083</v>
      </c>
      <c r="X3" s="3138"/>
      <c r="Y3" s="3143">
        <f>ROUND(AVERAGEIF(Y6:Y19,"&lt;&gt;0"),4)</f>
        <v>8.3999999999999995E-3</v>
      </c>
      <c r="Z3" s="3144">
        <f t="shared" ref="Z3:AC3" si="3">ROUND(AVERAGEIF(Z6:Z19,"&lt;&gt;0"),4)</f>
        <v>3.5000000000000001E-3</v>
      </c>
      <c r="AA3" s="3145">
        <f t="shared" si="3"/>
        <v>8.0000000000000004E-4</v>
      </c>
      <c r="AB3" s="3143">
        <f t="shared" si="3"/>
        <v>9.1000000000000004E-3</v>
      </c>
      <c r="AC3" s="3146">
        <f t="shared" si="3"/>
        <v>6.1000000000000004E-3</v>
      </c>
      <c r="AD3" s="3143">
        <f>AA3</f>
        <v>8.0000000000000004E-4</v>
      </c>
    </row>
    <row r="4" spans="1:30" s="3148" customFormat="1" ht="13.2">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3.2">
      <c r="A5" s="2204" t="s">
        <v>3379</v>
      </c>
      <c r="B5" s="3163">
        <v>2024</v>
      </c>
      <c r="C5" s="3164">
        <v>3</v>
      </c>
      <c r="D5" s="3165">
        <v>0</v>
      </c>
      <c r="E5" s="3165">
        <v>0</v>
      </c>
      <c r="F5" s="3165">
        <v>0</v>
      </c>
      <c r="G5" s="3165">
        <v>0</v>
      </c>
      <c r="H5" s="3165">
        <v>0</v>
      </c>
      <c r="I5" s="3166">
        <f t="shared" ref="I5" si="4">F5</f>
        <v>0</v>
      </c>
      <c r="J5" s="3167"/>
      <c r="K5" s="3168">
        <f t="shared" ref="K5" si="5">D5/100</f>
        <v>0</v>
      </c>
      <c r="L5" s="3158">
        <f t="shared" ref="L5" si="6">E5/100</f>
        <v>0</v>
      </c>
      <c r="M5" s="3158">
        <f t="shared" ref="M5" si="7">F5/100</f>
        <v>0</v>
      </c>
      <c r="N5" s="3158">
        <f t="shared" ref="N5" si="8">G5/100</f>
        <v>0</v>
      </c>
      <c r="O5" s="3158">
        <f t="shared" ref="O5" si="9">H5/100</f>
        <v>0</v>
      </c>
      <c r="P5" s="3158">
        <f>M5</f>
        <v>0</v>
      </c>
      <c r="Q5" s="3167"/>
      <c r="R5" s="3169">
        <f>ROUND(IF(项目基本情况!$B$8="出让",SUMPRODUCT(PRODUCT(1+K5:$K$19)),SUMPRODUCT(PRODUCT(1+K5:$K$18))),4)</f>
        <v>1.0748</v>
      </c>
      <c r="S5" s="3169">
        <f>ROUND(IF(项目基本情况!$B$8="出让",SUMPRODUCT(PRODUCT(1+L5:$L$19)),SUMPRODUCT(PRODUCT(1+L5:$L$18))),4)</f>
        <v>1.0498000000000001</v>
      </c>
      <c r="T5" s="3169">
        <f>ROUND(IF(项目基本情况!$B$8="出让",SUMPRODUCT(PRODUCT(1+M5:$M$19)),SUMPRODUCT(PRODUCT(1+M5:$M$18))),4)</f>
        <v>1.0107999999999999</v>
      </c>
      <c r="U5" s="3169">
        <f>ROUND(IF(项目基本情况!$B$8="出让",SUMPRODUCT(PRODUCT(1+N5:$N$19)),SUMPRODUCT(PRODUCT(1+N5:$N$18))),4)</f>
        <v>1.0752999999999999</v>
      </c>
      <c r="V5" s="3169">
        <f>ROUND(IF(项目基本情况!$B$8="出让",SUMPRODUCT(PRODUCT(1+O5:$O$19)),SUMPRODUCT(PRODUCT(1+O5:$O$18))),4)</f>
        <v>1.0841000000000001</v>
      </c>
      <c r="W5" s="3169">
        <f>T5</f>
        <v>1.0107999999999999</v>
      </c>
      <c r="X5" s="3167"/>
      <c r="Y5" s="3170">
        <f>IF(D5=0,0,ROUND(AVERAGE(D5:D18)/100,4))</f>
        <v>0</v>
      </c>
      <c r="Z5" s="3170">
        <f t="shared" ref="Z5" si="10">IF(E5=0,0,ROUND(AVERAGE(E5:E18)/100,4))</f>
        <v>0</v>
      </c>
      <c r="AA5" s="3170">
        <f t="shared" ref="AA5" si="11">IF(F5=0,0,ROUND(AVERAGE(F5:F18)/100,4))</f>
        <v>0</v>
      </c>
      <c r="AB5" s="3170">
        <f t="shared" ref="AB5" si="12">IF(G5=0,0,ROUND(AVERAGE(G5:G18)/100,4))</f>
        <v>0</v>
      </c>
      <c r="AC5" s="3170">
        <f t="shared" ref="AC5" si="13">IF(H5=0,0,ROUND(AVERAGE(H5:H18)/100,4))</f>
        <v>0</v>
      </c>
      <c r="AD5" s="3170">
        <f t="shared" ref="AD5" si="14">AA5</f>
        <v>0</v>
      </c>
    </row>
    <row r="6" spans="1:30" s="3181" customFormat="1" ht="13.2">
      <c r="A6" s="3172" t="s">
        <v>3380</v>
      </c>
      <c r="B6" s="3173">
        <v>2024</v>
      </c>
      <c r="C6" s="3174">
        <v>2</v>
      </c>
      <c r="D6" s="3175">
        <v>-0.59</v>
      </c>
      <c r="E6" s="3175">
        <v>-0.21</v>
      </c>
      <c r="F6" s="3175">
        <v>-1.38</v>
      </c>
      <c r="G6" s="3175">
        <v>-1.24</v>
      </c>
      <c r="H6" s="3176">
        <v>0.34</v>
      </c>
      <c r="I6" s="3177">
        <f t="shared" ref="I6:I19" si="15">F6</f>
        <v>-1.38</v>
      </c>
      <c r="J6" s="3178"/>
      <c r="K6" s="3179">
        <f t="shared" ref="K6:O19" si="16">D6/100</f>
        <v>-5.8999999999999999E-3</v>
      </c>
      <c r="L6" s="3180">
        <f t="shared" si="16"/>
        <v>-2.0999999999999999E-3</v>
      </c>
      <c r="M6" s="3180">
        <f t="shared" si="16"/>
        <v>-1.38E-2</v>
      </c>
      <c r="N6" s="3180">
        <f t="shared" si="16"/>
        <v>-1.24E-2</v>
      </c>
      <c r="O6" s="3180">
        <f t="shared" si="16"/>
        <v>3.4000000000000002E-3</v>
      </c>
      <c r="P6" s="3180">
        <f>M6</f>
        <v>-1.38E-2</v>
      </c>
      <c r="Q6" s="3178"/>
      <c r="R6" s="3178">
        <f>ROUND(IF(项目基本情况!$B$8="出让",SUMPRODUCT(PRODUCT(1+K6:$K$19)),SUMPRODUCT(PRODUCT(1+K6:$K$18))),4)</f>
        <v>1.0748</v>
      </c>
      <c r="S6" s="3178">
        <f>ROUND(IF(项目基本情况!$B$8="出让",SUMPRODUCT(PRODUCT(1+L6:$L$19)),SUMPRODUCT(PRODUCT(1+L6:$L$18))),4)</f>
        <v>1.0498000000000001</v>
      </c>
      <c r="T6" s="3178">
        <f>ROUND(IF(项目基本情况!$B$8="出让",SUMPRODUCT(PRODUCT(1+M6:$M$19)),SUMPRODUCT(PRODUCT(1+M6:$M$18))),4)</f>
        <v>1.0107999999999999</v>
      </c>
      <c r="U6" s="3178">
        <f>ROUND(IF(项目基本情况!$B$8="出让",SUMPRODUCT(PRODUCT(1+N6:$N$19)),SUMPRODUCT(PRODUCT(1+N6:$N$18))),4)</f>
        <v>1.0752999999999999</v>
      </c>
      <c r="V6" s="3178">
        <f>ROUND(IF(项目基本情况!$B$8="出让",SUMPRODUCT(PRODUCT(1+O6:$O$19)),SUMPRODUCT(PRODUCT(1+O6:$O$18))),4)</f>
        <v>1.0841000000000001</v>
      </c>
      <c r="W6" s="3178">
        <f>T6</f>
        <v>1.0107999999999999</v>
      </c>
      <c r="X6" s="3178"/>
      <c r="Y6" s="3180">
        <f>IF(D6=0,0,ROUND(AVERAGE(D6:D19)/100,4))</f>
        <v>5.8999999999999999E-3</v>
      </c>
      <c r="Z6" s="3180">
        <f t="shared" ref="Z6:AC6" si="17">IF(E6=0,0,ROUND(AVERAGE(E6:E19)/100,4))</f>
        <v>3.5999999999999999E-3</v>
      </c>
      <c r="AA6" s="3180">
        <f t="shared" si="17"/>
        <v>5.9999999999999995E-4</v>
      </c>
      <c r="AB6" s="3180">
        <f t="shared" si="17"/>
        <v>6.0000000000000001E-3</v>
      </c>
      <c r="AC6" s="3180">
        <f t="shared" si="17"/>
        <v>6.0000000000000001E-3</v>
      </c>
      <c r="AD6" s="3180">
        <f t="shared" ref="AD6:AD18" si="18">AA6</f>
        <v>5.9999999999999995E-4</v>
      </c>
    </row>
    <row r="7" spans="1:30" s="3171" customFormat="1" ht="13.2">
      <c r="A7" s="3162" t="s">
        <v>3382</v>
      </c>
      <c r="B7" s="3163">
        <v>2024</v>
      </c>
      <c r="C7" s="3164">
        <v>1</v>
      </c>
      <c r="D7" s="3165">
        <v>0.08</v>
      </c>
      <c r="E7" s="3165">
        <v>0.46</v>
      </c>
      <c r="F7" s="3165">
        <v>-0.16</v>
      </c>
      <c r="G7" s="3165">
        <v>0.26</v>
      </c>
      <c r="H7" s="3182">
        <v>0.59</v>
      </c>
      <c r="I7" s="3166">
        <v>0</v>
      </c>
      <c r="J7" s="3167"/>
      <c r="K7" s="3168">
        <f t="shared" ref="K7" si="19">D7/100</f>
        <v>8.0000000000000004E-4</v>
      </c>
      <c r="L7" s="3158">
        <f t="shared" ref="L7" si="20">E7/100</f>
        <v>4.5999999999999999E-3</v>
      </c>
      <c r="M7" s="3158">
        <f t="shared" ref="M7" si="21">F7/100</f>
        <v>-1.6000000000000001E-3</v>
      </c>
      <c r="N7" s="3158">
        <f t="shared" ref="N7" si="22">G7/100</f>
        <v>2.5999999999999999E-3</v>
      </c>
      <c r="O7" s="3158">
        <f t="shared" ref="O7" si="23">H7/100</f>
        <v>5.8999999999999999E-3</v>
      </c>
      <c r="P7" s="3158">
        <f t="shared" ref="P7" si="24">M7</f>
        <v>-1.6000000000000001E-3</v>
      </c>
      <c r="Q7" s="3167"/>
      <c r="R7" s="3169">
        <f>ROUND(IF(项目基本情况!$B$8="出让",SUMPRODUCT(PRODUCT(1+K7:$K$19)),SUMPRODUCT(PRODUCT(1+K7:$K$18))),4)</f>
        <v>1.0811999999999999</v>
      </c>
      <c r="S7" s="3169">
        <f>ROUND(IF(项目基本情况!$B$8="出让",SUMPRODUCT(PRODUCT(1+L7:$L$19)),SUMPRODUCT(PRODUCT(1+L7:$L$18))),4)</f>
        <v>1.052</v>
      </c>
      <c r="T7" s="3169">
        <f>ROUND(IF(项目基本情况!$B$8="出让",SUMPRODUCT(PRODUCT(1+M7:$M$19)),SUMPRODUCT(PRODUCT(1+M7:$M$18))),4)</f>
        <v>1.0249999999999999</v>
      </c>
      <c r="U7" s="3169">
        <f>ROUND(IF(项目基本情况!$B$8="出让",SUMPRODUCT(PRODUCT(1+N7:$N$19)),SUMPRODUCT(PRODUCT(1+N7:$N$18))),4)</f>
        <v>1.0888</v>
      </c>
      <c r="V7" s="3169">
        <f>ROUND(IF(项目基本情况!$B$8="出让",SUMPRODUCT(PRODUCT(1+O7:$O$19)),SUMPRODUCT(PRODUCT(1+O7:$O$18))),4)</f>
        <v>1.0804</v>
      </c>
      <c r="W7" s="3169">
        <f t="shared" ref="W7" si="25">T7</f>
        <v>1.0249999999999999</v>
      </c>
      <c r="X7" s="3167"/>
      <c r="Y7" s="3170"/>
      <c r="Z7" s="3170"/>
      <c r="AA7" s="3170"/>
      <c r="AB7" s="3170"/>
      <c r="AC7" s="3170"/>
      <c r="AD7" s="3170"/>
    </row>
    <row r="8" spans="1:30" s="3171" customFormat="1" ht="13.2">
      <c r="A8" s="3162" t="s">
        <v>3377</v>
      </c>
      <c r="B8" s="3163">
        <v>2023</v>
      </c>
      <c r="C8" s="3164">
        <v>4</v>
      </c>
      <c r="D8" s="3165">
        <v>0.19</v>
      </c>
      <c r="E8" s="3165">
        <v>0.24</v>
      </c>
      <c r="F8" s="3165">
        <v>-0.16</v>
      </c>
      <c r="G8" s="3165">
        <v>0.17</v>
      </c>
      <c r="H8" s="3182">
        <v>0.61</v>
      </c>
      <c r="I8" s="3166">
        <f>F8</f>
        <v>-0.16</v>
      </c>
      <c r="J8" s="3167"/>
      <c r="K8" s="3168">
        <f t="shared" si="16"/>
        <v>1.9E-3</v>
      </c>
      <c r="L8" s="3158">
        <f t="shared" si="16"/>
        <v>2.3999999999999998E-3</v>
      </c>
      <c r="M8" s="3158">
        <f t="shared" si="16"/>
        <v>-1.6000000000000001E-3</v>
      </c>
      <c r="N8" s="3158">
        <f t="shared" si="16"/>
        <v>1.7000000000000001E-3</v>
      </c>
      <c r="O8" s="3158">
        <f t="shared" si="16"/>
        <v>6.0999999999999995E-3</v>
      </c>
      <c r="P8" s="3158">
        <f t="shared" ref="P8" si="26">M8</f>
        <v>-1.6000000000000001E-3</v>
      </c>
      <c r="Q8" s="3167"/>
      <c r="R8" s="3169">
        <f>ROUND(IF(项目基本情况!$B$8="出让",SUMPRODUCT(PRODUCT(1+K8:$K$19)),SUMPRODUCT(PRODUCT(1+K8:$K$18))),4)</f>
        <v>1.0804</v>
      </c>
      <c r="S8" s="3169">
        <f>ROUND(IF(项目基本情况!$B$8="出让",SUMPRODUCT(PRODUCT(1+L8:$L$19)),SUMPRODUCT(PRODUCT(1+L8:$L$18))),4)</f>
        <v>1.0471999999999999</v>
      </c>
      <c r="T8" s="3169">
        <f>ROUND(IF(项目基本情况!$B$8="出让",SUMPRODUCT(PRODUCT(1+M8:$M$19)),SUMPRODUCT(PRODUCT(1+M8:$M$18))),4)</f>
        <v>1.0266</v>
      </c>
      <c r="U8" s="3169">
        <f>ROUND(IF(项目基本情况!$B$8="出让",SUMPRODUCT(PRODUCT(1+N8:$N$19)),SUMPRODUCT(PRODUCT(1+N8:$N$18))),4)</f>
        <v>1.0859000000000001</v>
      </c>
      <c r="V8" s="3169">
        <f>ROUND(IF(项目基本情况!$B$8="出让",SUMPRODUCT(PRODUCT(1+O8:$O$19)),SUMPRODUCT(PRODUCT(1+O8:$O$18))),4)</f>
        <v>1.0741000000000001</v>
      </c>
      <c r="W8" s="3169">
        <f t="shared" ref="W8" si="27">T8</f>
        <v>1.0266</v>
      </c>
      <c r="X8" s="3167"/>
      <c r="Y8" s="3170"/>
      <c r="Z8" s="3170"/>
      <c r="AA8" s="3170"/>
      <c r="AB8" s="3170"/>
      <c r="AC8" s="3170"/>
      <c r="AD8" s="3170"/>
    </row>
    <row r="9" spans="1:30" s="3171" customFormat="1" ht="13.2">
      <c r="A9" s="3162" t="s">
        <v>3376</v>
      </c>
      <c r="B9" s="3163">
        <v>2023</v>
      </c>
      <c r="C9" s="3164">
        <v>3</v>
      </c>
      <c r="D9" s="3165">
        <v>0.25</v>
      </c>
      <c r="E9" s="3165">
        <v>0.5</v>
      </c>
      <c r="F9" s="3165">
        <v>0.31</v>
      </c>
      <c r="G9" s="3165">
        <v>0.21</v>
      </c>
      <c r="H9" s="3182">
        <v>0.43</v>
      </c>
      <c r="I9" s="3166">
        <f t="shared" si="15"/>
        <v>0.31</v>
      </c>
      <c r="J9" s="3167"/>
      <c r="K9" s="3168">
        <f t="shared" ref="K9:K11" si="28">D9/100</f>
        <v>2.5000000000000001E-3</v>
      </c>
      <c r="L9" s="3158">
        <f t="shared" ref="L9:L11" si="29">E9/100</f>
        <v>5.0000000000000001E-3</v>
      </c>
      <c r="M9" s="3158">
        <f t="shared" ref="M9:M11" si="30">F9/100</f>
        <v>3.0999999999999999E-3</v>
      </c>
      <c r="N9" s="3158">
        <f t="shared" ref="N9:N11" si="31">G9/100</f>
        <v>2.0999999999999999E-3</v>
      </c>
      <c r="O9" s="3158">
        <f t="shared" ref="O9:O11" si="32">H9/100</f>
        <v>4.3E-3</v>
      </c>
      <c r="P9" s="3158">
        <f t="shared" ref="P9:P11" si="33">M9</f>
        <v>3.0999999999999999E-3</v>
      </c>
      <c r="Q9" s="3167"/>
      <c r="R9" s="3169">
        <f>ROUND(IF(项目基本情况!$B$8="出让",SUMPRODUCT(PRODUCT(1+K9:$K$19)),SUMPRODUCT(PRODUCT(1+K9:$K$18))),4)</f>
        <v>1.0783</v>
      </c>
      <c r="S9" s="3169">
        <f>ROUND(IF(项目基本情况!$B$8="出让",SUMPRODUCT(PRODUCT(1+L9:$L$19)),SUMPRODUCT(PRODUCT(1+L9:$L$18))),4)</f>
        <v>1.0447</v>
      </c>
      <c r="T9" s="3169">
        <f>ROUND(IF(项目基本情况!$B$8="出让",SUMPRODUCT(PRODUCT(1+M9:$M$19)),SUMPRODUCT(PRODUCT(1+M9:$M$18))),4)</f>
        <v>1.0282</v>
      </c>
      <c r="U9" s="3169">
        <f>ROUND(IF(项目基本情况!$B$8="出让",SUMPRODUCT(PRODUCT(1+N9:$N$19)),SUMPRODUCT(PRODUCT(1+N9:$N$18))),4)</f>
        <v>1.0841000000000001</v>
      </c>
      <c r="V9" s="3169">
        <f>ROUND(IF(项目基本情况!$B$8="出让",SUMPRODUCT(PRODUCT(1+O9:$O$19)),SUMPRODUCT(PRODUCT(1+O9:$O$18))),4)</f>
        <v>1.0674999999999999</v>
      </c>
      <c r="W9" s="3169">
        <f t="shared" ref="W9:W10" si="34">T9</f>
        <v>1.0282</v>
      </c>
      <c r="X9" s="3167"/>
      <c r="Y9" s="3170"/>
      <c r="Z9" s="3170"/>
      <c r="AA9" s="3170"/>
      <c r="AB9" s="3170"/>
      <c r="AC9" s="3170"/>
      <c r="AD9" s="3170"/>
    </row>
    <row r="10" spans="1:30" s="3171" customFormat="1" ht="13.2">
      <c r="A10" s="3162" t="s">
        <v>3372</v>
      </c>
      <c r="B10" s="3163">
        <v>2023</v>
      </c>
      <c r="C10" s="3164">
        <v>2</v>
      </c>
      <c r="D10" s="3165">
        <v>0.91</v>
      </c>
      <c r="E10" s="3165">
        <v>0.66</v>
      </c>
      <c r="F10" s="3165">
        <v>0.47</v>
      </c>
      <c r="G10" s="3165">
        <v>0.96</v>
      </c>
      <c r="H10" s="3182">
        <v>0.71</v>
      </c>
      <c r="I10" s="3166">
        <f t="shared" si="15"/>
        <v>0.47</v>
      </c>
      <c r="J10" s="3167"/>
      <c r="K10" s="3168">
        <f t="shared" si="28"/>
        <v>9.1000000000000004E-3</v>
      </c>
      <c r="L10" s="3158">
        <f t="shared" si="29"/>
        <v>6.6E-3</v>
      </c>
      <c r="M10" s="3158">
        <f t="shared" si="30"/>
        <v>4.6999999999999993E-3</v>
      </c>
      <c r="N10" s="3158">
        <f t="shared" si="31"/>
        <v>9.5999999999999992E-3</v>
      </c>
      <c r="O10" s="3158">
        <f t="shared" si="32"/>
        <v>7.0999999999999995E-3</v>
      </c>
      <c r="P10" s="3158">
        <f t="shared" si="33"/>
        <v>4.6999999999999993E-3</v>
      </c>
      <c r="Q10" s="3167"/>
      <c r="R10" s="3169">
        <f>ROUND(IF(项目基本情况!$B$8="出让",SUMPRODUCT(PRODUCT(1+K10:$K$19)),SUMPRODUCT(PRODUCT(1+K10:$K$18))),4)</f>
        <v>1.0755999999999999</v>
      </c>
      <c r="S10" s="3169">
        <f>ROUND(IF(项目基本情况!$B$8="出让",SUMPRODUCT(PRODUCT(1+L10:$L$19)),SUMPRODUCT(PRODUCT(1+L10:$L$18))),4)</f>
        <v>1.0395000000000001</v>
      </c>
      <c r="T10" s="3169">
        <f>ROUND(IF(项目基本情况!$B$8="出让",SUMPRODUCT(PRODUCT(1+M10:$M$19)),SUMPRODUCT(PRODUCT(1+M10:$M$18))),4)</f>
        <v>1.0250999999999999</v>
      </c>
      <c r="U10" s="3169">
        <f>ROUND(IF(项目基本情况!$B$8="出让",SUMPRODUCT(PRODUCT(1+N10:$N$19)),SUMPRODUCT(PRODUCT(1+N10:$N$18))),4)</f>
        <v>1.0818000000000001</v>
      </c>
      <c r="V10" s="3169">
        <f>ROUND(IF(项目基本情况!$B$8="出让",SUMPRODUCT(PRODUCT(1+O10:$O$19)),SUMPRODUCT(PRODUCT(1+O10:$O$18))),4)</f>
        <v>1.0629999999999999</v>
      </c>
      <c r="W10" s="3169">
        <f t="shared" si="34"/>
        <v>1.0250999999999999</v>
      </c>
      <c r="X10" s="3167"/>
      <c r="Y10" s="3170"/>
      <c r="Z10" s="3170"/>
      <c r="AA10" s="3170"/>
      <c r="AB10" s="3170"/>
      <c r="AC10" s="3170"/>
      <c r="AD10" s="3170"/>
    </row>
    <row r="11" spans="1:30" s="3171" customFormat="1" ht="13.2">
      <c r="A11" s="3162" t="s">
        <v>3371</v>
      </c>
      <c r="B11" s="3163">
        <v>2023</v>
      </c>
      <c r="C11" s="3164">
        <v>1</v>
      </c>
      <c r="D11" s="3165">
        <v>0.89</v>
      </c>
      <c r="E11" s="3165">
        <v>0.74</v>
      </c>
      <c r="F11" s="3165">
        <v>0.56999999999999995</v>
      </c>
      <c r="G11" s="3165">
        <v>0.92</v>
      </c>
      <c r="H11" s="3182">
        <v>0.5</v>
      </c>
      <c r="I11" s="3166">
        <f t="shared" si="15"/>
        <v>0.56999999999999995</v>
      </c>
      <c r="J11" s="3167"/>
      <c r="K11" s="3168">
        <f t="shared" si="28"/>
        <v>8.8999999999999999E-3</v>
      </c>
      <c r="L11" s="3158">
        <f t="shared" si="29"/>
        <v>7.4000000000000003E-3</v>
      </c>
      <c r="M11" s="3158">
        <f t="shared" si="30"/>
        <v>5.6999999999999993E-3</v>
      </c>
      <c r="N11" s="3158">
        <f t="shared" si="31"/>
        <v>9.1999999999999998E-3</v>
      </c>
      <c r="O11" s="3158">
        <f t="shared" si="32"/>
        <v>5.0000000000000001E-3</v>
      </c>
      <c r="P11" s="3158">
        <f t="shared" si="33"/>
        <v>5.6999999999999993E-3</v>
      </c>
      <c r="Q11" s="3167"/>
      <c r="R11" s="3169">
        <f>ROUND(IF(项目基本情况!$B$8="出让",SUMPRODUCT(PRODUCT(1+K11:$K$19)),SUMPRODUCT(PRODUCT(1+K11:$K$18))),4)</f>
        <v>1.0659000000000001</v>
      </c>
      <c r="S11" s="3169">
        <f>ROUND(IF(项目基本情况!$B$8="出让",SUMPRODUCT(PRODUCT(1+L11:$L$19)),SUMPRODUCT(PRODUCT(1+L11:$L$18))),4)</f>
        <v>1.0326</v>
      </c>
      <c r="T11" s="3169">
        <f>ROUND(IF(项目基本情况!$B$8="出让",SUMPRODUCT(PRODUCT(1+M11:$M$19)),SUMPRODUCT(PRODUCT(1+M11:$M$18))),4)</f>
        <v>1.0203</v>
      </c>
      <c r="U11" s="3169">
        <f>ROUND(IF(项目基本情况!$B$8="出让",SUMPRODUCT(PRODUCT(1+N11:$N$19)),SUMPRODUCT(PRODUCT(1+N11:$N$18))),4)</f>
        <v>1.0714999999999999</v>
      </c>
      <c r="V11" s="3169">
        <f>ROUND(IF(项目基本情况!$B$8="出让",SUMPRODUCT(PRODUCT(1+O11:$O$19)),SUMPRODUCT(PRODUCT(1+O11:$O$18))),4)</f>
        <v>1.0555000000000001</v>
      </c>
      <c r="W11" s="3169">
        <f t="shared" ref="W11:W18" si="35">T11</f>
        <v>1.0203</v>
      </c>
      <c r="X11" s="3167"/>
      <c r="Y11" s="3170"/>
      <c r="Z11" s="3170"/>
      <c r="AA11" s="3170"/>
      <c r="AB11" s="3170"/>
      <c r="AC11" s="3170"/>
      <c r="AD11" s="3170"/>
    </row>
    <row r="12" spans="1:30" s="3171" customFormat="1" ht="13.2">
      <c r="A12" s="3162" t="s">
        <v>3370</v>
      </c>
      <c r="B12" s="3163">
        <v>2022</v>
      </c>
      <c r="C12" s="3164">
        <v>4</v>
      </c>
      <c r="D12" s="3165">
        <v>0.62</v>
      </c>
      <c r="E12" s="3165">
        <v>0.2</v>
      </c>
      <c r="F12" s="3165">
        <v>0.11</v>
      </c>
      <c r="G12" s="3165">
        <v>0.69</v>
      </c>
      <c r="H12" s="3182">
        <v>0.53</v>
      </c>
      <c r="I12" s="3166">
        <f t="shared" si="15"/>
        <v>0.11</v>
      </c>
      <c r="J12" s="3167"/>
      <c r="K12" s="3168">
        <f t="shared" si="16"/>
        <v>6.1999999999999998E-3</v>
      </c>
      <c r="L12" s="3158">
        <f t="shared" si="16"/>
        <v>2E-3</v>
      </c>
      <c r="M12" s="3158">
        <f t="shared" si="16"/>
        <v>1.1000000000000001E-3</v>
      </c>
      <c r="N12" s="3158">
        <f t="shared" si="16"/>
        <v>6.8999999999999999E-3</v>
      </c>
      <c r="O12" s="3158">
        <f t="shared" si="16"/>
        <v>5.3E-3</v>
      </c>
      <c r="P12" s="3158">
        <f t="shared" ref="P12:P19" si="36">M12</f>
        <v>1.1000000000000001E-3</v>
      </c>
      <c r="Q12" s="3167"/>
      <c r="R12" s="3169">
        <f>ROUND(IF(项目基本情况!$B$8="出让",SUMPRODUCT(PRODUCT(1+K12:$K$19)),SUMPRODUCT(PRODUCT(1+K12:$K$18))),4)</f>
        <v>1.0565</v>
      </c>
      <c r="S12" s="3169">
        <f>ROUND(IF(项目基本情况!$B$8="出让",SUMPRODUCT(PRODUCT(1+L12:$L$19)),SUMPRODUCT(PRODUCT(1+L12:$L$18))),4)</f>
        <v>1.0250999999999999</v>
      </c>
      <c r="T12" s="3169">
        <f>ROUND(IF(项目基本情况!$B$8="出让",SUMPRODUCT(PRODUCT(1+M12:$M$19)),SUMPRODUCT(PRODUCT(1+M12:$M$18))),4)</f>
        <v>1.0145</v>
      </c>
      <c r="U12" s="3169">
        <f>ROUND(IF(项目基本情况!$B$8="出让",SUMPRODUCT(PRODUCT(1+N12:$N$19)),SUMPRODUCT(PRODUCT(1+N12:$N$18))),4)</f>
        <v>1.0618000000000001</v>
      </c>
      <c r="V12" s="3169">
        <f>ROUND(IF(项目基本情况!$B$8="出让",SUMPRODUCT(PRODUCT(1+O12:$O$19)),SUMPRODUCT(PRODUCT(1+O12:$O$18))),4)</f>
        <v>1.0502</v>
      </c>
      <c r="W12" s="3169">
        <f t="shared" si="35"/>
        <v>1.0145</v>
      </c>
      <c r="X12" s="3167"/>
      <c r="Y12" s="3170">
        <f>IF(D12=0,0,ROUND(AVERAGE(D12:D20)/100,4))</f>
        <v>8.0999999999999996E-3</v>
      </c>
      <c r="Z12" s="3170">
        <f t="shared" ref="Z12:AC12" si="37">IF(E12=0,0,ROUND(AVERAGE(E12:E19)/100,4))</f>
        <v>3.3E-3</v>
      </c>
      <c r="AA12" s="3170">
        <f t="shared" si="37"/>
        <v>1.5E-3</v>
      </c>
      <c r="AB12" s="3170">
        <f t="shared" si="37"/>
        <v>8.8999999999999999E-3</v>
      </c>
      <c r="AC12" s="3170">
        <f t="shared" si="37"/>
        <v>6.6E-3</v>
      </c>
      <c r="AD12" s="3170">
        <f t="shared" si="18"/>
        <v>1.5E-3</v>
      </c>
    </row>
    <row r="13" spans="1:30" s="3171" customFormat="1" ht="13.2">
      <c r="A13" s="3162" t="s">
        <v>3366</v>
      </c>
      <c r="B13" s="3163">
        <v>2022</v>
      </c>
      <c r="C13" s="3164">
        <v>3</v>
      </c>
      <c r="D13" s="3165">
        <v>0.66</v>
      </c>
      <c r="E13" s="3165">
        <v>0.32</v>
      </c>
      <c r="F13" s="3165">
        <v>0.23</v>
      </c>
      <c r="G13" s="3165">
        <v>0.72</v>
      </c>
      <c r="H13" s="3182">
        <v>0.63</v>
      </c>
      <c r="I13" s="3166">
        <f t="shared" si="15"/>
        <v>0.23</v>
      </c>
      <c r="J13" s="3167"/>
      <c r="K13" s="3168">
        <f t="shared" si="16"/>
        <v>6.6E-3</v>
      </c>
      <c r="L13" s="3158">
        <f t="shared" si="16"/>
        <v>3.2000000000000002E-3</v>
      </c>
      <c r="M13" s="3158">
        <f t="shared" si="16"/>
        <v>2.3E-3</v>
      </c>
      <c r="N13" s="3158">
        <f t="shared" si="16"/>
        <v>7.1999999999999998E-3</v>
      </c>
      <c r="O13" s="3158">
        <f t="shared" si="16"/>
        <v>6.3E-3</v>
      </c>
      <c r="P13" s="3158">
        <f t="shared" si="36"/>
        <v>2.3E-3</v>
      </c>
      <c r="Q13" s="3167"/>
      <c r="R13" s="3169">
        <f>ROUND(IF(项目基本情况!$B$8="出让",SUMPRODUCT(PRODUCT(1+K13:$K$19)),SUMPRODUCT(PRODUCT(1+K13:$K$18))),4)</f>
        <v>1.05</v>
      </c>
      <c r="S13" s="3169">
        <f>ROUND(IF(项目基本情况!$B$8="出让",SUMPRODUCT(PRODUCT(1+L13:$L$19)),SUMPRODUCT(PRODUCT(1+L13:$L$18))),4)</f>
        <v>1.0229999999999999</v>
      </c>
      <c r="T13" s="3169">
        <f>ROUND(IF(项目基本情况!$B$8="出让",SUMPRODUCT(PRODUCT(1+M13:$M$19)),SUMPRODUCT(PRODUCT(1+M13:$M$18))),4)</f>
        <v>1.0134000000000001</v>
      </c>
      <c r="U13" s="3169">
        <f>ROUND(IF(项目基本情况!$B$8="出让",SUMPRODUCT(PRODUCT(1+N13:$N$19)),SUMPRODUCT(PRODUCT(1+N13:$N$18))),4)</f>
        <v>1.0545</v>
      </c>
      <c r="V13" s="3169">
        <f>ROUND(IF(项目基本情况!$B$8="出让",SUMPRODUCT(PRODUCT(1+O13:$O$19)),SUMPRODUCT(PRODUCT(1+O13:$O$18))),4)</f>
        <v>1.0447</v>
      </c>
      <c r="W13" s="3169">
        <f t="shared" si="35"/>
        <v>1.0134000000000001</v>
      </c>
      <c r="X13" s="3167"/>
      <c r="Y13" s="3170">
        <f>IF(D13=0,0,ROUND(AVERAGE(D13:D19)/100,4))</f>
        <v>8.3999999999999995E-3</v>
      </c>
      <c r="Z13" s="3170">
        <f t="shared" ref="Z13:AC13" si="38">IF(E13=0,0,ROUND(AVERAGE(E13:E19)/100,4))</f>
        <v>3.5000000000000001E-3</v>
      </c>
      <c r="AA13" s="3170">
        <f t="shared" si="38"/>
        <v>1.5E-3</v>
      </c>
      <c r="AB13" s="3170">
        <f t="shared" si="38"/>
        <v>9.1999999999999998E-3</v>
      </c>
      <c r="AC13" s="3170">
        <f t="shared" si="38"/>
        <v>6.7999999999999996E-3</v>
      </c>
      <c r="AD13" s="3170">
        <f t="shared" si="18"/>
        <v>1.5E-3</v>
      </c>
    </row>
    <row r="14" spans="1:30" s="3171" customFormat="1" ht="13.2">
      <c r="A14" s="3162" t="s">
        <v>3357</v>
      </c>
      <c r="B14" s="3163">
        <v>2022</v>
      </c>
      <c r="C14" s="3164">
        <v>2</v>
      </c>
      <c r="D14" s="3165">
        <v>0.93</v>
      </c>
      <c r="E14" s="3165">
        <v>0.15</v>
      </c>
      <c r="F14" s="3165">
        <v>0.01</v>
      </c>
      <c r="G14" s="3165">
        <v>1.05</v>
      </c>
      <c r="H14" s="3182">
        <v>1.08</v>
      </c>
      <c r="I14" s="3166">
        <f t="shared" si="15"/>
        <v>0.01</v>
      </c>
      <c r="J14" s="3167"/>
      <c r="K14" s="3168">
        <f t="shared" si="16"/>
        <v>9.300000000000001E-3</v>
      </c>
      <c r="L14" s="3158">
        <f t="shared" si="16"/>
        <v>1.5E-3</v>
      </c>
      <c r="M14" s="3158">
        <f t="shared" si="16"/>
        <v>1E-4</v>
      </c>
      <c r="N14" s="3158">
        <f t="shared" si="16"/>
        <v>1.0500000000000001E-2</v>
      </c>
      <c r="O14" s="3158">
        <f t="shared" si="16"/>
        <v>1.0800000000000001E-2</v>
      </c>
      <c r="P14" s="3158">
        <f t="shared" si="36"/>
        <v>1E-4</v>
      </c>
      <c r="Q14" s="3167"/>
      <c r="R14" s="3169">
        <f>ROUND(IF(项目基本情况!$B$8="出让",SUMPRODUCT(PRODUCT(1+K14:$K$19)),SUMPRODUCT(PRODUCT(1+K14:$K$18))),4)</f>
        <v>1.0430999999999999</v>
      </c>
      <c r="S14" s="3169">
        <f>ROUND(IF(项目基本情况!$B$8="出让",SUMPRODUCT(PRODUCT(1+L14:$L$19)),SUMPRODUCT(PRODUCT(1+L14:$L$18))),4)</f>
        <v>1.0197000000000001</v>
      </c>
      <c r="T14" s="3169">
        <f>ROUND(IF(项目基本情况!$B$8="出让",SUMPRODUCT(PRODUCT(1+M14:$M$19)),SUMPRODUCT(PRODUCT(1+M14:$M$18))),4)</f>
        <v>1.0109999999999999</v>
      </c>
      <c r="U14" s="3169">
        <f>ROUND(IF(项目基本情况!$B$8="出让",SUMPRODUCT(PRODUCT(1+N14:$N$19)),SUMPRODUCT(PRODUCT(1+N14:$N$18))),4)</f>
        <v>1.0468999999999999</v>
      </c>
      <c r="V14" s="3169">
        <f>ROUND(IF(项目基本情况!$B$8="出让",SUMPRODUCT(PRODUCT(1+O14:$O$19)),SUMPRODUCT(PRODUCT(1+O14:$O$18))),4)</f>
        <v>1.0382</v>
      </c>
      <c r="W14" s="3169">
        <f t="shared" si="35"/>
        <v>1.0109999999999999</v>
      </c>
      <c r="X14" s="3167"/>
      <c r="Y14" s="3170">
        <f>IF(D14=0,0,ROUND(AVERAGE(D14:D19)/100,4))</f>
        <v>8.6999999999999994E-3</v>
      </c>
      <c r="Z14" s="3170">
        <f t="shared" ref="Z14:AC14" si="39">IF(E14=0,0,ROUND(AVERAGE(E14:E19)/100,4))</f>
        <v>3.5000000000000001E-3</v>
      </c>
      <c r="AA14" s="3170">
        <f t="shared" si="39"/>
        <v>1.4E-3</v>
      </c>
      <c r="AB14" s="3170">
        <f t="shared" si="39"/>
        <v>9.4999999999999998E-3</v>
      </c>
      <c r="AC14" s="3170">
        <f t="shared" si="39"/>
        <v>6.8999999999999999E-3</v>
      </c>
      <c r="AD14" s="3170">
        <f t="shared" si="18"/>
        <v>1.4E-3</v>
      </c>
    </row>
    <row r="15" spans="1:30" s="3171" customFormat="1" ht="13.2">
      <c r="A15" s="3162" t="s">
        <v>2822</v>
      </c>
      <c r="B15" s="3163">
        <v>2022</v>
      </c>
      <c r="C15" s="3164">
        <v>1</v>
      </c>
      <c r="D15" s="3165">
        <v>0.89</v>
      </c>
      <c r="E15" s="3165">
        <v>0.44</v>
      </c>
      <c r="F15" s="3165">
        <v>0.37</v>
      </c>
      <c r="G15" s="3165">
        <v>0.96</v>
      </c>
      <c r="H15" s="3182">
        <v>0.64</v>
      </c>
      <c r="I15" s="3166">
        <f t="shared" si="15"/>
        <v>0.37</v>
      </c>
      <c r="J15" s="3167"/>
      <c r="K15" s="3168">
        <f t="shared" si="16"/>
        <v>8.8999999999999999E-3</v>
      </c>
      <c r="L15" s="3158">
        <f t="shared" si="16"/>
        <v>4.4000000000000003E-3</v>
      </c>
      <c r="M15" s="3158">
        <f t="shared" si="16"/>
        <v>3.7000000000000002E-3</v>
      </c>
      <c r="N15" s="3158">
        <f t="shared" si="16"/>
        <v>9.5999999999999992E-3</v>
      </c>
      <c r="O15" s="3158">
        <f t="shared" si="16"/>
        <v>6.4000000000000003E-3</v>
      </c>
      <c r="P15" s="3158">
        <f t="shared" si="36"/>
        <v>3.7000000000000002E-3</v>
      </c>
      <c r="Q15" s="3167"/>
      <c r="R15" s="3169">
        <f>ROUND(IF(项目基本情况!$B$8="出让",SUMPRODUCT(PRODUCT(1+K15:$K$19)),SUMPRODUCT(PRODUCT(1+K15:$K$18))),4)</f>
        <v>1.0335000000000001</v>
      </c>
      <c r="S15" s="3169">
        <f>ROUND(IF(项目基本情况!$B$8="出让",SUMPRODUCT(PRODUCT(1+L15:$L$19)),SUMPRODUCT(PRODUCT(1+L15:$L$18))),4)</f>
        <v>1.0182</v>
      </c>
      <c r="T15" s="3169">
        <f>ROUND(IF(项目基本情况!$B$8="出让",SUMPRODUCT(PRODUCT(1+M15:$M$19)),SUMPRODUCT(PRODUCT(1+M15:$M$18))),4)</f>
        <v>1.0108999999999999</v>
      </c>
      <c r="U15" s="3169">
        <f>ROUND(IF(项目基本情况!$B$8="出让",SUMPRODUCT(PRODUCT(1+N15:$N$19)),SUMPRODUCT(PRODUCT(1+N15:$N$18))),4)</f>
        <v>1.0361</v>
      </c>
      <c r="V15" s="3169">
        <f>ROUND(IF(项目基本情况!$B$8="出让",SUMPRODUCT(PRODUCT(1+O15:$O$19)),SUMPRODUCT(PRODUCT(1+O15:$O$18))),4)</f>
        <v>1.0270999999999999</v>
      </c>
      <c r="W15" s="3169">
        <f t="shared" si="35"/>
        <v>1.0108999999999999</v>
      </c>
      <c r="X15" s="3167"/>
      <c r="Y15" s="3170">
        <f>IF(D15=0,0,ROUND(AVERAGE(D15:D19)/100,4))</f>
        <v>8.6E-3</v>
      </c>
      <c r="Z15" s="3170">
        <f t="shared" ref="Z15:AC15" si="40">IF(E15=0,0,ROUND(AVERAGE(E15:E19)/100,4))</f>
        <v>3.8999999999999998E-3</v>
      </c>
      <c r="AA15" s="3170">
        <f t="shared" si="40"/>
        <v>1.6999999999999999E-3</v>
      </c>
      <c r="AB15" s="3170">
        <f t="shared" si="40"/>
        <v>9.2999999999999992E-3</v>
      </c>
      <c r="AC15" s="3170">
        <f t="shared" si="40"/>
        <v>6.1000000000000004E-3</v>
      </c>
      <c r="AD15" s="3170">
        <f t="shared" si="18"/>
        <v>1.6999999999999999E-3</v>
      </c>
    </row>
    <row r="16" spans="1:30" s="3171" customFormat="1" ht="13.2">
      <c r="A16" s="3162" t="s">
        <v>2823</v>
      </c>
      <c r="B16" s="3163">
        <v>2021</v>
      </c>
      <c r="C16" s="3164">
        <v>4</v>
      </c>
      <c r="D16" s="3165">
        <v>1.03</v>
      </c>
      <c r="E16" s="3165">
        <v>0.24</v>
      </c>
      <c r="F16" s="3165">
        <v>7.0000000000000007E-2</v>
      </c>
      <c r="G16" s="3165">
        <v>1.17</v>
      </c>
      <c r="H16" s="3182">
        <v>0.55000000000000004</v>
      </c>
      <c r="I16" s="3166">
        <f t="shared" si="15"/>
        <v>7.0000000000000007E-2</v>
      </c>
      <c r="J16" s="3167"/>
      <c r="K16" s="3168">
        <f t="shared" si="16"/>
        <v>1.03E-2</v>
      </c>
      <c r="L16" s="3158">
        <f t="shared" si="16"/>
        <v>2.3999999999999998E-3</v>
      </c>
      <c r="M16" s="3158">
        <f t="shared" si="16"/>
        <v>7.000000000000001E-4</v>
      </c>
      <c r="N16" s="3158">
        <f t="shared" si="16"/>
        <v>1.1699999999999999E-2</v>
      </c>
      <c r="O16" s="3158">
        <f t="shared" si="16"/>
        <v>5.5000000000000005E-3</v>
      </c>
      <c r="P16" s="3158">
        <f t="shared" si="36"/>
        <v>7.000000000000001E-4</v>
      </c>
      <c r="Q16" s="3167"/>
      <c r="R16" s="3169">
        <f>ROUND(IF(项目基本情况!$B$8="出让",SUMPRODUCT(PRODUCT(1+K16:$K$19)),SUMPRODUCT(PRODUCT(1+K16:$K$18))),4)</f>
        <v>1.0244</v>
      </c>
      <c r="S16" s="3169">
        <f>ROUND(IF(项目基本情况!$B$8="出让",SUMPRODUCT(PRODUCT(1+L16:$L$19)),SUMPRODUCT(PRODUCT(1+L16:$L$18))),4)</f>
        <v>1.0138</v>
      </c>
      <c r="T16" s="3169">
        <f>ROUND(IF(项目基本情况!$B$8="出让",SUMPRODUCT(PRODUCT(1+M16:$M$19)),SUMPRODUCT(PRODUCT(1+M16:$M$18))),4)</f>
        <v>1.0072000000000001</v>
      </c>
      <c r="U16" s="3169">
        <f>ROUND(IF(项目基本情况!$B$8="出让",SUMPRODUCT(PRODUCT(1+N16:$N$19)),SUMPRODUCT(PRODUCT(1+N16:$N$18))),4)</f>
        <v>1.0262</v>
      </c>
      <c r="V16" s="3169">
        <f>ROUND(IF(项目基本情况!$B$8="出让",SUMPRODUCT(PRODUCT(1+O16:$O$19)),SUMPRODUCT(PRODUCT(1+O16:$O$18))),4)</f>
        <v>1.0205</v>
      </c>
      <c r="W16" s="3169">
        <f t="shared" si="35"/>
        <v>1.0072000000000001</v>
      </c>
      <c r="X16" s="3167"/>
      <c r="Y16" s="3170">
        <f>IF(D16=0,0,ROUND(AVERAGE(D16:D19)/100,4))</f>
        <v>8.5000000000000006E-3</v>
      </c>
      <c r="Z16" s="3170">
        <f t="shared" ref="Z16:AC16" si="41">IF(E16=0,0,ROUND(AVERAGE(E16:E19)/100,4))</f>
        <v>3.8E-3</v>
      </c>
      <c r="AA16" s="3170">
        <f t="shared" si="41"/>
        <v>1.1999999999999999E-3</v>
      </c>
      <c r="AB16" s="3170">
        <f t="shared" si="41"/>
        <v>9.2999999999999992E-3</v>
      </c>
      <c r="AC16" s="3170">
        <f t="shared" si="41"/>
        <v>6.0000000000000001E-3</v>
      </c>
      <c r="AD16" s="3170">
        <f t="shared" si="18"/>
        <v>1.1999999999999999E-3</v>
      </c>
    </row>
    <row r="17" spans="1:30" s="3171" customFormat="1" ht="13.2">
      <c r="A17" s="3162" t="s">
        <v>2824</v>
      </c>
      <c r="B17" s="3163">
        <v>2021</v>
      </c>
      <c r="C17" s="3164">
        <v>3</v>
      </c>
      <c r="D17" s="3165">
        <v>0.47</v>
      </c>
      <c r="E17" s="3165">
        <v>0.41</v>
      </c>
      <c r="F17" s="3165">
        <v>0.24</v>
      </c>
      <c r="G17" s="3165">
        <v>0.48</v>
      </c>
      <c r="H17" s="3182">
        <v>0.48</v>
      </c>
      <c r="I17" s="3166">
        <f t="shared" si="15"/>
        <v>0.24</v>
      </c>
      <c r="J17" s="3167"/>
      <c r="K17" s="3168">
        <f t="shared" si="16"/>
        <v>4.6999999999999993E-3</v>
      </c>
      <c r="L17" s="3158">
        <f t="shared" si="16"/>
        <v>4.0999999999999995E-3</v>
      </c>
      <c r="M17" s="3158">
        <f t="shared" si="16"/>
        <v>2.3999999999999998E-3</v>
      </c>
      <c r="N17" s="3158">
        <f t="shared" si="16"/>
        <v>4.7999999999999996E-3</v>
      </c>
      <c r="O17" s="3158">
        <f t="shared" si="16"/>
        <v>4.7999999999999996E-3</v>
      </c>
      <c r="P17" s="3158">
        <f t="shared" si="36"/>
        <v>2.3999999999999998E-3</v>
      </c>
      <c r="Q17" s="3167"/>
      <c r="R17" s="3169">
        <f>ROUND(IF(项目基本情况!$B$8="出让",SUMPRODUCT(PRODUCT(1+K17:$K$19)),SUMPRODUCT(PRODUCT(1+K17:$K$18))),4)</f>
        <v>1.0139</v>
      </c>
      <c r="S17" s="3169">
        <f>ROUND(IF(项目基本情况!$B$8="出让",SUMPRODUCT(PRODUCT(1+L17:$L$19)),SUMPRODUCT(PRODUCT(1+L17:$L$18))),4)</f>
        <v>1.0113000000000001</v>
      </c>
      <c r="T17" s="3169">
        <f>ROUND(IF(项目基本情况!$B$8="出让",SUMPRODUCT(PRODUCT(1+M17:$M$19)),SUMPRODUCT(PRODUCT(1+M17:$M$18))),4)</f>
        <v>1.0065</v>
      </c>
      <c r="U17" s="3169">
        <f>ROUND(IF(项目基本情况!$B$8="出让",SUMPRODUCT(PRODUCT(1+N17:$N$19)),SUMPRODUCT(PRODUCT(1+N17:$N$18))),4)</f>
        <v>1.0143</v>
      </c>
      <c r="V17" s="3169">
        <f>ROUND(IF(项目基本情况!$B$8="出让",SUMPRODUCT(PRODUCT(1+O17:$O$19)),SUMPRODUCT(PRODUCT(1+O17:$O$18))),4)</f>
        <v>1.0148999999999999</v>
      </c>
      <c r="W17" s="3169">
        <f t="shared" si="35"/>
        <v>1.0065</v>
      </c>
      <c r="X17" s="3167"/>
      <c r="Y17" s="3170">
        <f>IF(D17=0,0,ROUND(AVERAGE(D17:D19)/100,4))</f>
        <v>7.9000000000000008E-3</v>
      </c>
      <c r="Z17" s="3170">
        <f>IF(E17=0,0,ROUND(AVERAGE(E17:E19)/100,4))</f>
        <v>4.3E-3</v>
      </c>
      <c r="AA17" s="3170">
        <f>IF(F17=0,0,ROUND(AVERAGE(F17:F19)/100,4))</f>
        <v>1.2999999999999999E-3</v>
      </c>
      <c r="AB17" s="3170">
        <f>IF(G17=0,0,ROUND(AVERAGE(G17:G19)/100,4))</f>
        <v>8.5000000000000006E-3</v>
      </c>
      <c r="AC17" s="3170">
        <f>IF(H17=0,0,ROUND(AVERAGE(H17:H19)/100,4))</f>
        <v>6.1999999999999998E-3</v>
      </c>
      <c r="AD17" s="3170">
        <f t="shared" si="18"/>
        <v>1.2999999999999999E-3</v>
      </c>
    </row>
    <row r="18" spans="1:30" s="3171" customFormat="1" ht="13.2">
      <c r="A18" s="3162" t="s">
        <v>2825</v>
      </c>
      <c r="B18" s="3163">
        <v>2021</v>
      </c>
      <c r="C18" s="3164">
        <v>2</v>
      </c>
      <c r="D18" s="3165">
        <v>0.92</v>
      </c>
      <c r="E18" s="3165">
        <v>0.72</v>
      </c>
      <c r="F18" s="3165">
        <v>0.41</v>
      </c>
      <c r="G18" s="3165">
        <v>0.95</v>
      </c>
      <c r="H18" s="3182">
        <v>1.01</v>
      </c>
      <c r="I18" s="3166">
        <f t="shared" si="15"/>
        <v>0.41</v>
      </c>
      <c r="J18" s="3167"/>
      <c r="K18" s="3168">
        <f t="shared" si="16"/>
        <v>9.1999999999999998E-3</v>
      </c>
      <c r="L18" s="3158">
        <f t="shared" si="16"/>
        <v>7.1999999999999998E-3</v>
      </c>
      <c r="M18" s="3158">
        <f t="shared" si="16"/>
        <v>4.0999999999999995E-3</v>
      </c>
      <c r="N18" s="3158">
        <f t="shared" si="16"/>
        <v>9.4999999999999998E-3</v>
      </c>
      <c r="O18" s="3158">
        <f t="shared" si="16"/>
        <v>1.01E-2</v>
      </c>
      <c r="P18" s="3158">
        <f t="shared" si="36"/>
        <v>4.0999999999999995E-3</v>
      </c>
      <c r="Q18" s="3167"/>
      <c r="R18" s="3169">
        <f>ROUND(IF(项目基本情况!$B$8="出让",SUMPRODUCT(PRODUCT(1+K18:$K$19)),SUMPRODUCT(PRODUCT(1+K18:$K$18))),4)</f>
        <v>1.0092000000000001</v>
      </c>
      <c r="S18" s="3169">
        <f>ROUND(IF(项目基本情况!$B$8="出让",SUMPRODUCT(PRODUCT(1+L18:$L$19)),SUMPRODUCT(PRODUCT(1+L18:$L$18))),4)</f>
        <v>1.0072000000000001</v>
      </c>
      <c r="T18" s="3169">
        <f>ROUND(IF(项目基本情况!$B$8="出让",SUMPRODUCT(PRODUCT(1+M18:$M$19)),SUMPRODUCT(PRODUCT(1+M18:$M$18))),4)</f>
        <v>1.0041</v>
      </c>
      <c r="U18" s="3169">
        <f>ROUND(IF(项目基本情况!$B$8="出让",SUMPRODUCT(PRODUCT(1+N18:$N$19)),SUMPRODUCT(PRODUCT(1+N18:$N$18))),4)</f>
        <v>1.0095000000000001</v>
      </c>
      <c r="V18" s="3169">
        <f>ROUND(IF(项目基本情况!$B$8="出让",SUMPRODUCT(PRODUCT(1+O18:$O$19)),SUMPRODUCT(PRODUCT(1+O18:$O$18))),4)</f>
        <v>1.0101</v>
      </c>
      <c r="W18" s="3169">
        <f t="shared" si="35"/>
        <v>1.0041</v>
      </c>
      <c r="X18" s="3167"/>
      <c r="Y18" s="3170">
        <f>IF(D18=0,0,ROUND(AVERAGE(D18:D19)/100,4))</f>
        <v>9.4999999999999998E-3</v>
      </c>
      <c r="Z18" s="3170">
        <f>IF(E18=0,0,ROUND(AVERAGE(E18:E19)/100,4))</f>
        <v>4.4000000000000003E-3</v>
      </c>
      <c r="AA18" s="3170">
        <f>IF(F18=0,0,ROUND(AVERAGE(F18:F19)/100,4))</f>
        <v>8.0000000000000004E-4</v>
      </c>
      <c r="AB18" s="3170">
        <f>IF(G18=0,0,ROUND(AVERAGE(G18:G19)/100,4))</f>
        <v>1.03E-2</v>
      </c>
      <c r="AC18" s="3170">
        <f>IF(H18=0,0,ROUND(AVERAGE(H18:H19)/100,4))</f>
        <v>6.8999999999999999E-3</v>
      </c>
      <c r="AD18" s="3170">
        <f t="shared" si="18"/>
        <v>8.0000000000000004E-4</v>
      </c>
    </row>
    <row r="19" spans="1:30" s="3193" customFormat="1" ht="13.8" thickBot="1">
      <c r="A19" s="3183" t="s">
        <v>2826</v>
      </c>
      <c r="B19" s="3184">
        <v>2021</v>
      </c>
      <c r="C19" s="3185">
        <v>1</v>
      </c>
      <c r="D19" s="3186">
        <v>0.97</v>
      </c>
      <c r="E19" s="3186">
        <v>0.16</v>
      </c>
      <c r="F19" s="3186">
        <v>-0.25</v>
      </c>
      <c r="G19" s="3186">
        <v>1.1100000000000001</v>
      </c>
      <c r="H19" s="3187">
        <v>0.36</v>
      </c>
      <c r="I19" s="3188">
        <f t="shared" si="15"/>
        <v>-0.25</v>
      </c>
      <c r="J19" s="3189"/>
      <c r="K19" s="3190">
        <f t="shared" si="16"/>
        <v>9.7000000000000003E-3</v>
      </c>
      <c r="L19" s="3191">
        <f t="shared" si="16"/>
        <v>1.6000000000000001E-3</v>
      </c>
      <c r="M19" s="3191">
        <f>F19/100</f>
        <v>-2.5000000000000001E-3</v>
      </c>
      <c r="N19" s="3191">
        <f t="shared" si="16"/>
        <v>1.11E-2</v>
      </c>
      <c r="O19" s="3191">
        <f t="shared" si="16"/>
        <v>3.5999999999999999E-3</v>
      </c>
      <c r="P19" s="3191">
        <f t="shared" si="36"/>
        <v>-2.5000000000000001E-3</v>
      </c>
      <c r="Q19" s="3189"/>
      <c r="R19" s="3192">
        <v>1</v>
      </c>
      <c r="S19" s="3192">
        <v>1</v>
      </c>
      <c r="T19" s="3192">
        <v>1</v>
      </c>
      <c r="U19" s="3192">
        <v>1</v>
      </c>
      <c r="V19" s="3192">
        <v>1</v>
      </c>
      <c r="W19" s="3192">
        <f t="shared" ref="W19" si="42">T19</f>
        <v>1</v>
      </c>
      <c r="X19" s="3189"/>
      <c r="Y19" s="3191">
        <f>IF(D19=0,0,ROUND(AVERAGE(D19:D19)/100,4))</f>
        <v>9.7000000000000003E-3</v>
      </c>
      <c r="Z19" s="3191">
        <f>IF(E19=0,0,ROUND(AVERAGE(E19:E19)/100,4))</f>
        <v>1.6000000000000001E-3</v>
      </c>
      <c r="AA19" s="3191">
        <f>IF(F19=0,0,ROUND(AVERAGE(F19:F19)/100,4))</f>
        <v>-2.5000000000000001E-3</v>
      </c>
      <c r="AB19" s="3191">
        <f>IF(G19=0,0,ROUND(AVERAGE(G19:G19)/100,4))</f>
        <v>1.11E-2</v>
      </c>
      <c r="AC19" s="3191">
        <f>IF(H19=0,0,ROUND(AVERAGE(H19:H19)/100,4))</f>
        <v>3.5999999999999999E-3</v>
      </c>
      <c r="AD19" s="3191">
        <f>AA19</f>
        <v>-2.5000000000000001E-3</v>
      </c>
    </row>
    <row r="20" spans="1:30" s="2995" customFormat="1" ht="15" thickTop="1"/>
    <row r="21" spans="1:30" s="2995" customFormat="1">
      <c r="A21" s="3431" t="s">
        <v>3368</v>
      </c>
    </row>
    <row r="22" spans="1:30" s="2995" customFormat="1">
      <c r="I22" s="3194" t="s">
        <v>2827</v>
      </c>
    </row>
    <row r="23" spans="1:30" s="2995" customFormat="1"/>
    <row r="24" spans="1:30" s="3195" customFormat="1" ht="13.2">
      <c r="B24" s="3196" t="s">
        <v>3374</v>
      </c>
      <c r="C24" s="3197"/>
      <c r="D24" s="3197"/>
      <c r="E24" s="3197"/>
      <c r="F24" s="3197"/>
      <c r="G24" s="3197"/>
      <c r="H24" s="3197"/>
      <c r="I24" s="3197"/>
      <c r="J24" s="3151"/>
      <c r="K24" s="3197" t="s">
        <v>2828</v>
      </c>
      <c r="L24" s="3197"/>
      <c r="M24" s="3197"/>
      <c r="N24" s="3197"/>
      <c r="O24" s="3197"/>
      <c r="P24" s="3197"/>
      <c r="Q24" s="3151"/>
      <c r="R24" s="3776" t="s">
        <v>2829</v>
      </c>
      <c r="S24" s="3777"/>
      <c r="T24" s="3777"/>
      <c r="U24" s="3777"/>
      <c r="V24" s="3777"/>
      <c r="W24" s="3777"/>
      <c r="X24" s="3151"/>
      <c r="Y24" s="3776" t="s">
        <v>2830</v>
      </c>
      <c r="Z24" s="3777"/>
      <c r="AA24" s="3777"/>
      <c r="AB24" s="3777"/>
      <c r="AC24" s="3777"/>
      <c r="AD24" s="3777"/>
    </row>
    <row r="25" spans="1:30" s="3129" customFormat="1" ht="15" thickBot="1">
      <c r="B25" s="3130"/>
      <c r="C25" s="3131"/>
      <c r="D25" s="3132" t="s">
        <v>2831</v>
      </c>
      <c r="E25" s="3133" t="s">
        <v>2832</v>
      </c>
      <c r="F25" s="3133" t="s">
        <v>2833</v>
      </c>
      <c r="G25" s="3133" t="s">
        <v>2834</v>
      </c>
      <c r="H25" s="3133"/>
      <c r="I25" s="3133" t="s">
        <v>2835</v>
      </c>
      <c r="J25" s="3134"/>
      <c r="K25" s="3132" t="s">
        <v>2831</v>
      </c>
      <c r="L25" s="3133" t="s">
        <v>2832</v>
      </c>
      <c r="M25" s="3133" t="s">
        <v>2833</v>
      </c>
      <c r="N25" s="3133" t="s">
        <v>2834</v>
      </c>
      <c r="O25" s="3133"/>
      <c r="P25" s="3133" t="s">
        <v>2835</v>
      </c>
      <c r="Q25" s="3134"/>
      <c r="R25" s="3132" t="s">
        <v>2831</v>
      </c>
      <c r="S25" s="3133" t="s">
        <v>2832</v>
      </c>
      <c r="T25" s="3133" t="s">
        <v>2833</v>
      </c>
      <c r="U25" s="3133" t="s">
        <v>2834</v>
      </c>
      <c r="V25" s="3133"/>
      <c r="W25" s="3133" t="s">
        <v>2835</v>
      </c>
      <c r="X25" s="3134"/>
      <c r="Y25" s="3132" t="s">
        <v>2831</v>
      </c>
      <c r="Z25" s="3133" t="s">
        <v>2832</v>
      </c>
      <c r="AA25" s="3133" t="s">
        <v>2833</v>
      </c>
      <c r="AB25" s="3133" t="s">
        <v>2834</v>
      </c>
      <c r="AC25" s="3133"/>
      <c r="AD25" s="3133" t="s">
        <v>2835</v>
      </c>
    </row>
    <row r="26" spans="1:30" s="3147" customFormat="1" ht="13.2">
      <c r="A26" s="3135" t="s">
        <v>2836</v>
      </c>
      <c r="B26" s="3136"/>
      <c r="C26" s="3137"/>
      <c r="D26" s="3137"/>
      <c r="E26" s="3137">
        <f t="shared" ref="E26:G26" si="43">ROUND(AVERAGEIF(E27:E42,"&lt;&gt;0"),2)</f>
        <v>0.33</v>
      </c>
      <c r="F26" s="3137">
        <f t="shared" si="43"/>
        <v>0.24</v>
      </c>
      <c r="G26" s="3137">
        <f t="shared" si="43"/>
        <v>0.62</v>
      </c>
      <c r="H26" s="3137"/>
      <c r="I26" s="3137">
        <f>F26</f>
        <v>0.24</v>
      </c>
      <c r="J26" s="3138"/>
      <c r="K26" s="3139"/>
      <c r="L26" s="3140">
        <f t="shared" ref="L26:N26" si="44">ROUND(AVERAGEIF(L27:L42,"&lt;&gt;0"),4)</f>
        <v>3.3E-3</v>
      </c>
      <c r="M26" s="3140">
        <f t="shared" si="44"/>
        <v>2.3999999999999998E-3</v>
      </c>
      <c r="N26" s="3140">
        <f t="shared" si="44"/>
        <v>6.1999999999999998E-3</v>
      </c>
      <c r="O26" s="3140"/>
      <c r="P26" s="3140">
        <f>M26</f>
        <v>2.3999999999999998E-3</v>
      </c>
      <c r="Q26" s="3138"/>
      <c r="R26" s="3141"/>
      <c r="S26" s="3142">
        <f>ROUND(SUMPRODUCT(PRODUCT(1+L27:L42)),4)</f>
        <v>1.0468999999999999</v>
      </c>
      <c r="T26" s="3142">
        <f t="shared" ref="T26:U26" si="45">ROUND(SUMPRODUCT(PRODUCT(1+M27:M42)),4)</f>
        <v>1.0347</v>
      </c>
      <c r="U26" s="3142">
        <f t="shared" si="45"/>
        <v>1.0895999999999999</v>
      </c>
      <c r="V26" s="3142"/>
      <c r="W26" s="3141">
        <f>T26</f>
        <v>1.0347</v>
      </c>
      <c r="X26" s="3138"/>
      <c r="Y26" s="3143"/>
      <c r="Z26" s="3144">
        <f t="shared" ref="Z26:AB26" si="46">ROUND(AVERAGEIF(Z27:Z42,"&lt;&gt;0"),4)</f>
        <v>4.1999999999999997E-3</v>
      </c>
      <c r="AA26" s="3145">
        <f t="shared" si="46"/>
        <v>3.3999999999999998E-3</v>
      </c>
      <c r="AB26" s="3143">
        <f t="shared" si="46"/>
        <v>8.6E-3</v>
      </c>
      <c r="AC26" s="3146"/>
      <c r="AD26" s="3143">
        <f>AA26</f>
        <v>3.3999999999999998E-3</v>
      </c>
    </row>
    <row r="27" spans="1:30" s="3148" customFormat="1" ht="13.2">
      <c r="B27" s="3149"/>
      <c r="C27" s="3150"/>
      <c r="D27" s="3150"/>
      <c r="E27" s="3150"/>
      <c r="F27" s="3150"/>
      <c r="G27" s="3150"/>
      <c r="H27" s="3150"/>
      <c r="I27" s="3150"/>
      <c r="J27" s="3151"/>
      <c r="K27" s="3152"/>
      <c r="L27" s="3153"/>
      <c r="M27" s="3153"/>
      <c r="N27" s="3153"/>
      <c r="O27" s="3153"/>
      <c r="P27" s="3153"/>
      <c r="Q27" s="3151"/>
      <c r="R27" s="3154"/>
      <c r="S27" s="3155"/>
      <c r="T27" s="3156"/>
      <c r="U27" s="3154"/>
      <c r="V27" s="3157"/>
      <c r="W27" s="3154"/>
      <c r="X27" s="3151"/>
      <c r="Y27" s="3158"/>
      <c r="Z27" s="3159"/>
      <c r="AA27" s="3160"/>
      <c r="AB27" s="3158"/>
      <c r="AC27" s="3161"/>
      <c r="AD27" s="3158"/>
    </row>
    <row r="28" spans="1:30" s="3171" customFormat="1" ht="13.2">
      <c r="A28" s="2204" t="s">
        <v>3379</v>
      </c>
      <c r="B28" s="3163">
        <v>2024</v>
      </c>
      <c r="C28" s="3164">
        <v>3</v>
      </c>
      <c r="D28" s="3165"/>
      <c r="E28" s="3165">
        <v>0</v>
      </c>
      <c r="F28" s="3165">
        <v>0</v>
      </c>
      <c r="G28" s="3165">
        <v>0</v>
      </c>
      <c r="H28" s="3165"/>
      <c r="I28" s="3166">
        <f t="shared" ref="I28" si="47">F28</f>
        <v>0</v>
      </c>
      <c r="J28" s="3167"/>
      <c r="K28" s="3168"/>
      <c r="L28" s="3158">
        <f t="shared" ref="L28" si="48">E28/100</f>
        <v>0</v>
      </c>
      <c r="M28" s="3158">
        <f t="shared" ref="M28" si="49">F28/100</f>
        <v>0</v>
      </c>
      <c r="N28" s="3158">
        <f t="shared" ref="N28" si="50">G28/100</f>
        <v>0</v>
      </c>
      <c r="O28" s="3158"/>
      <c r="P28" s="3158">
        <f>M28</f>
        <v>0</v>
      </c>
      <c r="Q28" s="3167"/>
      <c r="R28" s="3169"/>
      <c r="S28" s="3169">
        <f>ROUND(IF(项目基本情况!$B$8="出让",SUMPRODUCT(PRODUCT(1+L28:L$42)),SUMPRODUCT(PRODUCT(1+L28:L$41))),4)</f>
        <v>1.0432999999999999</v>
      </c>
      <c r="T28" s="3169">
        <f>ROUND(IF(项目基本情况!$B$8="出让",SUMPRODUCT(PRODUCT(1+M28:M$42)),SUMPRODUCT(PRODUCT(1+M28:M$41))),4)</f>
        <v>1.0298</v>
      </c>
      <c r="U28" s="3169">
        <f>ROUND(IF(项目基本情况!$B$8="出让",SUMPRODUCT(PRODUCT(1+N28:N$42)),SUMPRODUCT(PRODUCT(1+N28:N$41))),4)</f>
        <v>1.079</v>
      </c>
      <c r="V28" s="3169"/>
      <c r="W28" s="3169">
        <f>T28</f>
        <v>1.0298</v>
      </c>
      <c r="X28" s="3167"/>
      <c r="Y28" s="3170"/>
      <c r="Z28" s="3198">
        <f t="shared" ref="Z28:AB29" si="51">IF(E28=0,0,ROUND(AVERAGE(E28:E41)/100,4))</f>
        <v>0</v>
      </c>
      <c r="AA28" s="3198">
        <f t="shared" si="51"/>
        <v>0</v>
      </c>
      <c r="AB28" s="3198">
        <f t="shared" si="51"/>
        <v>0</v>
      </c>
      <c r="AC28" s="3199"/>
      <c r="AD28" s="3170">
        <f>IF(I28=0,0,ROUND(AVERAGE(I28:I41)/100,4))</f>
        <v>0</v>
      </c>
    </row>
    <row r="29" spans="1:30" s="3181" customFormat="1" ht="13.2">
      <c r="A29" s="3172" t="s">
        <v>3380</v>
      </c>
      <c r="B29" s="3173">
        <v>2024</v>
      </c>
      <c r="C29" s="3174">
        <v>2</v>
      </c>
      <c r="D29" s="3175"/>
      <c r="E29" s="3175">
        <v>-0.31</v>
      </c>
      <c r="F29" s="3175">
        <v>-0.39</v>
      </c>
      <c r="G29" s="3175">
        <v>1.23</v>
      </c>
      <c r="H29" s="3176"/>
      <c r="I29" s="3177">
        <f t="shared" ref="I29:I42" si="52">F29</f>
        <v>-0.39</v>
      </c>
      <c r="J29" s="3178"/>
      <c r="K29" s="3179"/>
      <c r="L29" s="3180">
        <f t="shared" ref="L29:N42" si="53">E29/100</f>
        <v>-3.0999999999999999E-3</v>
      </c>
      <c r="M29" s="3180">
        <f t="shared" si="53"/>
        <v>-3.9000000000000003E-3</v>
      </c>
      <c r="N29" s="3180">
        <f t="shared" si="53"/>
        <v>1.23E-2</v>
      </c>
      <c r="O29" s="3180"/>
      <c r="P29" s="3180">
        <f>M29</f>
        <v>-3.9000000000000003E-3</v>
      </c>
      <c r="Q29" s="3178"/>
      <c r="R29" s="3178"/>
      <c r="S29" s="3178">
        <f>ROUND(IF(项目基本情况!$B$8="出让",SUMPRODUCT(PRODUCT(1+L29:L$42)),SUMPRODUCT(PRODUCT(1+L29:L$41))),4)</f>
        <v>1.0432999999999999</v>
      </c>
      <c r="T29" s="3178">
        <f>ROUND(IF(项目基本情况!$B$8="出让",SUMPRODUCT(PRODUCT(1+M29:M$42)),SUMPRODUCT(PRODUCT(1+M29:M$41))),4)</f>
        <v>1.0298</v>
      </c>
      <c r="U29" s="3178">
        <f>ROUND(IF(项目基本情况!$B$8="出让",SUMPRODUCT(PRODUCT(1+N29:N$42)),SUMPRODUCT(PRODUCT(1+N29:N$41))),4)</f>
        <v>1.079</v>
      </c>
      <c r="V29" s="3178"/>
      <c r="W29" s="3178">
        <f>T29</f>
        <v>1.0298</v>
      </c>
      <c r="X29" s="3178"/>
      <c r="Y29" s="3180"/>
      <c r="Z29" s="3201">
        <f t="shared" si="51"/>
        <v>3.3E-3</v>
      </c>
      <c r="AA29" s="3202">
        <f t="shared" si="51"/>
        <v>2.3999999999999998E-3</v>
      </c>
      <c r="AB29" s="3180">
        <f t="shared" si="51"/>
        <v>6.1999999999999998E-3</v>
      </c>
      <c r="AC29" s="3203"/>
      <c r="AD29" s="3180">
        <f>IF(I29=0,0,ROUND(AVERAGE(I29:I42)/100,4))</f>
        <v>2.3999999999999998E-3</v>
      </c>
    </row>
    <row r="30" spans="1:30" s="3171" customFormat="1" ht="13.2">
      <c r="A30" s="3162" t="s">
        <v>3381</v>
      </c>
      <c r="B30" s="3163">
        <v>2024</v>
      </c>
      <c r="C30" s="3164">
        <v>1</v>
      </c>
      <c r="D30" s="3165"/>
      <c r="E30" s="3165">
        <v>0.25</v>
      </c>
      <c r="F30" s="3165">
        <v>0.4</v>
      </c>
      <c r="G30" s="3165">
        <v>-0.63</v>
      </c>
      <c r="H30" s="3182"/>
      <c r="I30" s="3166">
        <f t="shared" ref="I30:I31" si="54">F30</f>
        <v>0.4</v>
      </c>
      <c r="J30" s="3167"/>
      <c r="K30" s="3168"/>
      <c r="L30" s="3158">
        <f t="shared" ref="L30" si="55">E30/100</f>
        <v>2.5000000000000001E-3</v>
      </c>
      <c r="M30" s="3158">
        <f t="shared" ref="M30" si="56">F30/100</f>
        <v>4.0000000000000001E-3</v>
      </c>
      <c r="N30" s="3158">
        <f t="shared" ref="N30" si="57">G30/100</f>
        <v>-6.3E-3</v>
      </c>
      <c r="O30" s="3158"/>
      <c r="P30" s="3158">
        <f t="shared" ref="P30" si="58">M30</f>
        <v>4.0000000000000001E-3</v>
      </c>
      <c r="Q30" s="3167"/>
      <c r="R30" s="3169"/>
      <c r="S30" s="3169">
        <f>ROUND(IF(项目基本情况!$B$8="出让",SUMPRODUCT(PRODUCT(1+L30:L$42)),SUMPRODUCT(PRODUCT(1+L30:L$41))),4)</f>
        <v>1.0465</v>
      </c>
      <c r="T30" s="3169">
        <f>ROUND(IF(项目基本情况!$B$8="出让",SUMPRODUCT(PRODUCT(1+M30:M$42)),SUMPRODUCT(PRODUCT(1+M30:M$41))),4)</f>
        <v>1.0338000000000001</v>
      </c>
      <c r="U30" s="3169">
        <f>ROUND(IF(项目基本情况!$B$8="出让",SUMPRODUCT(PRODUCT(1+N30:N$42)),SUMPRODUCT(PRODUCT(1+N30:N$41))),4)</f>
        <v>1.0659000000000001</v>
      </c>
      <c r="V30" s="3169"/>
      <c r="W30" s="3169">
        <f t="shared" ref="W30" si="59">T30</f>
        <v>1.0338000000000001</v>
      </c>
      <c r="X30" s="3167"/>
      <c r="Y30" s="3170"/>
      <c r="Z30" s="3198"/>
      <c r="AA30" s="3200"/>
      <c r="AB30" s="3170"/>
      <c r="AC30" s="3199"/>
      <c r="AD30" s="3170"/>
    </row>
    <row r="31" spans="1:30" s="3171" customFormat="1" ht="13.2">
      <c r="A31" s="3162" t="s">
        <v>3378</v>
      </c>
      <c r="B31" s="3163">
        <v>2023</v>
      </c>
      <c r="C31" s="3164">
        <v>4</v>
      </c>
      <c r="D31" s="3165"/>
      <c r="E31" s="3165">
        <v>7.0000000000000007E-2</v>
      </c>
      <c r="F31" s="3165">
        <v>0.09</v>
      </c>
      <c r="G31" s="3165">
        <v>0.03</v>
      </c>
      <c r="H31" s="3182"/>
      <c r="I31" s="3166">
        <f t="shared" si="54"/>
        <v>0.09</v>
      </c>
      <c r="J31" s="3167"/>
      <c r="K31" s="3168"/>
      <c r="L31" s="3158">
        <f t="shared" si="53"/>
        <v>7.000000000000001E-4</v>
      </c>
      <c r="M31" s="3158">
        <f t="shared" si="53"/>
        <v>8.9999999999999998E-4</v>
      </c>
      <c r="N31" s="3158">
        <f t="shared" si="53"/>
        <v>2.9999999999999997E-4</v>
      </c>
      <c r="O31" s="3158"/>
      <c r="P31" s="3158">
        <f t="shared" ref="P31" si="60">M31</f>
        <v>8.9999999999999998E-4</v>
      </c>
      <c r="Q31" s="3167"/>
      <c r="R31" s="3169"/>
      <c r="S31" s="3169">
        <f>ROUND(IF(项目基本情况!$B$8="出让",SUMPRODUCT(PRODUCT(1+L31:L$42)),SUMPRODUCT(PRODUCT(1+L31:L$41))),4)</f>
        <v>1.0439000000000001</v>
      </c>
      <c r="T31" s="3169">
        <f>ROUND(IF(项目基本情况!$B$8="出让",SUMPRODUCT(PRODUCT(1+M31:M$42)),SUMPRODUCT(PRODUCT(1+M31:M$41))),4)</f>
        <v>1.0297000000000001</v>
      </c>
      <c r="U31" s="3169">
        <f>ROUND(IF(项目基本情况!$B$8="出让",SUMPRODUCT(PRODUCT(1+N31:N$42)),SUMPRODUCT(PRODUCT(1+N31:N$41))),4)</f>
        <v>1.0727</v>
      </c>
      <c r="V31" s="3169"/>
      <c r="W31" s="3169">
        <f t="shared" ref="W31" si="61">T31</f>
        <v>1.0297000000000001</v>
      </c>
      <c r="X31" s="3167"/>
      <c r="Y31" s="3170"/>
      <c r="Z31" s="3198"/>
      <c r="AA31" s="3200"/>
      <c r="AB31" s="3170"/>
      <c r="AC31" s="3199"/>
      <c r="AD31" s="3170"/>
    </row>
    <row r="32" spans="1:30" s="3171" customFormat="1" ht="13.2">
      <c r="A32" s="3162" t="s">
        <v>3376</v>
      </c>
      <c r="B32" s="3163">
        <v>2023</v>
      </c>
      <c r="C32" s="3164">
        <v>3</v>
      </c>
      <c r="D32" s="3165"/>
      <c r="E32" s="3165">
        <v>0.35</v>
      </c>
      <c r="F32" s="3165">
        <v>0.17</v>
      </c>
      <c r="G32" s="3165">
        <v>0.52</v>
      </c>
      <c r="H32" s="3182"/>
      <c r="I32" s="3166">
        <f t="shared" si="52"/>
        <v>0.17</v>
      </c>
      <c r="J32" s="3167"/>
      <c r="K32" s="3168"/>
      <c r="L32" s="3158">
        <f t="shared" ref="L32:L34" si="62">E32/100</f>
        <v>3.4999999999999996E-3</v>
      </c>
      <c r="M32" s="3158">
        <f t="shared" ref="M32:M34" si="63">F32/100</f>
        <v>1.7000000000000001E-3</v>
      </c>
      <c r="N32" s="3158">
        <f t="shared" ref="N32:N34" si="64">G32/100</f>
        <v>5.1999999999999998E-3</v>
      </c>
      <c r="O32" s="3158"/>
      <c r="P32" s="3158">
        <f t="shared" ref="P32:P34" si="65">M32</f>
        <v>1.7000000000000001E-3</v>
      </c>
      <c r="Q32" s="3167"/>
      <c r="R32" s="3169"/>
      <c r="S32" s="3169">
        <f>ROUND(IF(项目基本情况!$B$8="出让",SUMPRODUCT(PRODUCT(1+L32:L$42)),SUMPRODUCT(PRODUCT(1+L32:L$41))),4)</f>
        <v>1.0431999999999999</v>
      </c>
      <c r="T32" s="3169">
        <f>ROUND(IF(项目基本情况!$B$8="出让",SUMPRODUCT(PRODUCT(1+M32:M$42)),SUMPRODUCT(PRODUCT(1+M32:M$41))),4)</f>
        <v>1.0286999999999999</v>
      </c>
      <c r="U32" s="3169">
        <f>ROUND(IF(项目基本情况!$B$8="出让",SUMPRODUCT(PRODUCT(1+N32:N$42)),SUMPRODUCT(PRODUCT(1+N32:N$41))),4)</f>
        <v>1.0723</v>
      </c>
      <c r="V32" s="3169"/>
      <c r="W32" s="3169">
        <f t="shared" ref="W32:W34" si="66">T32</f>
        <v>1.0286999999999999</v>
      </c>
      <c r="X32" s="3167"/>
      <c r="Y32" s="3170"/>
      <c r="Z32" s="3198"/>
      <c r="AA32" s="3200"/>
      <c r="AB32" s="3170"/>
      <c r="AC32" s="3199"/>
      <c r="AD32" s="3170"/>
    </row>
    <row r="33" spans="1:30" s="3171" customFormat="1" ht="13.2">
      <c r="A33" s="3162" t="s">
        <v>3375</v>
      </c>
      <c r="B33" s="3163">
        <v>2023</v>
      </c>
      <c r="C33" s="3164">
        <v>2</v>
      </c>
      <c r="D33" s="3165"/>
      <c r="E33" s="3165">
        <v>0.5</v>
      </c>
      <c r="F33" s="3165">
        <v>0.45</v>
      </c>
      <c r="G33" s="3165">
        <v>0.89</v>
      </c>
      <c r="H33" s="3182"/>
      <c r="I33" s="3166">
        <f t="shared" si="52"/>
        <v>0.45</v>
      </c>
      <c r="J33" s="3167"/>
      <c r="K33" s="3168"/>
      <c r="L33" s="3158">
        <f t="shared" si="62"/>
        <v>5.0000000000000001E-3</v>
      </c>
      <c r="M33" s="3158">
        <f t="shared" si="63"/>
        <v>4.5000000000000005E-3</v>
      </c>
      <c r="N33" s="3158">
        <f t="shared" si="64"/>
        <v>8.8999999999999999E-3</v>
      </c>
      <c r="O33" s="3158"/>
      <c r="P33" s="3158">
        <f t="shared" si="65"/>
        <v>4.5000000000000005E-3</v>
      </c>
      <c r="Q33" s="3167"/>
      <c r="R33" s="3169"/>
      <c r="S33" s="3169">
        <f>ROUND(IF(项目基本情况!$B$8="出让",SUMPRODUCT(PRODUCT(1+L33:L$42)),SUMPRODUCT(PRODUCT(1+L33:L$41))),4)</f>
        <v>1.0396000000000001</v>
      </c>
      <c r="T33" s="3169">
        <f>ROUND(IF(项目基本情况!$B$8="出让",SUMPRODUCT(PRODUCT(1+M33:M$42)),SUMPRODUCT(PRODUCT(1+M33:M$41))),4)</f>
        <v>1.0269999999999999</v>
      </c>
      <c r="U33" s="3169">
        <f>ROUND(IF(项目基本情况!$B$8="出让",SUMPRODUCT(PRODUCT(1+N33:N$42)),SUMPRODUCT(PRODUCT(1+N33:N$41))),4)</f>
        <v>1.0668</v>
      </c>
      <c r="V33" s="3169"/>
      <c r="W33" s="3169">
        <f t="shared" si="66"/>
        <v>1.0269999999999999</v>
      </c>
      <c r="X33" s="3167"/>
      <c r="Y33" s="3170"/>
      <c r="Z33" s="3198"/>
      <c r="AA33" s="3200"/>
      <c r="AB33" s="3170"/>
      <c r="AC33" s="3199"/>
      <c r="AD33" s="3170"/>
    </row>
    <row r="34" spans="1:30" s="3171" customFormat="1" ht="13.2">
      <c r="A34" s="3162" t="s">
        <v>3371</v>
      </c>
      <c r="B34" s="3163">
        <v>2023</v>
      </c>
      <c r="C34" s="3164">
        <v>1</v>
      </c>
      <c r="D34" s="3165"/>
      <c r="E34" s="3165">
        <v>0.55000000000000004</v>
      </c>
      <c r="F34" s="3165">
        <v>0.59</v>
      </c>
      <c r="G34" s="3165">
        <v>0.64</v>
      </c>
      <c r="H34" s="3182"/>
      <c r="I34" s="3166">
        <f t="shared" si="52"/>
        <v>0.59</v>
      </c>
      <c r="J34" s="3167"/>
      <c r="K34" s="3168"/>
      <c r="L34" s="3158">
        <f t="shared" si="62"/>
        <v>5.5000000000000005E-3</v>
      </c>
      <c r="M34" s="3158">
        <f t="shared" si="63"/>
        <v>5.8999999999999999E-3</v>
      </c>
      <c r="N34" s="3158">
        <f t="shared" si="64"/>
        <v>6.4000000000000003E-3</v>
      </c>
      <c r="O34" s="3158"/>
      <c r="P34" s="3158">
        <f t="shared" si="65"/>
        <v>5.8999999999999999E-3</v>
      </c>
      <c r="Q34" s="3167"/>
      <c r="R34" s="3169"/>
      <c r="S34" s="3169">
        <f>ROUND(IF(项目基本情况!$B$8="出让",SUMPRODUCT(PRODUCT(1+L34:L$42)),SUMPRODUCT(PRODUCT(1+L34:L$41))),4)</f>
        <v>1.0344</v>
      </c>
      <c r="T34" s="3169">
        <f>ROUND(IF(项目基本情况!$B$8="出让",SUMPRODUCT(PRODUCT(1+M34:M$42)),SUMPRODUCT(PRODUCT(1+M34:M$41))),4)</f>
        <v>1.0224</v>
      </c>
      <c r="U34" s="3169">
        <f>ROUND(IF(项目基本情况!$B$8="出让",SUMPRODUCT(PRODUCT(1+N34:N$42)),SUMPRODUCT(PRODUCT(1+N34:N$41))),4)</f>
        <v>1.0573999999999999</v>
      </c>
      <c r="V34" s="3169"/>
      <c r="W34" s="3169">
        <f t="shared" si="66"/>
        <v>1.0224</v>
      </c>
      <c r="X34" s="3167"/>
      <c r="Y34" s="3170"/>
      <c r="Z34" s="3198"/>
      <c r="AA34" s="3200"/>
      <c r="AB34" s="3170"/>
      <c r="AC34" s="3199"/>
      <c r="AD34" s="3170"/>
    </row>
    <row r="35" spans="1:30" s="3171" customFormat="1" ht="13.2">
      <c r="A35" s="3162" t="s">
        <v>3370</v>
      </c>
      <c r="B35" s="3163">
        <v>2022</v>
      </c>
      <c r="C35" s="3164">
        <v>4</v>
      </c>
      <c r="D35" s="3165"/>
      <c r="E35" s="3165">
        <v>0.45</v>
      </c>
      <c r="F35" s="3165">
        <v>0.2</v>
      </c>
      <c r="G35" s="3165">
        <v>0.38</v>
      </c>
      <c r="H35" s="3182"/>
      <c r="I35" s="3166">
        <f t="shared" si="52"/>
        <v>0.2</v>
      </c>
      <c r="J35" s="3167"/>
      <c r="K35" s="3168"/>
      <c r="L35" s="3158">
        <f t="shared" si="53"/>
        <v>4.5000000000000005E-3</v>
      </c>
      <c r="M35" s="3158">
        <f t="shared" si="53"/>
        <v>2E-3</v>
      </c>
      <c r="N35" s="3158">
        <f t="shared" si="53"/>
        <v>3.8E-3</v>
      </c>
      <c r="O35" s="3158"/>
      <c r="P35" s="3158">
        <f t="shared" ref="P35:P42" si="67">M35</f>
        <v>2E-3</v>
      </c>
      <c r="Q35" s="3167"/>
      <c r="R35" s="3169"/>
      <c r="S35" s="3169">
        <f>ROUND(IF(项目基本情况!$B$8="出让",SUMPRODUCT(PRODUCT(1+L35:L$42)),SUMPRODUCT(PRODUCT(1+L35:L$41))),4)</f>
        <v>1.0286999999999999</v>
      </c>
      <c r="T35" s="3169">
        <f>ROUND(IF(项目基本情况!$B$8="出让",SUMPRODUCT(PRODUCT(1+M35:M$42)),SUMPRODUCT(PRODUCT(1+M35:M$41))),4)</f>
        <v>1.0164</v>
      </c>
      <c r="U35" s="3169">
        <f>ROUND(IF(项目基本情况!$B$8="出让",SUMPRODUCT(PRODUCT(1+N35:N$42)),SUMPRODUCT(PRODUCT(1+N35:N$41))),4)</f>
        <v>1.0506</v>
      </c>
      <c r="V35" s="3169"/>
      <c r="W35" s="3169">
        <f t="shared" ref="W35:W42" si="68">T35</f>
        <v>1.0164</v>
      </c>
      <c r="X35" s="3167"/>
      <c r="Y35" s="3170"/>
      <c r="Z35" s="3198">
        <f t="shared" ref="Z35:AD42" si="69">IF(E35=0,0,ROUND(AVERAGE(E35:E43)/100,4))</f>
        <v>4.0000000000000001E-3</v>
      </c>
      <c r="AA35" s="3200">
        <f t="shared" si="69"/>
        <v>2.5999999999999999E-3</v>
      </c>
      <c r="AB35" s="3170">
        <f t="shared" si="69"/>
        <v>7.4000000000000003E-3</v>
      </c>
      <c r="AC35" s="3199"/>
      <c r="AD35" s="3170">
        <f t="shared" si="69"/>
        <v>2.5999999999999999E-3</v>
      </c>
    </row>
    <row r="36" spans="1:30" s="3171" customFormat="1" ht="13.2">
      <c r="A36" s="3162" t="s">
        <v>3367</v>
      </c>
      <c r="B36" s="3163">
        <v>2022</v>
      </c>
      <c r="C36" s="3164">
        <v>3</v>
      </c>
      <c r="D36" s="3165"/>
      <c r="E36" s="3165">
        <v>0.3</v>
      </c>
      <c r="F36" s="3165">
        <v>0.28999999999999998</v>
      </c>
      <c r="G36" s="3165">
        <v>0.83</v>
      </c>
      <c r="H36" s="3182"/>
      <c r="I36" s="3166">
        <f t="shared" si="52"/>
        <v>0.28999999999999998</v>
      </c>
      <c r="J36" s="3167"/>
      <c r="K36" s="3168"/>
      <c r="L36" s="3158">
        <f t="shared" si="53"/>
        <v>3.0000000000000001E-3</v>
      </c>
      <c r="M36" s="3158">
        <f t="shared" si="53"/>
        <v>2.8999999999999998E-3</v>
      </c>
      <c r="N36" s="3158">
        <f t="shared" si="53"/>
        <v>8.3000000000000001E-3</v>
      </c>
      <c r="O36" s="3158"/>
      <c r="P36" s="3158">
        <f t="shared" si="67"/>
        <v>2.8999999999999998E-3</v>
      </c>
      <c r="Q36" s="3167"/>
      <c r="R36" s="3169"/>
      <c r="S36" s="3169">
        <f>ROUND(IF(项目基本情况!$B$8="出让",SUMPRODUCT(PRODUCT(1+L36:L$42)),SUMPRODUCT(PRODUCT(1+L36:L$41))),4)</f>
        <v>1.0241</v>
      </c>
      <c r="T36" s="3169">
        <f>ROUND(IF(项目基本情况!$B$8="出让",SUMPRODUCT(PRODUCT(1+M36:M$42)),SUMPRODUCT(PRODUCT(1+M36:M$41))),4)</f>
        <v>1.0144</v>
      </c>
      <c r="U36" s="3169">
        <f>ROUND(IF(项目基本情况!$B$8="出让",SUMPRODUCT(PRODUCT(1+N36:N$42)),SUMPRODUCT(PRODUCT(1+N36:N$41))),4)</f>
        <v>1.0467</v>
      </c>
      <c r="V36" s="3169"/>
      <c r="W36" s="3169">
        <f t="shared" si="68"/>
        <v>1.0144</v>
      </c>
      <c r="X36" s="3167"/>
      <c r="Y36" s="3170"/>
      <c r="Z36" s="3198">
        <f t="shared" si="69"/>
        <v>3.8999999999999998E-3</v>
      </c>
      <c r="AA36" s="3200">
        <f t="shared" si="69"/>
        <v>2.7000000000000001E-3</v>
      </c>
      <c r="AB36" s="3170">
        <f t="shared" si="69"/>
        <v>7.9000000000000008E-3</v>
      </c>
      <c r="AC36" s="3199"/>
      <c r="AD36" s="3170">
        <f t="shared" si="69"/>
        <v>2.7000000000000001E-3</v>
      </c>
    </row>
    <row r="37" spans="1:30" s="3171" customFormat="1" ht="13.2">
      <c r="A37" s="3162" t="s">
        <v>3357</v>
      </c>
      <c r="B37" s="3163">
        <v>2022</v>
      </c>
      <c r="C37" s="3164">
        <v>2</v>
      </c>
      <c r="D37" s="3165"/>
      <c r="E37" s="3165">
        <v>-0.11</v>
      </c>
      <c r="F37" s="3165">
        <v>-0.13</v>
      </c>
      <c r="G37" s="3165">
        <v>0.53</v>
      </c>
      <c r="H37" s="3182"/>
      <c r="I37" s="3166">
        <f t="shared" si="52"/>
        <v>-0.13</v>
      </c>
      <c r="J37" s="3167"/>
      <c r="K37" s="3168"/>
      <c r="L37" s="3158">
        <f t="shared" si="53"/>
        <v>-1.1000000000000001E-3</v>
      </c>
      <c r="M37" s="3158">
        <f t="shared" si="53"/>
        <v>-1.2999999999999999E-3</v>
      </c>
      <c r="N37" s="3158">
        <f t="shared" si="53"/>
        <v>5.3E-3</v>
      </c>
      <c r="O37" s="3158"/>
      <c r="P37" s="3158">
        <f t="shared" si="67"/>
        <v>-1.2999999999999999E-3</v>
      </c>
      <c r="Q37" s="3167"/>
      <c r="R37" s="3169"/>
      <c r="S37" s="3169">
        <f>ROUND(IF(项目基本情况!$B$8="出让",SUMPRODUCT(PRODUCT(1+L37:L$42)),SUMPRODUCT(PRODUCT(1+L37:L$41))),4)</f>
        <v>1.0210999999999999</v>
      </c>
      <c r="T37" s="3169">
        <f>ROUND(IF(项目基本情况!$B$8="出让",SUMPRODUCT(PRODUCT(1+M37:M$42)),SUMPRODUCT(PRODUCT(1+M37:M$41))),4)</f>
        <v>1.0114000000000001</v>
      </c>
      <c r="U37" s="3169">
        <f>ROUND(IF(项目基本情况!$B$8="出让",SUMPRODUCT(PRODUCT(1+N37:N$42)),SUMPRODUCT(PRODUCT(1+N37:N$41))),4)</f>
        <v>1.0381</v>
      </c>
      <c r="V37" s="3169"/>
      <c r="W37" s="3169">
        <f t="shared" si="68"/>
        <v>1.0114000000000001</v>
      </c>
      <c r="X37" s="3167"/>
      <c r="Y37" s="3170"/>
      <c r="Z37" s="3198">
        <f t="shared" si="69"/>
        <v>4.1000000000000003E-3</v>
      </c>
      <c r="AA37" s="3200">
        <f t="shared" si="69"/>
        <v>2.7000000000000001E-3</v>
      </c>
      <c r="AB37" s="3170">
        <f t="shared" si="69"/>
        <v>7.9000000000000008E-3</v>
      </c>
      <c r="AC37" s="3199"/>
      <c r="AD37" s="3170">
        <f t="shared" si="69"/>
        <v>2.7000000000000001E-3</v>
      </c>
    </row>
    <row r="38" spans="1:30" s="3171" customFormat="1" ht="13.2">
      <c r="A38" s="3162" t="s">
        <v>2837</v>
      </c>
      <c r="B38" s="3163">
        <v>2022</v>
      </c>
      <c r="C38" s="3164">
        <v>1</v>
      </c>
      <c r="D38" s="3165"/>
      <c r="E38" s="3165">
        <v>0.6</v>
      </c>
      <c r="F38" s="3165">
        <v>0.45</v>
      </c>
      <c r="G38" s="3165">
        <v>0.53</v>
      </c>
      <c r="H38" s="3182"/>
      <c r="I38" s="3166">
        <f t="shared" si="52"/>
        <v>0.45</v>
      </c>
      <c r="J38" s="3167"/>
      <c r="K38" s="3168"/>
      <c r="L38" s="3158">
        <f t="shared" si="53"/>
        <v>6.0000000000000001E-3</v>
      </c>
      <c r="M38" s="3158">
        <f t="shared" si="53"/>
        <v>4.5000000000000005E-3</v>
      </c>
      <c r="N38" s="3158">
        <f t="shared" si="53"/>
        <v>5.3E-3</v>
      </c>
      <c r="O38" s="3158"/>
      <c r="P38" s="3158">
        <f t="shared" si="67"/>
        <v>4.5000000000000005E-3</v>
      </c>
      <c r="Q38" s="3167"/>
      <c r="R38" s="3169"/>
      <c r="S38" s="3169">
        <f>ROUND(IF(项目基本情况!$B$8="出让",SUMPRODUCT(PRODUCT(1+L38:L$42)),SUMPRODUCT(PRODUCT(1+L38:L$41))),4)</f>
        <v>1.0222</v>
      </c>
      <c r="T38" s="3169">
        <f>ROUND(IF(项目基本情况!$B$8="出让",SUMPRODUCT(PRODUCT(1+M38:M$42)),SUMPRODUCT(PRODUCT(1+M38:M$41))),4)</f>
        <v>1.0127999999999999</v>
      </c>
      <c r="U38" s="3169">
        <f>ROUND(IF(项目基本情况!$B$8="出让",SUMPRODUCT(PRODUCT(1+N38:N$42)),SUMPRODUCT(PRODUCT(1+N38:N$41))),4)</f>
        <v>1.0326</v>
      </c>
      <c r="V38" s="3169"/>
      <c r="W38" s="3169">
        <f t="shared" si="68"/>
        <v>1.0127999999999999</v>
      </c>
      <c r="X38" s="3167"/>
      <c r="Y38" s="3170"/>
      <c r="Z38" s="3198">
        <f t="shared" si="69"/>
        <v>5.1000000000000004E-3</v>
      </c>
      <c r="AA38" s="3200">
        <f t="shared" si="69"/>
        <v>3.5000000000000001E-3</v>
      </c>
      <c r="AB38" s="3170">
        <f t="shared" si="69"/>
        <v>8.3999999999999995E-3</v>
      </c>
      <c r="AC38" s="3199"/>
      <c r="AD38" s="3170">
        <f t="shared" si="69"/>
        <v>3.5000000000000001E-3</v>
      </c>
    </row>
    <row r="39" spans="1:30" s="3171" customFormat="1" ht="13.2">
      <c r="A39" s="3162" t="s">
        <v>2838</v>
      </c>
      <c r="B39" s="3163">
        <v>2021</v>
      </c>
      <c r="C39" s="3164">
        <v>4</v>
      </c>
      <c r="D39" s="3165"/>
      <c r="E39" s="3165">
        <v>0.57999999999999996</v>
      </c>
      <c r="F39" s="3165">
        <v>0.08</v>
      </c>
      <c r="G39" s="3165">
        <v>0.68</v>
      </c>
      <c r="H39" s="3182"/>
      <c r="I39" s="3166">
        <f t="shared" si="52"/>
        <v>0.08</v>
      </c>
      <c r="J39" s="3167"/>
      <c r="K39" s="3168"/>
      <c r="L39" s="3158">
        <f t="shared" si="53"/>
        <v>5.7999999999999996E-3</v>
      </c>
      <c r="M39" s="3158">
        <f t="shared" si="53"/>
        <v>8.0000000000000004E-4</v>
      </c>
      <c r="N39" s="3158">
        <f t="shared" si="53"/>
        <v>6.8000000000000005E-3</v>
      </c>
      <c r="O39" s="3158"/>
      <c r="P39" s="3158">
        <f t="shared" si="67"/>
        <v>8.0000000000000004E-4</v>
      </c>
      <c r="Q39" s="3167"/>
      <c r="R39" s="3169"/>
      <c r="S39" s="3169">
        <f>ROUND(IF(项目基本情况!$B$8="出让",SUMPRODUCT(PRODUCT(1+L39:L$42)),SUMPRODUCT(PRODUCT(1+L39:L$41))),4)</f>
        <v>1.0161</v>
      </c>
      <c r="T39" s="3169">
        <f>ROUND(IF(项目基本情况!$B$8="出让",SUMPRODUCT(PRODUCT(1+M39:M$42)),SUMPRODUCT(PRODUCT(1+M39:M$41))),4)</f>
        <v>1.0082</v>
      </c>
      <c r="U39" s="3169">
        <f>ROUND(IF(项目基本情况!$B$8="出让",SUMPRODUCT(PRODUCT(1+N39:N$42)),SUMPRODUCT(PRODUCT(1+N39:N$41))),4)</f>
        <v>1.0270999999999999</v>
      </c>
      <c r="V39" s="3169"/>
      <c r="W39" s="3169">
        <f t="shared" si="68"/>
        <v>1.0082</v>
      </c>
      <c r="X39" s="3167"/>
      <c r="Y39" s="3170"/>
      <c r="Z39" s="3198">
        <f t="shared" si="69"/>
        <v>4.8999999999999998E-3</v>
      </c>
      <c r="AA39" s="3200">
        <f t="shared" si="69"/>
        <v>3.3E-3</v>
      </c>
      <c r="AB39" s="3170">
        <f t="shared" si="69"/>
        <v>9.1999999999999998E-3</v>
      </c>
      <c r="AC39" s="3199"/>
      <c r="AD39" s="3170">
        <f t="shared" si="69"/>
        <v>3.3E-3</v>
      </c>
    </row>
    <row r="40" spans="1:30" s="3171" customFormat="1" ht="13.2">
      <c r="A40" s="3162" t="s">
        <v>2839</v>
      </c>
      <c r="B40" s="3163">
        <v>2021</v>
      </c>
      <c r="C40" s="3164">
        <v>3</v>
      </c>
      <c r="D40" s="3165"/>
      <c r="E40" s="3165">
        <v>0.47</v>
      </c>
      <c r="F40" s="3165">
        <v>0.28000000000000003</v>
      </c>
      <c r="G40" s="3165">
        <v>0.91</v>
      </c>
      <c r="H40" s="3182"/>
      <c r="I40" s="3166">
        <f t="shared" si="52"/>
        <v>0.28000000000000003</v>
      </c>
      <c r="J40" s="3167"/>
      <c r="K40" s="3168"/>
      <c r="L40" s="3158">
        <f t="shared" si="53"/>
        <v>4.6999999999999993E-3</v>
      </c>
      <c r="M40" s="3158">
        <f t="shared" si="53"/>
        <v>2.8000000000000004E-3</v>
      </c>
      <c r="N40" s="3158">
        <f t="shared" si="53"/>
        <v>9.1000000000000004E-3</v>
      </c>
      <c r="O40" s="3158"/>
      <c r="P40" s="3158">
        <f t="shared" si="67"/>
        <v>2.8000000000000004E-3</v>
      </c>
      <c r="Q40" s="3167"/>
      <c r="R40" s="3169"/>
      <c r="S40" s="3169">
        <f>ROUND(IF(项目基本情况!$B$8="出让",SUMPRODUCT(PRODUCT(1+L40:L$42)),SUMPRODUCT(PRODUCT(1+L40:L$41))),4)</f>
        <v>1.0102</v>
      </c>
      <c r="T40" s="3169">
        <f>ROUND(IF(项目基本情况!$B$8="出让",SUMPRODUCT(PRODUCT(1+M40:M$42)),SUMPRODUCT(PRODUCT(1+M40:M$41))),4)</f>
        <v>1.0074000000000001</v>
      </c>
      <c r="U40" s="3169">
        <f>ROUND(IF(项目基本情况!$B$8="出让",SUMPRODUCT(PRODUCT(1+N40:N$42)),SUMPRODUCT(PRODUCT(1+N40:N$41))),4)</f>
        <v>1.0202</v>
      </c>
      <c r="V40" s="3169"/>
      <c r="W40" s="3169">
        <f t="shared" si="68"/>
        <v>1.0074000000000001</v>
      </c>
      <c r="X40" s="3167"/>
      <c r="Y40" s="3170"/>
      <c r="Z40" s="3198">
        <f t="shared" si="69"/>
        <v>4.5999999999999999E-3</v>
      </c>
      <c r="AA40" s="3200">
        <f t="shared" si="69"/>
        <v>4.1000000000000003E-3</v>
      </c>
      <c r="AB40" s="3170">
        <f t="shared" si="69"/>
        <v>0.01</v>
      </c>
      <c r="AC40" s="3199"/>
      <c r="AD40" s="3170">
        <f t="shared" si="69"/>
        <v>4.1000000000000003E-3</v>
      </c>
    </row>
    <row r="41" spans="1:30" s="3171" customFormat="1" ht="13.2">
      <c r="A41" s="3162" t="s">
        <v>2840</v>
      </c>
      <c r="B41" s="3163">
        <v>2021</v>
      </c>
      <c r="C41" s="3164">
        <v>2</v>
      </c>
      <c r="D41" s="3165"/>
      <c r="E41" s="3165">
        <v>0.55000000000000004</v>
      </c>
      <c r="F41" s="3165">
        <v>0.46</v>
      </c>
      <c r="G41" s="3165">
        <v>1.1000000000000001</v>
      </c>
      <c r="H41" s="3182"/>
      <c r="I41" s="3166">
        <f t="shared" si="52"/>
        <v>0.46</v>
      </c>
      <c r="J41" s="3167"/>
      <c r="K41" s="3168"/>
      <c r="L41" s="3158">
        <f t="shared" si="53"/>
        <v>5.5000000000000005E-3</v>
      </c>
      <c r="M41" s="3158">
        <f t="shared" si="53"/>
        <v>4.5999999999999999E-3</v>
      </c>
      <c r="N41" s="3158">
        <f t="shared" si="53"/>
        <v>1.1000000000000001E-2</v>
      </c>
      <c r="O41" s="3158"/>
      <c r="P41" s="3158">
        <f t="shared" si="67"/>
        <v>4.5999999999999999E-3</v>
      </c>
      <c r="Q41" s="3167"/>
      <c r="R41" s="3169"/>
      <c r="S41" s="3169">
        <f>ROUND(IF(项目基本情况!$B$8="出让",SUMPRODUCT(PRODUCT(1+L41:L$42)),SUMPRODUCT(PRODUCT(1+L41:L$41))),4)</f>
        <v>1.0055000000000001</v>
      </c>
      <c r="T41" s="3169">
        <f>ROUND(IF(项目基本情况!$B$8="出让",SUMPRODUCT(PRODUCT(1+M41:M$42)),SUMPRODUCT(PRODUCT(1+M41:M$41))),4)</f>
        <v>1.0045999999999999</v>
      </c>
      <c r="U41" s="3169">
        <f>ROUND(IF(项目基本情况!$B$8="出让",SUMPRODUCT(PRODUCT(1+N41:N$42)),SUMPRODUCT(PRODUCT(1+N41:N$41))),4)</f>
        <v>1.0109999999999999</v>
      </c>
      <c r="V41" s="3169"/>
      <c r="W41" s="3169">
        <f t="shared" si="68"/>
        <v>1.0045999999999999</v>
      </c>
      <c r="X41" s="3167"/>
      <c r="Y41" s="3170"/>
      <c r="Z41" s="3198">
        <f t="shared" si="69"/>
        <v>4.4999999999999997E-3</v>
      </c>
      <c r="AA41" s="3200">
        <f t="shared" si="69"/>
        <v>4.7000000000000002E-3</v>
      </c>
      <c r="AB41" s="3170">
        <f t="shared" si="69"/>
        <v>1.04E-2</v>
      </c>
      <c r="AC41" s="3199"/>
      <c r="AD41" s="3170">
        <f t="shared" si="69"/>
        <v>4.7000000000000002E-3</v>
      </c>
    </row>
    <row r="42" spans="1:30" s="3193" customFormat="1" ht="13.8" thickBot="1">
      <c r="A42" s="3183" t="s">
        <v>2826</v>
      </c>
      <c r="B42" s="3184">
        <v>2021</v>
      </c>
      <c r="C42" s="3185">
        <v>1</v>
      </c>
      <c r="D42" s="3186"/>
      <c r="E42" s="3186">
        <v>0.35</v>
      </c>
      <c r="F42" s="3186">
        <v>0.48</v>
      </c>
      <c r="G42" s="3186">
        <v>0.98</v>
      </c>
      <c r="H42" s="3187"/>
      <c r="I42" s="3188">
        <f t="shared" si="52"/>
        <v>0.48</v>
      </c>
      <c r="J42" s="3189"/>
      <c r="K42" s="3190"/>
      <c r="L42" s="3191">
        <f t="shared" si="53"/>
        <v>3.4999999999999996E-3</v>
      </c>
      <c r="M42" s="3191">
        <f>F42/100</f>
        <v>4.7999999999999996E-3</v>
      </c>
      <c r="N42" s="3191">
        <f t="shared" si="53"/>
        <v>9.7999999999999997E-3</v>
      </c>
      <c r="O42" s="3191"/>
      <c r="P42" s="3191">
        <f t="shared" si="67"/>
        <v>4.7999999999999996E-3</v>
      </c>
      <c r="Q42" s="3189"/>
      <c r="R42" s="3192"/>
      <c r="S42" s="3192">
        <v>1</v>
      </c>
      <c r="T42" s="3192">
        <v>1</v>
      </c>
      <c r="U42" s="3192">
        <v>1</v>
      </c>
      <c r="V42" s="3192"/>
      <c r="W42" s="3192">
        <f t="shared" si="68"/>
        <v>1</v>
      </c>
      <c r="X42" s="3189"/>
      <c r="Y42" s="3191"/>
      <c r="Z42" s="3204">
        <f t="shared" si="69"/>
        <v>3.5000000000000001E-3</v>
      </c>
      <c r="AA42" s="3205">
        <f t="shared" si="69"/>
        <v>4.7999999999999996E-3</v>
      </c>
      <c r="AB42" s="3191">
        <f t="shared" si="69"/>
        <v>9.7999999999999997E-3</v>
      </c>
      <c r="AC42" s="3206"/>
      <c r="AD42" s="3191">
        <f t="shared" si="69"/>
        <v>4.7999999999999996E-3</v>
      </c>
    </row>
    <row r="43" spans="1:30" ht="15" thickTop="1"/>
    <row r="44" spans="1:30">
      <c r="A44" s="343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1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1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9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8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9">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80">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9">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80">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07">
        <v>45495</v>
      </c>
      <c r="D13" s="2808">
        <v>3.35</v>
      </c>
      <c r="E13" s="2808">
        <f>D13</f>
        <v>3.35</v>
      </c>
      <c r="F13" s="2808">
        <f>D13</f>
        <v>3.35</v>
      </c>
      <c r="G13" s="2808">
        <f>D13</f>
        <v>3.35</v>
      </c>
      <c r="H13" s="2808">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02"/>
      <c r="C14" s="2804">
        <v>45342</v>
      </c>
      <c r="D14" s="2803">
        <v>3.45</v>
      </c>
      <c r="E14" s="2803">
        <f>D14</f>
        <v>3.45</v>
      </c>
      <c r="F14" s="2803">
        <f>D14</f>
        <v>3.45</v>
      </c>
      <c r="G14" s="2803">
        <f>D14</f>
        <v>3.45</v>
      </c>
      <c r="H14" s="2803">
        <v>3.95</v>
      </c>
      <c r="I14" s="2808"/>
      <c r="J14" s="280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02"/>
      <c r="C15" s="2804">
        <v>45159</v>
      </c>
      <c r="D15" s="2803">
        <v>3.45</v>
      </c>
      <c r="E15" s="2803">
        <f>D15</f>
        <v>3.45</v>
      </c>
      <c r="F15" s="2803">
        <f>D15</f>
        <v>3.45</v>
      </c>
      <c r="G15" s="2803">
        <f>D15</f>
        <v>3.45</v>
      </c>
      <c r="H15" s="2803">
        <v>4.2</v>
      </c>
      <c r="I15" s="2808"/>
      <c r="J15" s="280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02"/>
      <c r="C16" s="2804">
        <v>45097</v>
      </c>
      <c r="D16" s="2803">
        <v>3.55</v>
      </c>
      <c r="E16" s="2803">
        <f>D16</f>
        <v>3.55</v>
      </c>
      <c r="F16" s="2803">
        <f>D16</f>
        <v>3.55</v>
      </c>
      <c r="G16" s="2803">
        <f>D16</f>
        <v>3.55</v>
      </c>
      <c r="H16" s="2803">
        <v>4.2</v>
      </c>
      <c r="I16" s="2808"/>
      <c r="J16" s="280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02"/>
      <c r="C17" s="2804">
        <v>44795</v>
      </c>
      <c r="D17" s="2803">
        <v>3.65</v>
      </c>
      <c r="E17" s="2803">
        <v>3.65</v>
      </c>
      <c r="F17" s="2803">
        <v>3.65</v>
      </c>
      <c r="G17" s="2803">
        <v>3.65</v>
      </c>
      <c r="H17" s="2803">
        <v>4.3</v>
      </c>
      <c r="I17" s="2808"/>
      <c r="J17" s="280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02"/>
      <c r="C18" s="2804">
        <v>44701</v>
      </c>
      <c r="D18" s="2803">
        <v>3.7</v>
      </c>
      <c r="E18" s="2803">
        <f>D18</f>
        <v>3.7</v>
      </c>
      <c r="F18" s="2803">
        <f>D18</f>
        <v>3.7</v>
      </c>
      <c r="G18" s="2803">
        <f>D18</f>
        <v>3.7</v>
      </c>
      <c r="H18" s="2803">
        <v>4.45</v>
      </c>
      <c r="I18" s="2808"/>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5.6">
      <c r="A19" s="1284"/>
      <c r="B19" s="2802"/>
      <c r="C19" s="2804">
        <v>44581</v>
      </c>
      <c r="D19" s="2803">
        <v>3.7</v>
      </c>
      <c r="E19" s="2803">
        <f>D19</f>
        <v>3.7</v>
      </c>
      <c r="F19" s="2803">
        <f>D19</f>
        <v>3.7</v>
      </c>
      <c r="G19" s="2803">
        <f>D19</f>
        <v>3.7</v>
      </c>
      <c r="H19" s="2803">
        <v>4.5999999999999996</v>
      </c>
      <c r="I19" s="2808"/>
      <c r="J19" s="280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03"/>
      <c r="C20" s="2804">
        <v>44550</v>
      </c>
      <c r="D20" s="2803">
        <v>3.8</v>
      </c>
      <c r="E20" s="2803">
        <f>D20</f>
        <v>3.8</v>
      </c>
      <c r="F20" s="2803">
        <f>D20</f>
        <v>3.8</v>
      </c>
      <c r="G20" s="2803">
        <f>D20</f>
        <v>3.8</v>
      </c>
      <c r="H20" s="2803">
        <v>4.6500000000000004</v>
      </c>
      <c r="I20" s="2803"/>
      <c r="J20" s="280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03"/>
      <c r="C21" s="2804">
        <v>43941</v>
      </c>
      <c r="D21" s="2803">
        <v>3.85</v>
      </c>
      <c r="E21" s="2803">
        <v>3.85</v>
      </c>
      <c r="F21" s="2803">
        <v>3.85</v>
      </c>
      <c r="G21" s="2803">
        <v>3.85</v>
      </c>
      <c r="H21" s="2803">
        <v>4.6500000000000004</v>
      </c>
      <c r="I21" s="2803"/>
      <c r="J21" s="280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03"/>
      <c r="C22" s="2804">
        <v>43881</v>
      </c>
      <c r="D22" s="2803">
        <v>4.05</v>
      </c>
      <c r="E22" s="2803">
        <v>4.05</v>
      </c>
      <c r="F22" s="2803">
        <v>4.05</v>
      </c>
      <c r="G22" s="2803">
        <v>4.05</v>
      </c>
      <c r="H22" s="2803">
        <v>4.75</v>
      </c>
      <c r="I22" s="2803"/>
      <c r="J22" s="280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09"/>
      <c r="B23" s="2803"/>
      <c r="C23" s="2804">
        <v>43789</v>
      </c>
      <c r="D23" s="2803">
        <v>4.1500000000000004</v>
      </c>
      <c r="E23" s="2803">
        <v>4.1500000000000004</v>
      </c>
      <c r="F23" s="2803">
        <v>4.1500000000000004</v>
      </c>
      <c r="G23" s="2803">
        <v>4.1500000000000004</v>
      </c>
      <c r="H23" s="2803">
        <v>4.8</v>
      </c>
      <c r="I23" s="2803"/>
      <c r="J23" s="280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03"/>
      <c r="C24" s="2804">
        <v>43728</v>
      </c>
      <c r="D24" s="2803">
        <v>4.2</v>
      </c>
      <c r="E24" s="2803">
        <v>4.2</v>
      </c>
      <c r="F24" s="2803">
        <v>4.2</v>
      </c>
      <c r="G24" s="2803">
        <v>4.2</v>
      </c>
      <c r="H24" s="2803">
        <v>4.8499999999999996</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02" t="s">
        <v>2311</v>
      </c>
      <c r="C25" s="2805">
        <v>43697</v>
      </c>
      <c r="D25" s="2806">
        <v>4.25</v>
      </c>
      <c r="E25" s="2806">
        <v>4.25</v>
      </c>
      <c r="F25" s="2806">
        <v>4.25</v>
      </c>
      <c r="G25" s="2806">
        <v>4.25</v>
      </c>
      <c r="H25" s="2806">
        <v>4.8499999999999996</v>
      </c>
      <c r="I25" s="2806"/>
      <c r="J25" s="280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0"/>
      <c r="C26" s="2811">
        <v>42301</v>
      </c>
      <c r="D26" s="2812">
        <v>4.3499999999999996</v>
      </c>
      <c r="E26" s="2812">
        <v>4.3499999999999996</v>
      </c>
      <c r="F26" s="2812">
        <v>4.75</v>
      </c>
      <c r="G26" s="2812">
        <v>4.75</v>
      </c>
      <c r="H26" s="2812">
        <v>4.9000000000000004</v>
      </c>
      <c r="I26" s="2812"/>
      <c r="J26" s="2812"/>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6">
      <c r="A3" s="3464"/>
      <c r="B3" s="3464"/>
      <c r="C3" s="3464"/>
      <c r="D3" s="854" t="s">
        <v>925</v>
      </c>
      <c r="E3" s="854" t="s">
        <v>931</v>
      </c>
      <c r="F3" s="854" t="s">
        <v>925</v>
      </c>
      <c r="G3" s="854" t="s">
        <v>926</v>
      </c>
      <c r="H3" s="854" t="s">
        <v>925</v>
      </c>
      <c r="I3" s="854" t="s">
        <v>926</v>
      </c>
    </row>
    <row r="4" spans="1:9" ht="30">
      <c r="A4" s="1504"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4" t="s">
        <v>927</v>
      </c>
      <c r="B5" s="3464"/>
      <c r="C5" s="3464"/>
      <c r="D5" s="3464" t="str">
        <f>结果表!D119</f>
        <v>零元整</v>
      </c>
      <c r="E5" s="3464"/>
      <c r="F5" s="3464" t="str">
        <f>结果表!F119</f>
        <v>零元整</v>
      </c>
      <c r="G5" s="3464"/>
      <c r="H5" s="3464" t="e">
        <f ca="1">结果表!H119</f>
        <v>#REF!</v>
      </c>
      <c r="I5" s="3464"/>
    </row>
    <row r="6" spans="1:9" ht="15.6">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6">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6">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6">
      <c r="A12" s="3463" t="str">
        <f>结果表!A126</f>
        <v/>
      </c>
      <c r="B12" s="3463"/>
      <c r="C12" s="3463"/>
      <c r="D12" s="3463" t="str">
        <f>结果表!D126</f>
        <v>——</v>
      </c>
      <c r="E12" s="3463"/>
      <c r="F12" s="3463"/>
      <c r="G12" s="3463"/>
      <c r="H12" s="3463"/>
      <c r="I12" s="3463"/>
    </row>
    <row r="13" spans="1:9" ht="15.6" thickBot="1">
      <c r="A13" s="3461" t="s">
        <v>927</v>
      </c>
      <c r="B13" s="3461"/>
      <c r="C13" s="3461"/>
      <c r="D13" s="3461" t="e">
        <f>结果表!D127</f>
        <v>#VALUE!</v>
      </c>
      <c r="E13" s="3461"/>
      <c r="F13" s="3461"/>
      <c r="G13" s="3461"/>
      <c r="H13" s="3461"/>
      <c r="I13" s="3461"/>
    </row>
    <row r="14" spans="1:9" ht="14.4" thickTop="1">
      <c r="A14" s="3462" t="s">
        <v>932</v>
      </c>
      <c r="B14" s="3462"/>
      <c r="C14" s="3462"/>
      <c r="D14" s="3462"/>
      <c r="E14" s="3462"/>
      <c r="F14" s="3462"/>
      <c r="G14" s="3462"/>
      <c r="H14" s="3462"/>
      <c r="I14" s="3462"/>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76" t="s">
        <v>949</v>
      </c>
      <c r="B1" s="3476"/>
      <c r="C1" s="3476"/>
      <c r="D1" s="3476"/>
    </row>
    <row r="2" spans="1:4" ht="17.399999999999999">
      <c r="A2" s="3477" t="s">
        <v>933</v>
      </c>
      <c r="B2" s="3477"/>
      <c r="C2" s="3477"/>
      <c r="D2" s="3477"/>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77" t="s">
        <v>939</v>
      </c>
      <c r="B6" s="3477"/>
      <c r="C6" s="3477"/>
      <c r="D6" s="3477"/>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78" t="s">
        <v>942</v>
      </c>
      <c r="B11" s="3470"/>
      <c r="C11" s="3470"/>
      <c r="D11" s="3470"/>
    </row>
    <row r="12" spans="1:4" ht="15.6">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84" t="s">
        <v>956</v>
      </c>
      <c r="B15" s="3479" t="s">
        <v>109</v>
      </c>
      <c r="C15" s="3480"/>
    </row>
    <row r="16" spans="1:7" ht="14.4">
      <c r="A16" s="3485"/>
      <c r="B16" s="3479" t="s">
        <v>42</v>
      </c>
      <c r="C16" s="3480"/>
    </row>
    <row r="17" spans="1:3" ht="14.4">
      <c r="A17" s="3485"/>
      <c r="B17" s="3482" t="s">
        <v>957</v>
      </c>
      <c r="C17" s="1531" t="s">
        <v>956</v>
      </c>
    </row>
    <row r="18" spans="1:3" ht="14.4">
      <c r="A18" s="3485"/>
      <c r="B18" s="3482"/>
      <c r="C18" s="1531" t="s">
        <v>958</v>
      </c>
    </row>
    <row r="19" spans="1:3" ht="14.4">
      <c r="A19" s="3485"/>
      <c r="B19" s="3482"/>
      <c r="C19" s="1531" t="s">
        <v>959</v>
      </c>
    </row>
    <row r="20" spans="1:3" ht="14.4">
      <c r="A20" s="3486"/>
      <c r="B20" s="3481" t="s">
        <v>960</v>
      </c>
      <c r="C20" s="3480"/>
    </row>
    <row r="21" spans="1:3" ht="14.4">
      <c r="A21" s="1532" t="s">
        <v>961</v>
      </c>
      <c r="B21" s="1533"/>
      <c r="C21" s="1534"/>
    </row>
    <row r="22" spans="1:3" ht="14.4">
      <c r="A22" s="3483" t="s">
        <v>962</v>
      </c>
      <c r="B22" s="3481" t="s">
        <v>963</v>
      </c>
      <c r="C22" s="3480"/>
    </row>
    <row r="23" spans="1:3" ht="14.4">
      <c r="A23" s="3483"/>
      <c r="B23" s="3481" t="s">
        <v>964</v>
      </c>
      <c r="C23" s="3480"/>
    </row>
    <row r="24" spans="1:3" ht="14.4">
      <c r="A24" s="3483"/>
      <c r="B24" s="3481" t="s">
        <v>965</v>
      </c>
      <c r="C24" s="3480"/>
    </row>
    <row r="25" spans="1:3" ht="14.4">
      <c r="A25" s="3483"/>
      <c r="B25" s="3482" t="s">
        <v>966</v>
      </c>
      <c r="C25" s="1531" t="s">
        <v>967</v>
      </c>
    </row>
    <row r="26" spans="1:3" ht="14.4">
      <c r="A26" s="3483"/>
      <c r="B26" s="3482"/>
      <c r="C26" s="1531" t="s">
        <v>968</v>
      </c>
    </row>
    <row r="27" spans="1:3" ht="14.4">
      <c r="A27" s="3483"/>
      <c r="B27" s="3482"/>
      <c r="C27" s="1531" t="s">
        <v>969</v>
      </c>
    </row>
    <row r="28" spans="1:3" ht="14.4">
      <c r="A28" s="3483"/>
      <c r="B28" s="3482"/>
      <c r="C28" s="1531" t="s">
        <v>970</v>
      </c>
    </row>
    <row r="29" spans="1:3" ht="14.4">
      <c r="A29" s="3483"/>
      <c r="B29" s="3482"/>
      <c r="C29" s="1531" t="s">
        <v>971</v>
      </c>
    </row>
    <row r="30" spans="1:3" ht="14.4">
      <c r="A30" s="3483"/>
      <c r="B30" s="3482"/>
      <c r="C30" s="1531" t="s">
        <v>972</v>
      </c>
    </row>
    <row r="31" spans="1:3" ht="14.4">
      <c r="A31" s="3483"/>
      <c r="B31" s="3482"/>
      <c r="C31" s="1531" t="s">
        <v>973</v>
      </c>
    </row>
    <row r="32" spans="1:3" ht="14.4">
      <c r="A32" s="3483"/>
      <c r="B32" s="3482"/>
      <c r="C32" s="1531" t="s">
        <v>974</v>
      </c>
    </row>
    <row r="33" spans="1:3" ht="14.4">
      <c r="A33" s="3483"/>
      <c r="B33" s="3482"/>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45539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2"/>
      <c r="E18" s="3489" t="s">
        <v>2162</v>
      </c>
      <c r="F18" s="3488"/>
      <c r="G18" s="348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2024-09-04T05:29:53Z</dcterms:modified>
</cp:coreProperties>
</file>