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55" yWindow="45" windowWidth="14010" windowHeight="123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面积" sheetId="78" r:id="rId46"/>
    <sheet name="年期修正系数" sheetId="79"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E66" i="40"/>
  <c r="F66" i="40" s="1"/>
  <c r="G66" i="40" s="1"/>
  <c r="H66" i="40" s="1"/>
  <c r="I66" i="40" s="1"/>
  <c r="J66" i="40" s="1"/>
  <c r="K66" i="40" s="1"/>
  <c r="D66" i="40"/>
  <c r="E41" i="40"/>
  <c r="E34" i="40"/>
  <c r="E5" i="40"/>
  <c r="E7" i="40"/>
  <c r="N53" i="77"/>
  <c r="S53" i="77" s="1"/>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I41" i="40"/>
  <c r="G41" i="40"/>
  <c r="S54" i="77"/>
  <c r="S55" i="77"/>
  <c r="R54" i="77"/>
  <c r="R55" i="77"/>
  <c r="R53" i="77"/>
  <c r="N54" i="77"/>
  <c r="N55" i="77"/>
  <c r="I34" i="40"/>
  <c r="G34" i="40"/>
  <c r="C34" i="40"/>
  <c r="C10" i="40"/>
  <c r="I5" i="40"/>
  <c r="G5" i="40"/>
  <c r="I7" i="40"/>
  <c r="G7" i="40"/>
  <c r="E4" i="79"/>
  <c r="B4" i="79"/>
  <c r="B1" i="79"/>
  <c r="B12" i="79"/>
  <c r="F10" i="79"/>
  <c r="F9" i="79"/>
  <c r="C16" i="79" s="1"/>
  <c r="E12" i="78"/>
  <c r="L14" i="1"/>
  <c r="N14" i="1"/>
  <c r="N6" i="1"/>
  <c r="G19" i="6"/>
  <c r="F19" i="6"/>
  <c r="K17" i="3"/>
  <c r="I17" i="3" s="1"/>
  <c r="D3" i="4"/>
  <c r="B13" i="79" l="1"/>
  <c r="C4" i="79"/>
  <c r="D4" i="79" s="1"/>
  <c r="C5" i="79"/>
  <c r="D5" i="79" s="1"/>
  <c r="C3" i="79"/>
  <c r="D3" i="79" s="1"/>
  <c r="B16" i="79"/>
  <c r="C13" i="79"/>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W38" i="40"/>
  <c r="S17"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c r="BL17" i="3"/>
  <c r="AZ17" i="3"/>
  <c r="BL13" i="3"/>
  <c r="E65" i="39"/>
  <c r="G30" i="6"/>
  <c r="G31" i="6"/>
  <c r="J56" i="9"/>
  <c r="J57" i="9" s="1"/>
  <c r="J59" i="9" s="1"/>
  <c r="J61" i="9" s="1"/>
  <c r="A24" i="51"/>
  <c r="B18" i="72" s="1"/>
  <c r="U29" i="34"/>
  <c r="E14" i="6"/>
  <c r="E64" i="39"/>
  <c r="E5" i="6"/>
  <c r="D9" i="11"/>
  <c r="C9" i="11" s="1"/>
  <c r="E32" i="6"/>
  <c r="L19" i="6"/>
  <c r="G1" i="68"/>
  <c r="K1" i="12"/>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c r="S8" i="1"/>
  <c r="AQ8" i="1" s="1"/>
  <c r="K11" i="1"/>
  <c r="M11" i="1" s="1"/>
  <c r="O11" i="1" s="1"/>
  <c r="AP6" i="1"/>
  <c r="B9" i="1"/>
  <c r="E9" i="1"/>
  <c r="K7" i="1"/>
  <c r="Q16" i="1" s="1"/>
  <c r="G1" i="15"/>
  <c r="G1" i="69"/>
  <c r="G1" i="67"/>
  <c r="W23" i="40"/>
  <c r="U32" i="40"/>
  <c r="S37" i="40"/>
  <c r="AB28" i="40"/>
  <c r="W28" i="40"/>
  <c r="W34" i="40"/>
  <c r="W19"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Z13" i="3"/>
  <c r="M6" i="1"/>
  <c r="O6" i="1" s="1"/>
  <c r="F31" i="12"/>
  <c r="F28" i="15"/>
  <c r="C28" i="15" s="1"/>
  <c r="E63" i="39"/>
  <c r="T11" i="1"/>
  <c r="D9" i="69"/>
  <c r="C9" i="69" s="1"/>
  <c r="D19" i="12"/>
  <c r="C19" i="12" s="1"/>
  <c r="AR11" i="1"/>
  <c r="E59" i="40"/>
  <c r="E30" i="6"/>
  <c r="T9" i="1"/>
  <c r="E16"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G17" i="43" s="1"/>
  <c r="C16" i="43" s="1"/>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C94" i="9"/>
  <c r="C92" i="9"/>
  <c r="F14" i="71"/>
  <c r="F13" i="71"/>
  <c r="Y13" i="71"/>
  <c r="Z13" i="71" s="1"/>
  <c r="X3" i="71"/>
  <c r="C14" i="71"/>
  <c r="E14" i="71"/>
  <c r="E13" i="71"/>
  <c r="G20" i="43"/>
  <c r="E68" i="39"/>
  <c r="F68" i="39" s="1"/>
  <c r="V13" i="71"/>
  <c r="C13" i="71"/>
  <c r="D14" i="71"/>
  <c r="E41" i="43"/>
  <c r="C41" i="43"/>
  <c r="I59" i="34"/>
  <c r="J59" i="34" s="1"/>
  <c r="D11" i="71"/>
  <c r="T13" i="71"/>
  <c r="D12" i="71"/>
  <c r="D13" i="71"/>
  <c r="U13" i="71"/>
  <c r="D9" i="68"/>
  <c r="AO9" i="1"/>
  <c r="F9" i="67"/>
  <c r="F8" i="15"/>
  <c r="B13" i="76"/>
  <c r="E10" i="76"/>
  <c r="D7" i="73"/>
  <c r="C76" i="15"/>
  <c r="M29" i="67"/>
  <c r="F40" i="67"/>
  <c r="E11" i="76"/>
  <c r="F37" i="67"/>
  <c r="L48" i="67"/>
  <c r="F8" i="67"/>
  <c r="L48" i="15"/>
  <c r="M6" i="15"/>
  <c r="AO7" i="1"/>
  <c r="F7" i="67"/>
  <c r="F9" i="15"/>
  <c r="M9" i="67"/>
  <c r="F26" i="15"/>
  <c r="M24" i="15"/>
  <c r="D3" i="73"/>
  <c r="E7" i="76"/>
  <c r="D2" i="35"/>
  <c r="B10" i="76"/>
  <c r="M9" i="15"/>
  <c r="L47" i="67"/>
  <c r="F4" i="73"/>
  <c r="B8" i="76"/>
  <c r="F7" i="15"/>
  <c r="M23" i="67"/>
  <c r="M26" i="15"/>
  <c r="M29" i="15"/>
  <c r="M8" i="67"/>
  <c r="F16" i="67"/>
  <c r="AO11" i="1"/>
  <c r="F35" i="67"/>
  <c r="M22" i="15"/>
  <c r="M8" i="15"/>
  <c r="L47" i="15"/>
  <c r="F38" i="67"/>
  <c r="M24" i="67"/>
  <c r="F42" i="15"/>
  <c r="B12" i="76"/>
  <c r="J15" i="15"/>
  <c r="F37" i="15"/>
  <c r="F13" i="15"/>
  <c r="F6" i="73"/>
  <c r="F20" i="31"/>
  <c r="F42" i="67"/>
  <c r="M21" i="67"/>
  <c r="M23" i="15"/>
  <c r="M28" i="67"/>
  <c r="D2" i="36"/>
  <c r="B7" i="76"/>
  <c r="E2" i="68"/>
  <c r="E8" i="76"/>
  <c r="M27" i="15"/>
  <c r="F38" i="15"/>
  <c r="D6" i="73"/>
  <c r="D2" i="34"/>
  <c r="AO13" i="1"/>
  <c r="M22" i="67"/>
  <c r="B11" i="76"/>
  <c r="M28" i="15"/>
  <c r="M27" i="67"/>
  <c r="F7" i="73"/>
  <c r="F6" i="15"/>
  <c r="F6" i="67"/>
  <c r="D4" i="73"/>
  <c r="F43" i="67"/>
  <c r="F3" i="73"/>
  <c r="F40" i="15"/>
  <c r="AO12" i="1"/>
  <c r="F41" i="67"/>
  <c r="AO10" i="1"/>
  <c r="E13" i="76"/>
  <c r="F16" i="15"/>
  <c r="B9" i="76"/>
  <c r="M26" i="67"/>
  <c r="D5" i="73"/>
  <c r="D2" i="33"/>
  <c r="F36" i="67"/>
  <c r="M6" i="67"/>
  <c r="E9" i="76"/>
  <c r="E12" i="76"/>
  <c r="D2" i="37"/>
  <c r="C76" i="67"/>
  <c r="D2" i="21"/>
  <c r="J15" i="67"/>
  <c r="F43" i="15"/>
  <c r="F36" i="15"/>
  <c r="F13" i="67"/>
  <c r="F26" i="67"/>
  <c r="AO8" i="1"/>
  <c r="E2" i="69"/>
  <c r="F5" i="73"/>
  <c r="M7" i="1" l="1"/>
  <c r="O7" i="1" s="1"/>
  <c r="C36" i="69"/>
  <c r="L27" i="6"/>
  <c r="C9" i="68"/>
  <c r="P61" i="15"/>
  <c r="W35" i="40"/>
  <c r="U23" i="40"/>
  <c r="U25" i="40"/>
  <c r="S25" i="40"/>
  <c r="W25" i="40"/>
  <c r="AC36" i="40"/>
  <c r="W33" i="40"/>
  <c r="AC33" i="40"/>
  <c r="AB27" i="40"/>
  <c r="U27" i="40"/>
  <c r="W31" i="40"/>
  <c r="AC31" i="40"/>
  <c r="U30" i="40"/>
  <c r="AB31" i="40"/>
  <c r="AA32" i="40"/>
  <c r="F27" i="40"/>
  <c r="J27" i="40"/>
  <c r="AB33" i="40"/>
  <c r="S23" i="40"/>
  <c r="S21" i="40"/>
  <c r="F76" i="40"/>
  <c r="G76" i="40" s="1"/>
  <c r="H76" i="40" s="1"/>
  <c r="I76" i="40" s="1"/>
  <c r="J76" i="40" s="1"/>
  <c r="K76" i="40" s="1"/>
  <c r="L76" i="40" s="1"/>
  <c r="M76" i="40" s="1"/>
  <c r="U35" i="40"/>
  <c r="AA9" i="40"/>
  <c r="AC9" i="40"/>
  <c r="D68" i="9"/>
  <c r="M18" i="67"/>
  <c r="F30" i="68"/>
  <c r="C31" i="12"/>
  <c r="C24" i="12"/>
  <c r="F54" i="9"/>
  <c r="M18" i="15"/>
  <c r="F32" i="15"/>
  <c r="F60" i="15" s="1"/>
  <c r="F30" i="69"/>
  <c r="F32" i="67"/>
  <c r="F60" i="67" s="1"/>
  <c r="F52" i="9"/>
  <c r="F28" i="67"/>
  <c r="C28" i="67" s="1"/>
  <c r="F30" i="11"/>
  <c r="F53" i="9"/>
  <c r="C21" i="68"/>
  <c r="D22" i="67"/>
  <c r="T7" i="1"/>
  <c r="AQ7" i="1"/>
  <c r="T13" i="1"/>
  <c r="AQ9" i="1"/>
  <c r="AQ13" i="1"/>
  <c r="AR10" i="1"/>
  <c r="C34" i="69"/>
  <c r="C35" i="69" s="1"/>
  <c r="H16" i="1"/>
  <c r="BL5" i="3"/>
  <c r="F31" i="6"/>
  <c r="G18" i="3"/>
  <c r="O14" i="1"/>
  <c r="M16" i="1"/>
  <c r="F27" i="69"/>
  <c r="F45" i="69" s="1"/>
  <c r="F27" i="11"/>
  <c r="F28" i="12"/>
  <c r="C29" i="12" s="1"/>
  <c r="D28" i="12" s="1"/>
  <c r="C36" i="11"/>
  <c r="P7" i="1"/>
  <c r="E66" i="39"/>
  <c r="P6" i="1"/>
  <c r="K16" i="1"/>
  <c r="P14" i="1"/>
  <c r="P11" i="1"/>
  <c r="O12" i="1"/>
  <c r="P12" i="1" s="1"/>
  <c r="AZ18" i="3"/>
  <c r="AZ22" i="3"/>
  <c r="BA5" i="3"/>
  <c r="E27" i="6" s="1"/>
  <c r="AR8" i="1"/>
  <c r="T8" i="1"/>
  <c r="O9" i="1"/>
  <c r="P9" i="1" s="1"/>
  <c r="O8" i="1"/>
  <c r="P8"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D5" i="43"/>
  <c r="C35" i="43" s="1"/>
  <c r="E35" i="43" s="1"/>
  <c r="C5" i="43"/>
  <c r="H75" i="43"/>
  <c r="A19" i="51"/>
  <c r="B14" i="72" s="1"/>
  <c r="T35" i="4"/>
  <c r="I14" i="74"/>
  <c r="B8" i="74" s="1"/>
  <c r="D127" i="9"/>
  <c r="D13" i="52" s="1"/>
  <c r="D12" i="52"/>
  <c r="D10" i="52"/>
  <c r="D125" i="9"/>
  <c r="D11" i="52" s="1"/>
  <c r="H14" i="74"/>
  <c r="B7" i="74" s="1"/>
  <c r="D19" i="53"/>
  <c r="D17" i="53"/>
  <c r="B36" i="72" s="1"/>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34" i="68"/>
  <c r="F27" i="68"/>
  <c r="C16" i="67"/>
  <c r="G1" i="73"/>
  <c r="C17" i="67"/>
  <c r="C16" i="15"/>
  <c r="C14" i="67"/>
  <c r="F45" i="68" l="1"/>
  <c r="C29" i="68"/>
  <c r="D27" i="68" s="1"/>
  <c r="AA27" i="40"/>
  <c r="S27" i="40"/>
  <c r="W27" i="40"/>
  <c r="AC27" i="40"/>
  <c r="F48" i="68"/>
  <c r="C30" i="68"/>
  <c r="C48" i="68"/>
  <c r="C48" i="11"/>
  <c r="C30" i="11"/>
  <c r="F48" i="69"/>
  <c r="C48" i="69"/>
  <c r="C30" i="69"/>
  <c r="C47" i="68"/>
  <c r="D45" i="68" s="1"/>
  <c r="C38" i="69"/>
  <c r="C34" i="11"/>
  <c r="C38" i="11" s="1"/>
  <c r="C47" i="69"/>
  <c r="D45" i="69" s="1"/>
  <c r="C38" i="68"/>
  <c r="C35" i="68"/>
  <c r="C29" i="69"/>
  <c r="D27" i="69" s="1"/>
  <c r="E18" i="3"/>
  <c r="G5" i="3"/>
  <c r="B3" i="3" s="1"/>
  <c r="D22" i="43"/>
  <c r="N16" i="1"/>
  <c r="L16" i="1"/>
  <c r="C47" i="11"/>
  <c r="D45" i="11" s="1"/>
  <c r="C29" i="11"/>
  <c r="D27" i="11" s="1"/>
  <c r="O16" i="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AZ5" i="3"/>
  <c r="P16" i="1"/>
  <c r="C11" i="12" s="1"/>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3"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G35" i="43"/>
  <c r="I35" i="43" s="1"/>
  <c r="H7" i="36"/>
  <c r="F7" i="34"/>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U10" i="39" l="1"/>
  <c r="E6" i="70"/>
  <c r="E2" i="70" s="1"/>
  <c r="C35" i="11"/>
  <c r="AC10" i="40"/>
  <c r="U10" i="40"/>
  <c r="S16" i="1"/>
  <c r="AR6" i="1"/>
  <c r="AQ6" i="1"/>
  <c r="T6" i="1"/>
  <c r="E237" i="3"/>
  <c r="E69" i="3"/>
  <c r="E278" i="3"/>
  <c r="E563" i="3"/>
  <c r="E172" i="3"/>
  <c r="E445" i="3"/>
  <c r="E535" i="3"/>
  <c r="E114" i="3"/>
  <c r="E415" i="3"/>
  <c r="E395" i="3"/>
  <c r="E260" i="3"/>
  <c r="E550"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583" i="3"/>
  <c r="X6" i="3"/>
  <c r="E336" i="3"/>
  <c r="E246" i="3"/>
  <c r="E293" i="3"/>
  <c r="E311" i="3"/>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47" i="3"/>
  <c r="AA6" i="3"/>
  <c r="E399" i="3"/>
  <c r="E280" i="3"/>
  <c r="E124" i="3"/>
  <c r="E358"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E262" i="3"/>
  <c r="E196" i="3"/>
  <c r="E136" i="3"/>
  <c r="E156" i="3"/>
  <c r="E236" i="3"/>
  <c r="E148" i="3"/>
  <c r="F50" i="69"/>
  <c r="F50" i="68"/>
  <c r="F50" i="11"/>
  <c r="AY6" i="3"/>
  <c r="E3" i="6"/>
  <c r="C15" i="12"/>
  <c r="C12" i="12"/>
  <c r="M19" i="6"/>
  <c r="K27" i="6"/>
  <c r="S6" i="43"/>
  <c r="T6" i="43" s="1"/>
  <c r="V6" i="43" s="1"/>
  <c r="S7" i="43"/>
  <c r="T7" i="43" s="1"/>
  <c r="V7" i="43" s="1"/>
  <c r="S3" i="43"/>
  <c r="T3" i="43" s="1"/>
  <c r="V3" i="43" s="1"/>
  <c r="S5" i="43"/>
  <c r="T5" i="43" s="1"/>
  <c r="V5" i="43" s="1"/>
  <c r="S4" i="43"/>
  <c r="T4" i="43" s="1"/>
  <c r="V4" i="43" s="1"/>
  <c r="S2" i="43"/>
  <c r="T2" i="43" s="1"/>
  <c r="V2" i="43" s="1"/>
  <c r="C23" i="43"/>
  <c r="C21" i="43" s="1"/>
  <c r="C29" i="43" s="1"/>
  <c r="C26" i="43"/>
  <c r="C115" i="43"/>
  <c r="D113"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5" i="15"/>
  <c r="C18" i="15"/>
  <c r="C19" i="15"/>
  <c r="C20" i="15" s="1"/>
  <c r="C26" i="15" s="1"/>
  <c r="T16" i="1"/>
  <c r="AC6" i="3"/>
  <c r="E6" i="3" s="1"/>
  <c r="I19" i="6"/>
  <c r="M27" i="6"/>
  <c r="D3" i="21"/>
  <c r="D19" i="11"/>
  <c r="C19" i="11" s="1"/>
  <c r="C17" i="4"/>
  <c r="B4" i="52" s="1"/>
  <c r="B43" i="72" s="1"/>
  <c r="L18" i="9"/>
  <c r="D3" i="37"/>
  <c r="D3" i="34"/>
  <c r="E6" i="6"/>
  <c r="D14" i="12"/>
  <c r="D3" i="33"/>
  <c r="D37" i="11"/>
  <c r="C37" i="11" s="1"/>
  <c r="C33" i="11" s="1"/>
  <c r="C39" i="11" s="1"/>
  <c r="C46" i="11" s="1"/>
  <c r="C45"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98" i="3"/>
  <c r="AY18" i="3"/>
  <c r="AY171" i="3"/>
  <c r="AY90" i="3"/>
  <c r="AY163" i="3"/>
  <c r="AY75" i="3"/>
  <c r="AY237" i="3"/>
  <c r="AY387"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112" i="3"/>
  <c r="AY81" i="3"/>
  <c r="AY49"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B6" i="76"/>
  <c r="E6" i="76"/>
  <c r="D19" i="6" l="1"/>
  <c r="D26" i="6"/>
  <c r="C18" i="4"/>
  <c r="D8" i="6"/>
  <c r="D23" i="6"/>
  <c r="D14" i="6"/>
  <c r="D5" i="6"/>
  <c r="D12" i="6"/>
  <c r="D11" i="6"/>
  <c r="D13" i="6"/>
  <c r="D28" i="6"/>
  <c r="D30" i="6" s="1"/>
  <c r="E61" i="40"/>
  <c r="H22" i="6"/>
  <c r="H21" i="6"/>
  <c r="H24" i="6"/>
  <c r="H20" i="6"/>
  <c r="M19" i="9"/>
  <c r="C118" i="9" s="1"/>
  <c r="C14" i="74" s="1"/>
  <c r="B2" i="74" s="1"/>
  <c r="D25" i="6"/>
  <c r="D15" i="6"/>
  <c r="D22" i="6"/>
  <c r="D21" i="6"/>
  <c r="D24" i="6"/>
  <c r="D20" i="6"/>
  <c r="D6" i="6"/>
  <c r="D9" i="6"/>
  <c r="D10" i="6"/>
  <c r="L19" i="9"/>
  <c r="D29" i="6"/>
  <c r="H25" i="6"/>
  <c r="R25" i="6" s="1"/>
  <c r="H23" i="6"/>
  <c r="H26" i="6"/>
  <c r="H19" i="6"/>
  <c r="D17" i="12"/>
  <c r="C17" i="12" s="1"/>
  <c r="C14" i="12"/>
  <c r="C16" i="12" s="1"/>
  <c r="C20" i="11"/>
  <c r="C25" i="11" s="1"/>
  <c r="C22" i="11" s="1"/>
  <c r="C7" i="74"/>
  <c r="C8" i="74"/>
  <c r="D10" i="11"/>
  <c r="C10" i="11" s="1"/>
  <c r="D20" i="12"/>
  <c r="C20" i="12" s="1"/>
  <c r="D10" i="69"/>
  <c r="S19" i="6"/>
  <c r="S27" i="6" s="1"/>
  <c r="I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36" i="15"/>
  <c r="C33" i="15"/>
  <c r="C13" i="15"/>
  <c r="Q49" i="15"/>
  <c r="J19" i="15"/>
  <c r="J59" i="15"/>
  <c r="J60" i="15" s="1"/>
  <c r="C41" i="11"/>
  <c r="C49" i="11" s="1"/>
  <c r="C51" i="11" s="1"/>
  <c r="C36" i="67"/>
  <c r="C33" i="67"/>
  <c r="C31" i="67" s="1"/>
  <c r="J14" i="67"/>
  <c r="C13" i="67"/>
  <c r="J19" i="67"/>
  <c r="J17" i="67" s="1"/>
  <c r="C57" i="67"/>
  <c r="Q49" i="67"/>
  <c r="J59" i="67"/>
  <c r="J60" i="67" s="1"/>
  <c r="D10" i="68"/>
  <c r="H27" i="6" l="1"/>
  <c r="B3" i="76"/>
  <c r="R20" i="6"/>
  <c r="R21" i="6"/>
  <c r="D16" i="6"/>
  <c r="R22" i="6"/>
  <c r="C10" i="68"/>
  <c r="D19" i="68"/>
  <c r="C28" i="11"/>
  <c r="C27" i="11" s="1"/>
  <c r="C31" i="11" s="1"/>
  <c r="C52" i="11" s="1"/>
  <c r="B2" i="11" s="1"/>
  <c r="B3" i="11" s="1"/>
  <c r="R26" i="6"/>
  <c r="C10" i="69"/>
  <c r="C8" i="69" s="1"/>
  <c r="C5" i="69" s="1"/>
  <c r="D19" i="69"/>
  <c r="D7" i="74"/>
  <c r="D8" i="74"/>
  <c r="R24" i="6"/>
  <c r="R23" i="6"/>
  <c r="A7" i="51"/>
  <c r="B7" i="72" s="1"/>
  <c r="C4" i="52"/>
  <c r="B45" i="72" s="1"/>
  <c r="A10" i="51"/>
  <c r="B9" i="72" s="1"/>
  <c r="D27" i="6"/>
  <c r="D31" i="6" s="1"/>
  <c r="R19" i="6"/>
  <c r="K70" i="39"/>
  <c r="L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R27" i="6" l="1"/>
  <c r="R6" i="1"/>
  <c r="I6" i="6"/>
  <c r="C11" i="40" s="1"/>
  <c r="I5" i="6"/>
  <c r="C23" i="69"/>
  <c r="C19" i="69"/>
  <c r="C24" i="69" s="1"/>
  <c r="D37" i="69"/>
  <c r="C37" i="69" s="1"/>
  <c r="C33" i="69" s="1"/>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M21" i="15"/>
  <c r="J11" i="40" l="1"/>
  <c r="F11" i="40"/>
  <c r="H11" i="40"/>
  <c r="J20" i="15"/>
  <c r="J17" i="15" s="1"/>
  <c r="J16" i="15" s="1"/>
  <c r="J25" i="15" s="1"/>
  <c r="C34" i="15"/>
  <c r="C31" i="15" s="1"/>
  <c r="C30" i="15" s="1"/>
  <c r="C39" i="15" s="1"/>
  <c r="F63" i="15"/>
  <c r="C62" i="15" s="1"/>
  <c r="C59" i="15" s="1"/>
  <c r="C58" i="15" s="1"/>
  <c r="C67" i="15" s="1"/>
  <c r="C68" i="15" s="1"/>
  <c r="C71" i="15" s="1"/>
  <c r="R16" i="1"/>
  <c r="C39" i="68"/>
  <c r="C42" i="68"/>
  <c r="C39" i="69"/>
  <c r="C43" i="69" s="1"/>
  <c r="C42" i="69"/>
  <c r="C24" i="68"/>
  <c r="C20" i="69"/>
  <c r="J7" i="35"/>
  <c r="W7" i="35"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AA11" i="40" l="1"/>
  <c r="S11" i="40"/>
  <c r="AB11" i="40"/>
  <c r="U11" i="40"/>
  <c r="W11" i="40"/>
  <c r="AC11" i="40"/>
  <c r="L57" i="15"/>
  <c r="L60" i="15" s="1"/>
  <c r="L46" i="15" s="1"/>
  <c r="Q67" i="15"/>
  <c r="C40" i="15"/>
  <c r="Q69" i="15"/>
  <c r="Q68" i="15" s="1"/>
  <c r="C80" i="15"/>
  <c r="C79" i="15" s="1"/>
  <c r="C41" i="69"/>
  <c r="C46" i="69"/>
  <c r="C45" i="69" s="1"/>
  <c r="C28" i="69"/>
  <c r="C27" i="69" s="1"/>
  <c r="C25" i="69"/>
  <c r="C22" i="69" s="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B2" i="15" l="1"/>
  <c r="Q56" i="15"/>
  <c r="C43" i="15"/>
  <c r="C83" i="15"/>
  <c r="C82" i="15" s="1"/>
  <c r="Q65" i="15"/>
  <c r="Q47" i="15"/>
  <c r="Q53" i="15" s="1"/>
  <c r="C46" i="15"/>
  <c r="Q57" i="15"/>
  <c r="Q62" i="15" s="1"/>
  <c r="Q75" i="15"/>
  <c r="C49" i="69"/>
  <c r="C51" i="69" s="1"/>
  <c r="C49" i="68"/>
  <c r="C51" i="68" s="1"/>
  <c r="C31" i="69"/>
  <c r="H7" i="39"/>
  <c r="J7" i="39"/>
  <c r="AA7" i="39"/>
  <c r="R47" i="39" s="1"/>
  <c r="S7" i="39"/>
  <c r="R39" i="35"/>
  <c r="E38" i="35"/>
  <c r="M63" i="40"/>
  <c r="L65" i="40"/>
  <c r="AO6" i="1"/>
  <c r="B6" i="70" l="1"/>
  <c r="B2" i="70" s="1"/>
  <c r="B3" i="70" s="1"/>
  <c r="B3" i="15"/>
  <c r="C52" i="69"/>
  <c r="B2" i="69" s="1"/>
  <c r="B3" i="69" s="1"/>
  <c r="E47" i="39"/>
  <c r="R48" i="39"/>
  <c r="W7" i="39"/>
  <c r="AC7" i="39"/>
  <c r="V47" i="39" s="1"/>
  <c r="I47" i="39" s="1"/>
  <c r="U7" i="39"/>
  <c r="AB7" i="39"/>
  <c r="T47" i="39" s="1"/>
  <c r="G47" i="39" s="1"/>
  <c r="C39" i="35"/>
  <c r="B2" i="35" s="1"/>
  <c r="B3" i="35" s="1"/>
  <c r="C38" i="35"/>
  <c r="N63" i="40"/>
  <c r="M65" i="40"/>
  <c r="E43" i="35"/>
  <c r="F43" i="35" s="1"/>
  <c r="E42" i="35"/>
  <c r="F42" i="35" s="1"/>
  <c r="I43" i="35"/>
  <c r="J43" i="35" s="1"/>
  <c r="C57" i="69" l="1"/>
  <c r="C56" i="6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B29" i="1"/>
  <c r="C8" i="68" l="1"/>
  <c r="C5" i="68" s="1"/>
  <c r="C18" i="12"/>
  <c r="C21" i="12" s="1"/>
  <c r="C23" i="68" l="1"/>
  <c r="C20" i="68"/>
  <c r="C25" i="68" s="1"/>
  <c r="C22" i="12"/>
  <c r="C30" i="12" s="1"/>
  <c r="C28" i="12" s="1"/>
  <c r="C28" i="68" l="1"/>
  <c r="C27" i="68" s="1"/>
  <c r="C27" i="12"/>
  <c r="C25" i="12" s="1"/>
  <c r="C32" i="12" s="1"/>
  <c r="B2" i="12" s="1"/>
  <c r="B3" i="12" s="1"/>
  <c r="C22" i="68"/>
  <c r="C31" i="68" l="1"/>
  <c r="C52" i="68" s="1"/>
  <c r="B2" i="68" s="1"/>
  <c r="C19" i="9"/>
  <c r="D19" i="9"/>
  <c r="C57" i="68" l="1"/>
  <c r="C56" i="68" s="1"/>
  <c r="D21" i="9"/>
  <c r="D102" i="9"/>
  <c r="G19" i="9"/>
  <c r="G21" i="9" s="1"/>
  <c r="D22" i="9"/>
  <c r="C102" i="9"/>
  <c r="C21" i="9"/>
  <c r="B3" i="68"/>
  <c r="D20" i="9"/>
  <c r="D34" i="9"/>
  <c r="D35" i="9"/>
  <c r="C20" i="9"/>
  <c r="D103" i="9" l="1"/>
  <c r="G20" i="9"/>
  <c r="C32" i="9" s="1"/>
  <c r="C103" i="9"/>
  <c r="C35" i="9" l="1"/>
  <c r="C34" i="9" s="1"/>
  <c r="D118" i="9" l="1"/>
  <c r="D4" i="52" s="1"/>
  <c r="B47" i="72" s="1"/>
  <c r="F118" i="9"/>
  <c r="F4" i="52" s="1"/>
  <c r="B51" i="72" s="1"/>
  <c r="H118" i="9"/>
  <c r="C104" i="9" s="1"/>
  <c r="F119" i="9" l="1"/>
  <c r="F5" i="52" s="1"/>
  <c r="B53" i="72" s="1"/>
  <c r="G118" i="9"/>
  <c r="G4" i="52" s="1"/>
  <c r="B52" i="72" s="1"/>
  <c r="H101" i="9"/>
  <c r="I118" i="9"/>
  <c r="D119" i="9"/>
  <c r="D5" i="52" s="1"/>
  <c r="B49" i="72" s="1"/>
  <c r="H4" i="52"/>
  <c r="H119" i="9"/>
  <c r="H5" i="52" s="1"/>
  <c r="D14" i="74"/>
  <c r="F14" i="74" l="1"/>
  <c r="E14" i="74"/>
  <c r="B5" i="74"/>
  <c r="C105" i="9"/>
  <c r="I4" i="52"/>
  <c r="H102" i="9"/>
  <c r="D7" i="53" s="1"/>
  <c r="B21" i="72" s="1"/>
  <c r="E118" i="9"/>
  <c r="E4" i="52" s="1"/>
  <c r="B48" i="72" s="1"/>
  <c r="H107" i="9"/>
  <c r="M48" i="9"/>
  <c r="D5" i="53"/>
  <c r="D45" i="9"/>
  <c r="H108" i="9" l="1"/>
  <c r="D15" i="53" s="1"/>
  <c r="B31" i="72" s="1"/>
  <c r="D122" i="9"/>
  <c r="D13" i="53"/>
  <c r="M49" i="9"/>
  <c r="B20" i="72"/>
  <c r="D6" i="53"/>
  <c r="B22" i="72" s="1"/>
  <c r="D53" i="9"/>
  <c r="C93" i="9"/>
  <c r="C86" i="9" s="1"/>
  <c r="C78" i="9"/>
  <c r="C73" i="9" s="1"/>
  <c r="C85" i="9"/>
  <c r="D52" i="9"/>
  <c r="C64" i="9"/>
  <c r="C63" i="9" s="1"/>
  <c r="C67" i="9" s="1"/>
  <c r="C72" i="9"/>
  <c r="C79" i="9" s="1"/>
  <c r="D55" i="9"/>
  <c r="M53" i="9" s="1"/>
  <c r="D5" i="74"/>
  <c r="C5" i="74"/>
  <c r="C95" i="9" l="1"/>
  <c r="L63" i="9"/>
  <c r="M63" i="9" s="1"/>
  <c r="L64" i="9"/>
  <c r="M64" i="9" s="1"/>
  <c r="L65" i="9"/>
  <c r="M65" i="9" s="1"/>
  <c r="L68" i="9"/>
  <c r="M68" i="9" s="1"/>
  <c r="L67" i="9"/>
  <c r="M67" i="9" s="1"/>
  <c r="L66" i="9"/>
  <c r="M66" i="9" s="1"/>
  <c r="G14" i="74"/>
  <c r="B6" i="74" s="1"/>
  <c r="D123" i="9"/>
  <c r="D9" i="52" s="1"/>
  <c r="D8" i="52"/>
  <c r="D59" i="9"/>
  <c r="M55" i="9" s="1"/>
  <c r="C68" i="9"/>
  <c r="D54" i="9" s="1"/>
  <c r="C96" i="9"/>
  <c r="E96" i="9" s="1"/>
  <c r="E97" i="9" s="1"/>
  <c r="C80" i="9"/>
  <c r="E80" i="9" s="1"/>
  <c r="E81" i="9" s="1"/>
  <c r="B30" i="72"/>
  <c r="D14" i="53"/>
  <c r="B32" i="72" s="1"/>
  <c r="C97" i="9" l="1"/>
  <c r="D58" i="9" s="1"/>
  <c r="D56" i="9" s="1"/>
  <c r="M54" i="9" s="1"/>
  <c r="N57" i="9" s="1"/>
  <c r="P57" i="9" s="1"/>
  <c r="C81" i="9"/>
  <c r="C6" i="74"/>
  <c r="D6" i="74"/>
  <c r="M69" i="9"/>
  <c r="N69"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<sst xmlns="http://schemas.openxmlformats.org/spreadsheetml/2006/main" count="7963" uniqueCount="3317">
  <si>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</si>
  <si>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</si>
  <si>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</si>
  <si>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</si>
  <si>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</si>
  <si>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</si>
  <si>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</si>
  <si>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</si>
  <si>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</si>
  <si>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</si>
  <si>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</si>
  <si>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</si>
  <si>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</si>
  <si>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</si>
  <si>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</si>
  <si>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</si>
  <si>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</si>
  <si>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</si>
  <si>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</si>
  <si>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</si>
  <si>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</si>
  <si>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</si>
  <si>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</si>
  <si>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</si>
  <si>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</si>
  <si>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</si>
  <si>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</si>
  <si>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</si>
  <si>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</si>
  <si>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</si>
  <si>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</si>
  <si>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</si>
  <si>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</si>
  <si>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</si>
  <si>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</si>
  <si>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</si>
  <si>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</si>
  <si>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</si>
  <si>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</si>
  <si>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</si>
  <si>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</si>
  <si>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</si>
  <si>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</si>
  <si>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</si>
  <si>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</si>
  <si>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</si>
  <si>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</si>
  <si>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</si>
  <si>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</si>
  <si>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</si>
  <si>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</si>
  <si>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</si>
  <si>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</si>
  <si>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</si>
  <si>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</si>
  <si>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</si>
  <si>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</si>
  <si>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</si>
  <si>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</si>
  <si>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</si>
  <si>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</si>
  <si>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</si>
  <si>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</si>
  <si>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</si>
  <si>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</si>
  <si>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</si>
  <si>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</si>
  <si>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</si>
  <si>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</si>
  <si>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</si>
  <si>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</si>
  <si>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</si>
  <si>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</si>
  <si>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</si>
  <si>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</si>
  <si>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</si>
  <si>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</si>
  <si>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</si>
  <si>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</si>
  <si>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</si>
  <si>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</si>
  <si>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</si>
  <si>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</si>
  <si>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</si>
  <si>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</si>
  <si>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</si>
  <si>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</si>
  <si>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</si>
  <si>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</si>
  <si>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</si>
  <si>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</si>
  <si>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</si>
  <si>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</si>
  <si>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</si>
  <si>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</si>
  <si>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</si>
  <si>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</si>
  <si>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</si>
  <si>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</si>
  <si>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</si>
  <si>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</si>
  <si>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</si>
  <si>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</si>
  <si>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</si>
  <si>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</si>
  <si>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</si>
  <si>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</si>
  <si>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</si>
  <si>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</si>
  <si>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</si>
  <si>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</si>
  <si>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</si>
  <si>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</si>
  <si>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</si>
  <si>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</si>
  <si>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</si>
  <si>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</si>
  <si>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</si>
  <si>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</si>
  <si>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</si>
  <si>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</si>
  <si>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</si>
  <si>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</si>
  <si>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</si>
  <si>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</si>
  <si>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</si>
  <si>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</si>
  <si>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</si>
  <si>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</si>
  <si>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</si>
  <si>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</si>
  <si>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</si>
  <si>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</si>
  <si>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</si>
  <si>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</si>
  <si>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</si>
  <si>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</si>
  <si>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</si>
  <si>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</si>
  <si>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</si>
  <si>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</si>
  <si>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</si>
  <si>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</si>
  <si>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</si>
  <si>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</si>
  <si>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</si>
  <si>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</si>
  <si>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</si>
  <si>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</si>
  <si>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</si>
  <si>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</si>
  <si>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</si>
  <si>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</si>
  <si>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</si>
  <si>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</si>
  <si>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</si>
  <si>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</si>
  <si>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</si>
  <si>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</si>
  <si>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</si>
  <si>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</si>
  <si>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</si>
  <si>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</si>
  <si>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</si>
  <si>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</si>
  <si>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</si>
  <si>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</si>
  <si>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</si>
  <si>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</si>
  <si>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</si>
  <si>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</si>
  <si>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</si>
  <si>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</si>
  <si>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</si>
  <si>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</si>
  <si>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</si>
  <si>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</si>
  <si>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</si>
  <si>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</si>
  <si>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</si>
  <si>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</si>
  <si>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</si>
  <si>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</si>
  <si>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</si>
  <si>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</si>
  <si>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</si>
  <si>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</si>
  <si>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</si>
  <si>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</si>
  <si>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</si>
  <si>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</si>
  <si>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</si>
  <si>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</si>
  <si>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</si>
  <si>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</si>
  <si>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</si>
  <si>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</si>
  <si>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</si>
  <si>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</si>
  <si>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</si>
  <si>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</si>
  <si>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</si>
  <si>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</si>
  <si>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</si>
  <si>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</si>
  <si>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</si>
  <si>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</si>
  <si>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</si>
  <si>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</si>
  <si>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</si>
  <si>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</si>
  <si>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</si>
  <si>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</si>
  <si>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</si>
  <si>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</si>
  <si>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</si>
  <si>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</si>
  <si>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</si>
  <si>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</si>
  <si>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</si>
  <si>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</si>
  <si>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</si>
  <si>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</si>
  <si>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</si>
  <si>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</si>
  <si>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</si>
  <si>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</si>
  <si>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</si>
  <si>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</si>
  <si>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</si>
  <si>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</si>
  <si>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</si>
  <si>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</si>
  <si>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</si>
  <si>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</si>
  <si>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</si>
  <si>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</si>
  <si>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</si>
  <si>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</si>
  <si>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</si>
  <si>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</si>
  <si>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</si>
  <si>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</si>
  <si>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</si>
  <si>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</si>
  <si>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</si>
  <si>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</si>
  <si>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</si>
  <si>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</si>
  <si>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</si>
  <si>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</si>
  <si>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</si>
  <si>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</si>
  <si>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</si>
  <si>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</si>
  <si>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</si>
  <si>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</si>
  <si>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</si>
  <si>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</si>
  <si>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</si>
  <si>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</si>
  <si>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</si>
  <si>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</si>
  <si>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</si>
  <si>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</si>
  <si>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</si>
  <si>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</si>
  <si>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</si>
  <si>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</si>
  <si>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</si>
  <si>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</si>
  <si>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</si>
  <si>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</si>
  <si>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</si>
  <si>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</si>
  <si>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</si>
  <si>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</si>
  <si>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</si>
  <si>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</si>
  <si>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</si>
  <si>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</si>
  <si>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</si>
  <si>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</si>
  <si>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</si>
  <si>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</si>
  <si>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</si>
  <si>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</si>
  <si>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</si>
  <si>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</si>
  <si>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</si>
  <si>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</si>
  <si>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</si>
  <si>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</si>
  <si>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</si>
  <si>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</si>
  <si>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</si>
  <si>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</si>
  <si>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</si>
  <si>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</si>
  <si>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</si>
  <si>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</si>
  <si>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</si>
  <si>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</si>
  <si>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</si>
  <si>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</si>
  <si>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</si>
  <si>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</si>
  <si>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</si>
  <si>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</si>
  <si>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</si>
  <si>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</si>
  <si>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</si>
  <si>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</si>
  <si>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</si>
  <si>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</si>
  <si>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</si>
  <si>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</si>
  <si>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</si>
  <si>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</si>
  <si>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</si>
  <si>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</si>
  <si>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</si>
  <si>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</si>
  <si>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</si>
  <si>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</si>
  <si>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</si>
  <si>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</si>
  <si>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</si>
  <si>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</si>
  <si>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</si>
  <si>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</si>
  <si>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</si>
  <si>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</si>
  <si>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</si>
  <si>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</si>
  <si>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</si>
  <si>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</si>
  <si>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</si>
  <si>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</si>
  <si>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</si>
  <si>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</si>
  <si>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</si>
  <si>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</si>
  <si>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</si>
  <si>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</si>
  <si>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</si>
  <si>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</si>
  <si>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</si>
  <si>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</si>
  <si>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</si>
  <si>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</si>
  <si>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</si>
  <si>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</si>
  <si>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</si>
  <si>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</si>
  <si>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</si>
  <si>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</si>
  <si>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</si>
  <si>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</si>
  <si>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</si>
  <si>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</si>
  <si>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</si>
  <si>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</si>
  <si>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</si>
  <si>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</si>
  <si>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</si>
  <si>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</si>
  <si>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</si>
  <si>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</si>
  <si>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</si>
  <si>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</si>
  <si>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</si>
  <si>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</si>
  <si>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</si>
  <si>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</si>
  <si>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</si>
  <si>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</si>
  <si>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</si>
  <si>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</si>
  <si>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</si>
  <si>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</si>
  <si>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</si>
  <si>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</si>
  <si>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</si>
  <si>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</si>
  <si>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</si>
  <si>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</si>
  <si>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</si>
  <si>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</si>
  <si>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</si>
  <si>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</si>
  <si>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</si>
  <si>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</si>
  <si>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</si>
  <si>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</si>
  <si>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</si>
  <si>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</si>
  <si>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</si>
  <si>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</si>
  <si>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</si>
  <si>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</si>
  <si>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</si>
  <si>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</si>
  <si>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</si>
  <si>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</si>
  <si>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</si>
  <si>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</si>
  <si>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</si>
  <si>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</si>
  <si>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</si>
  <si>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</si>
  <si>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</si>
  <si>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</si>
  <si>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</si>
  <si>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</si>
  <si>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</si>
  <si>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</si>
  <si>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</si>
  <si>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</si>
  <si>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</si>
  <si>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</si>
  <si>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</si>
  <si>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</si>
  <si>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</si>
  <si>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</si>
  <si>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</si>
  <si>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</si>
  <si>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</si>
  <si>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</si>
  <si>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</si>
  <si>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</si>
  <si>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</si>
  <si>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</si>
  <si>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</si>
  <si>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</si>
  <si>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</si>
  <si>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</si>
  <si>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</si>
  <si>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</si>
  <si>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</si>
  <si>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</si>
  <si>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</si>
  <si>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</si>
  <si>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</si>
  <si>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</si>
  <si>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</si>
  <si>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</si>
  <si>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</si>
  <si>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</si>
  <si>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</si>
  <si>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</si>
  <si>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</si>
  <si>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</si>
  <si>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</si>
  <si>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</si>
  <si>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</si>
  <si>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</si>
  <si>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</si>
  <si>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</si>
  <si>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</si>
  <si>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</si>
  <si>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</si>
  <si>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</si>
  <si>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</si>
  <si>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</si>
  <si>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</si>
  <si>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</si>
  <si>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</si>
  <si>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</si>
  <si>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</si>
  <si>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</si>
  <si>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</si>
  <si>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</si>
  <si>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</si>
  <si>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</si>
  <si>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</si>
  <si>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</si>
  <si>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</si>
  <si>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</si>
  <si>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</si>
  <si>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</si>
  <si>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</si>
  <si>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</si>
  <si>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</si>
  <si>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</si>
  <si>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</si>
  <si>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</si>
  <si>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</si>
  <si>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</si>
  <si>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</si>
  <si>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</si>
  <si>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</si>
  <si>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</si>
  <si>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</si>
  <si>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</si>
  <si>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</si>
  <si>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</si>
  <si>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</si>
  <si>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</si>
  <si>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</si>
  <si>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</si>
  <si>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</si>
  <si>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</si>
  <si>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</si>
  <si>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</si>
  <si>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</si>
  <si>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</si>
  <si>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</si>
  <si>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</si>
  <si>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</si>
  <si>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</si>
  <si>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</si>
  <si>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</si>
  <si>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</si>
  <si>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</si>
  <si>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</si>
  <si>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</si>
  <si>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</si>
  <si>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</si>
  <si>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</si>
  <si>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</si>
  <si>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</si>
  <si>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</si>
  <si>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</si>
  <si>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</si>
  <si>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</si>
  <si>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</si>
  <si>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</si>
  <si>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</si>
  <si>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</si>
  <si>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</si>
  <si>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</si>
  <si>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</si>
  <si>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</si>
  <si>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</si>
  <si>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</si>
  <si>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</si>
  <si>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</si>
  <si>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</si>
  <si>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</si>
  <si>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</si>
  <si>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</si>
  <si>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</si>
  <si>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</si>
  <si>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</si>
  <si>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</si>
  <si>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</si>
  <si>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</si>
  <si>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</si>
  <si>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</si>
  <si>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</si>
  <si>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</si>
  <si>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</si>
  <si>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</si>
  <si>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</si>
  <si>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</si>
  <si>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</si>
  <si>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</si>
  <si>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</si>
  <si>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</si>
  <si>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</si>
  <si>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</si>
  <si>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</si>
  <si>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</si>
  <si>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</si>
  <si>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</si>
  <si>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</si>
  <si>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</si>
  <si>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</si>
  <si>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</si>
  <si>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</si>
  <si>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</si>
  <si>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</si>
  <si>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</si>
  <si>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</si>
  <si>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</si>
  <si>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</si>
  <si>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</si>
  <si>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</si>
  <si>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</si>
  <si>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</si>
  <si>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</si>
  <si>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</si>
  <si>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</si>
  <si>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</si>
  <si>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</si>
  <si>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</si>
  <si>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</si>
  <si>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</si>
  <si>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</si>
  <si>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</si>
  <si>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</si>
  <si>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</si>
  <si>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</si>
  <si>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</si>
  <si>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</si>
  <si>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</si>
  <si>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</si>
  <si>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</si>
  <si>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</si>
  <si>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</si>
  <si>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</si>
  <si>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</si>
  <si>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</si>
  <si>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</si>
  <si>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</si>
  <si>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</si>
  <si>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</si>
  <si>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</si>
  <si>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</si>
  <si>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</si>
  <si>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</si>
  <si>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</si>
  <si>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</si>
  <si>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</si>
  <si>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</si>
  <si>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</si>
  <si>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</si>
  <si>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</si>
  <si>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</si>
  <si>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</si>
  <si>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</si>
  <si>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</si>
  <si>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</si>
  <si>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</si>
  <si>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</si>
  <si>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</si>
  <si>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</si>
  <si>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</si>
  <si>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</si>
  <si>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</si>
  <si>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</si>
  <si>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</si>
  <si>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</si>
  <si>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</si>
  <si>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</si>
  <si>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</si>
  <si>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</si>
  <si>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</si>
  <si>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</si>
  <si>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</si>
  <si>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</si>
  <si>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</si>
  <si>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</si>
  <si>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</si>
  <si>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</si>
  <si>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</si>
  <si>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</si>
  <si>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</si>
  <si>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</si>
  <si>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</si>
  <si>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</si>
  <si>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</si>
  <si>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</si>
  <si>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</si>
  <si>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</si>
  <si>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</si>
  <si>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</si>
  <si>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</si>
  <si>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</si>
  <si>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</si>
  <si>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</si>
  <si>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</si>
  <si>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</si>
  <si>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</si>
  <si>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</si>
  <si>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</si>
  <si>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</si>
  <si>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</si>
  <si>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</si>
  <si>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</si>
  <si>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</si>
  <si>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</si>
  <si>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</si>
  <si>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</si>
  <si>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</si>
  <si>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</si>
  <si>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</si>
  <si>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</si>
  <si>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</si>
  <si>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</si>
  <si>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</si>
  <si>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</si>
  <si>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</si>
  <si>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</si>
  <si>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</si>
  <si>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</si>
  <si>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</si>
  <si>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</si>
  <si>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</si>
  <si>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</si>
  <si>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</si>
  <si>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</si>
  <si>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</si>
  <si>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</si>
  <si>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</si>
  <si>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</si>
  <si>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</si>
  <si>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</si>
  <si>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</si>
  <si>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</si>
  <si>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</si>
  <si>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</si>
  <si>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</si>
  <si>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</si>
  <si>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</si>
  <si>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</si>
  <si>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</si>
  <si>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</si>
  <si>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</si>
  <si>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</si>
  <si>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</si>
  <si>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</si>
  <si>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</si>
  <si>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</si>
  <si>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</si>
  <si>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</si>
  <si>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</si>
  <si>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</si>
  <si>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</si>
  <si>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</si>
  <si>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</si>
  <si>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</si>
  <si>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</si>
  <si>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</si>
  <si>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</si>
  <si>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</si>
  <si>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</si>
  <si>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</si>
  <si>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</si>
  <si>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</si>
  <si>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</si>
  <si>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</si>
  <si>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</si>
  <si>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</si>
  <si>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</si>
  <si>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</si>
  <si>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</si>
  <si>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</si>
  <si>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</si>
  <si>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</si>
  <si>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</si>
  <si>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</si>
  <si>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</si>
  <si>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</si>
  <si>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</si>
  <si>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</si>
  <si>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</si>
  <si>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</si>
  <si>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</si>
  <si>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</si>
  <si>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</si>
  <si>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</si>
  <si>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</si>
  <si>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</si>
  <si>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</si>
  <si>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</si>
  <si>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</si>
  <si>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</si>
  <si>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</si>
  <si>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</si>
  <si>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</si>
  <si>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</si>
  <si>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</si>
  <si>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</si>
  <si>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</si>
  <si>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</si>
  <si>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</si>
  <si>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</si>
  <si>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</si>
  <si>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</si>
  <si>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</si>
  <si>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</si>
  <si>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</si>
  <si>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</si>
  <si>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</si>
  <si>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</si>
  <si>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</si>
  <si>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</si>
  <si>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</si>
  <si>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</si>
  <si>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</si>
  <si>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</si>
  <si>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</si>
  <si>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</si>
  <si>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</si>
  <si>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</si>
  <si>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</si>
  <si>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</si>
  <si>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</si>
  <si>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</si>
  <si>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</si>
  <si>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</si>
  <si>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</si>
  <si>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</si>
  <si>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</si>
  <si>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</si>
  <si>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</si>
  <si>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</si>
  <si>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</si>
  <si>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</si>
  <si>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</si>
  <si>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</si>
  <si>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</si>
  <si>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</si>
  <si>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</si>
  <si>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</si>
  <si>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</si>
  <si>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</si>
  <si>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</si>
  <si>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</si>
  <si>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</si>
  <si>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</si>
  <si>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</si>
  <si>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</si>
  <si>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</si>
  <si>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</si>
  <si>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</si>
  <si>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</si>
  <si>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</si>
  <si>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</si>
  <si>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</si>
  <si>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</si>
  <si>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</si>
  <si>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</si>
  <si>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</si>
  <si>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</si>
  <si>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</si>
  <si>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</si>
  <si>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</si>
  <si>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</si>
  <si>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</si>
  <si>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</si>
  <si>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</si>
  <si>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</si>
  <si>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</si>
  <si>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</si>
  <si>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</si>
  <si>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</si>
  <si>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</si>
  <si>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</si>
  <si>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</si>
  <si>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</si>
  <si>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</si>
  <si>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</si>
  <si>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</si>
  <si>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</si>
  <si>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</si>
  <si>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</si>
  <si>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</si>
  <si>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</si>
  <si>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</si>
  <si>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</si>
  <si>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</si>
  <si>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</si>
  <si>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</si>
  <si>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</si>
  <si>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</si>
  <si>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</si>
  <si>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</si>
  <si>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</si>
  <si>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</si>
  <si>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</si>
  <si>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</si>
  <si>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</si>
  <si>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</si>
  <si>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</si>
  <si>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</si>
  <si>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</si>
  <si>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</si>
  <si>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</si>
  <si>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</si>
  <si>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</si>
  <si>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</si>
  <si>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</si>
  <si>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</si>
  <si>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</si>
  <si>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</si>
  <si>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</si>
  <si>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</si>
  <si>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</si>
  <si>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</si>
  <si>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</si>
  <si>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</si>
  <si>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</si>
  <si>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</si>
  <si>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</si>
  <si>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</si>
  <si>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</si>
  <si>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</si>
  <si>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</si>
  <si>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</si>
  <si>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</si>
  <si>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</si>
  <si>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</si>
  <si>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</si>
  <si>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</si>
  <si>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</si>
  <si>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</si>
  <si>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</si>
  <si>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</si>
  <si>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</si>
  <si>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</si>
  <si>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</si>
  <si>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</si>
  <si>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</si>
  <si>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</si>
  <si>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</si>
  <si>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</si>
  <si>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</si>
  <si>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</si>
  <si>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</si>
  <si>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</si>
  <si>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</si>
  <si>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</si>
  <si>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</si>
  <si>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</si>
  <si>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</si>
  <si>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</si>
  <si>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</si>
  <si>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</si>
  <si>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</si>
  <si>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</si>
  <si>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</si>
  <si>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</si>
  <si>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</si>
  <si>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</si>
  <si>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</si>
  <si>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</si>
  <si>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</si>
  <si>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</si>
  <si>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</si>
  <si>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</si>
  <si>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</si>
  <si>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</si>
  <si>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</si>
  <si>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</si>
  <si>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</si>
  <si>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</si>
  <si>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</si>
  <si>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</si>
  <si>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</si>
  <si>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</si>
  <si>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</si>
  <si>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</si>
  <si>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</si>
  <si>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</si>
  <si>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</si>
  <si>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</si>
  <si>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</si>
  <si>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</si>
  <si>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</si>
  <si>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</si>
  <si>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</si>
  <si>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</si>
  <si>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</si>
  <si>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</si>
  <si>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</si>
  <si>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</si>
  <si>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</si>
  <si>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</si>
  <si>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</si>
  <si>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</si>
  <si>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</si>
  <si>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</si>
  <si>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</si>
  <si>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</si>
  <si>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</si>
  <si>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</si>
  <si>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</si>
  <si>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</si>
  <si>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</si>
  <si>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</si>
  <si>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</si>
  <si>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</si>
  <si>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</si>
  <si>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</si>
  <si>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</si>
  <si>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</si>
  <si>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</si>
  <si>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</si>
  <si>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</si>
  <si>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</si>
  <si>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</si>
  <si>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</si>
  <si>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</si>
  <si>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</si>
  <si>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</si>
  <si>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</si>
  <si>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</si>
  <si>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</si>
  <si>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</si>
  <si>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</si>
  <si>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</si>
  <si>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</si>
  <si>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</si>
  <si>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</si>
  <si>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</si>
  <si>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</si>
  <si>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</si>
  <si>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</si>
  <si>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</si>
  <si>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</si>
  <si>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</si>
  <si>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</si>
  <si>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</si>
  <si>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</si>
  <si>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</si>
  <si>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</si>
  <si>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</si>
  <si>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</si>
  <si>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</si>
  <si>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</si>
  <si>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</si>
  <si>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</si>
  <si>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</si>
  <si>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</si>
  <si>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</si>
  <si>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</si>
  <si>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</si>
  <si>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</si>
  <si>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</si>
  <si>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</si>
  <si>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</si>
  <si>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</si>
  <si>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</si>
  <si>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</si>
  <si>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</si>
  <si>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</si>
  <si>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</si>
  <si>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</si>
  <si>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</si>
  <si>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</si>
  <si>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</si>
  <si>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</si>
  <si>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</si>
  <si>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</si>
  <si>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</si>
  <si>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</si>
  <si>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</si>
  <si>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</si>
  <si>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</si>
  <si>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</si>
  <si>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</si>
  <si>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</si>
  <si>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</si>
  <si>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</si>
  <si>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</si>
  <si>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</si>
  <si>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</si>
  <si>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</si>
  <si>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</si>
  <si>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</si>
  <si>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</si>
  <si>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</si>
  <si>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</si>
  <si>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</si>
  <si>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</si>
  <si>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</si>
  <si>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</si>
  <si>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</si>
  <si>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</si>
  <si>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</si>
  <si>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</si>
  <si>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</si>
  <si>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</si>
  <si>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</si>
  <si>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</si>
  <si>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</si>
  <si>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</si>
  <si>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</si>
  <si>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</si>
  <si>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</si>
  <si>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</si>
  <si>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</si>
  <si>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</si>
  <si>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</si>
  <si>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</si>
  <si>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</si>
  <si>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</si>
  <si>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</si>
  <si>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</si>
  <si>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</si>
  <si>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</si>
  <si>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</si>
  <si>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</si>
  <si>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</si>
  <si>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</si>
  <si>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</si>
  <si>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</si>
  <si>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</si>
  <si>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</si>
  <si>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</si>
  <si>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</si>
  <si>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</si>
  <si>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</si>
  <si>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</si>
  <si>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</si>
  <si>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</si>
  <si>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</si>
  <si>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</si>
  <si>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</si>
  <si>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</si>
  <si>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</si>
  <si>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</si>
  <si>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</si>
  <si>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</si>
  <si>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</si>
  <si>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</si>
  <si>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</si>
  <si>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</si>
  <si>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</si>
  <si>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</si>
  <si>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</si>
  <si>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</si>
  <si>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</si>
  <si>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</si>
  <si>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</si>
  <si>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</si>
  <si>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</si>
  <si>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</si>
  <si>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</si>
  <si>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</si>
  <si>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</si>
  <si>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</si>
  <si>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</si>
  <si>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</si>
  <si>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</si>
  <si>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</si>
  <si>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</si>
  <si>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</si>
  <si>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</si>
  <si>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</si>
  <si>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</si>
  <si>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</si>
  <si>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</si>
  <si>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</si>
  <si>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</si>
  <si>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</si>
  <si>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</si>
  <si>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</si>
  <si>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</si>
  <si>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</si>
  <si>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</si>
  <si>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</si>
  <si>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</si>
  <si>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</si>
  <si>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</si>
  <si>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</si>
  <si>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</si>
  <si>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</si>
  <si>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</si>
  <si>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</si>
  <si>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</si>
  <si>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</si>
  <si>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</si>
  <si>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</si>
  <si>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</si>
  <si>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</si>
  <si>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</si>
  <si>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</si>
  <si>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</si>
  <si>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</si>
  <si>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</si>
  <si>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</si>
  <si>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</si>
  <si>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</si>
  <si>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</si>
  <si>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</si>
  <si>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</si>
  <si>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</si>
  <si>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</si>
  <si>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</si>
  <si>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</si>
  <si>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</si>
  <si>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</si>
  <si>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</si>
  <si>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</si>
  <si>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</si>
  <si>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</si>
  <si>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</si>
  <si>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</si>
  <si>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</si>
  <si>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</si>
  <si>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</si>
  <si>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</si>
  <si>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</si>
  <si>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</si>
  <si>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</si>
  <si>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</si>
  <si>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</si>
  <si>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</si>
  <si>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</si>
  <si>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</si>
  <si>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</si>
  <si>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</si>
  <si>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</si>
  <si>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</si>
  <si>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</si>
  <si>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</si>
  <si>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</si>
  <si>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</si>
  <si>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</si>
  <si>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</si>
  <si>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</si>
  <si>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</si>
  <si>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</si>
  <si>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</si>
  <si>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</si>
  <si>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</si>
  <si>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</si>
  <si>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</si>
  <si>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</si>
  <si>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</si>
  <si>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</si>
  <si>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</si>
  <si>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</si>
  <si>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</si>
  <si>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</si>
  <si>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</si>
  <si>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</si>
  <si>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</si>
  <si>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</si>
  <si>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</si>
  <si>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</si>
  <si>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</si>
  <si>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</si>
  <si>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</si>
  <si>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</si>
  <si>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</si>
  <si>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</si>
  <si>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</si>
  <si>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</si>
  <si>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</si>
  <si>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</si>
  <si>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</si>
  <si>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</si>
  <si>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</si>
  <si>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</si>
  <si>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</si>
  <si>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</si>
  <si>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</si>
  <si>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</si>
  <si>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</si>
  <si>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</si>
  <si>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</si>
  <si>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</si>
  <si>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</si>
  <si>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</si>
  <si>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</si>
  <si>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</si>
  <si>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</si>
  <si>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</si>
  <si>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</si>
  <si>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</si>
  <si>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</si>
  <si>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</si>
  <si>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</si>
  <si>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</si>
  <si>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</si>
  <si>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</si>
  <si>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</si>
  <si>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</si>
  <si>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</si>
  <si>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</si>
  <si>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</si>
  <si>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</si>
  <si>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</si>
  <si>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</si>
  <si>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</si>
  <si>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</si>
  <si>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</si>
  <si>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</si>
  <si>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</si>
  <si>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</si>
  <si>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</si>
  <si>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</si>
  <si>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</si>
  <si>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</si>
  <si>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</si>
  <si>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</si>
  <si>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</si>
  <si>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</si>
  <si>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</si>
  <si>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</si>
  <si>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</si>
  <si>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</si>
  <si>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</si>
  <si>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</si>
  <si>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</si>
  <si>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</si>
  <si>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</si>
  <si>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</si>
  <si>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</si>
  <si>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</si>
  <si>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</si>
  <si>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</si>
  <si>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</si>
  <si>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</si>
  <si>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</si>
  <si>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</si>
  <si>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</si>
  <si>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</si>
  <si>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</si>
  <si>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</si>
  <si>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</si>
  <si>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</si>
  <si>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</si>
  <si>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</si>
  <si>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</si>
  <si>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</si>
  <si>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</si>
  <si>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</si>
  <si>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</si>
  <si>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</si>
  <si>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</si>
  <si>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</si>
  <si>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</si>
  <si>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</si>
  <si>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</si>
  <si>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</si>
  <si>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</si>
  <si>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</si>
  <si>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</si>
  <si>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</si>
  <si>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</si>
  <si>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</si>
  <si>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</si>
  <si>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</si>
  <si>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</si>
  <si>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</si>
  <si>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</si>
  <si>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</si>
  <si>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</si>
  <si>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</si>
  <si>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</si>
  <si>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</si>
  <si>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</si>
  <si>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</si>
  <si>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</si>
  <si>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</si>
  <si>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</si>
  <si>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</si>
  <si>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</si>
  <si>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</si>
  <si>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</si>
  <si>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</si>
  <si>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</si>
  <si>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</si>
  <si>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</si>
  <si>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</si>
  <si>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</si>
  <si>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</si>
  <si>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</si>
  <si>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</si>
  <si>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</si>
  <si>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</si>
  <si>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</si>
  <si>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</si>
  <si>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</si>
  <si>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</si>
  <si>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</si>
  <si>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</si>
  <si>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</si>
  <si>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</si>
  <si>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</si>
  <si>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</si>
  <si>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</si>
  <si>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</si>
  <si>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</si>
  <si>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</si>
  <si>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</si>
  <si>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</si>
  <si>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</si>
  <si>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</si>
  <si>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</si>
  <si>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</si>
  <si>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</si>
  <si>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</si>
  <si>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</si>
  <si>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</si>
  <si>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</si>
  <si>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</si>
  <si>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</si>
  <si>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</si>
  <si>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</si>
  <si>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</si>
  <si>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</si>
  <si>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</si>
  <si>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</si>
  <si>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</si>
  <si>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</si>
  <si>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</si>
  <si>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</si>
  <si>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</si>
  <si>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</si>
  <si>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</si>
  <si>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</si>
  <si>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</si>
  <si>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</si>
  <si>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</si>
  <si>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</si>
  <si>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</si>
  <si>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</si>
  <si>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</si>
  <si>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</si>
  <si>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</si>
  <si>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</si>
  <si>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</si>
  <si>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</si>
  <si>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</si>
  <si>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</si>
  <si>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</si>
  <si>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</si>
  <si>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</si>
  <si>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</si>
  <si>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</si>
  <si>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</si>
  <si>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</si>
  <si>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</si>
  <si>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</si>
  <si>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</si>
  <si>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</si>
  <si>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</si>
  <si>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</si>
  <si>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</si>
  <si>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</si>
  <si>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</si>
  <si>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</si>
  <si>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</si>
  <si>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</si>
  <si>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</si>
  <si>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</si>
  <si>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</si>
  <si>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</si>
  <si>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</si>
  <si>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</si>
  <si>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</si>
  <si>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</si>
  <si>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</si>
  <si>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</si>
  <si>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</si>
  <si>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</si>
  <si>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</si>
  <si>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</si>
  <si>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</si>
  <si>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</si>
  <si>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</si>
  <si>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</si>
  <si>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</si>
  <si>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</si>
  <si>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</si>
  <si>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</si>
  <si>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</si>
  <si>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</si>
  <si>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</si>
  <si>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</si>
  <si>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</si>
  <si>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</si>
  <si>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</si>
  <si>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</si>
  <si>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</si>
  <si>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</si>
  <si>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</si>
  <si>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</si>
  <si>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</si>
  <si>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</si>
  <si>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</si>
  <si>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</si>
  <si>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</si>
  <si>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</si>
  <si>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</si>
  <si>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</si>
  <si>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</si>
  <si>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</si>
  <si>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</si>
  <si>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</si>
  <si>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</si>
  <si>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</si>
  <si>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</si>
  <si>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</si>
  <si>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</si>
  <si>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</si>
  <si>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</si>
  <si>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</si>
  <si>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</si>
  <si>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</si>
  <si>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</si>
  <si>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</si>
  <si>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</si>
  <si>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</si>
  <si>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</si>
  <si>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</si>
  <si>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</si>
  <si>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</si>
  <si>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</si>
  <si>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</si>
  <si>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</si>
  <si>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</si>
  <si>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</si>
  <si>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</si>
  <si>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</si>
  <si>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</si>
  <si>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</si>
  <si>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</si>
  <si>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</si>
  <si>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</si>
  <si>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</si>
  <si>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</si>
  <si>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</si>
  <si>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</si>
  <si>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</si>
  <si>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</si>
  <si>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</si>
  <si>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</si>
  <si>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</si>
  <si>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</si>
  <si>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</si>
  <si>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</si>
  <si>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</si>
  <si>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</si>
  <si>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</si>
  <si>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</si>
  <si>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</si>
  <si>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</si>
  <si>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</si>
  <si>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</si>
  <si>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</si>
  <si>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</si>
  <si>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</si>
  <si>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</si>
  <si>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</si>
  <si>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</si>
  <si>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</si>
  <si>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</si>
  <si>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</si>
  <si>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</si>
  <si>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</si>
  <si>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</si>
  <si>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</si>
  <si>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</si>
  <si>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</si>
  <si>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</si>
  <si>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</si>
  <si>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</si>
  <si>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</si>
  <si>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</si>
  <si>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</si>
  <si>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</si>
  <si>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</si>
  <si>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</si>
  <si>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</si>
  <si>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</si>
  <si>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</si>
  <si>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</si>
  <si>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</si>
  <si>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</si>
  <si>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</si>
  <si>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</si>
  <si>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</si>
  <si>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</si>
  <si>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</si>
  <si>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</si>
  <si>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</si>
  <si>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</si>
  <si>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</si>
  <si>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</si>
  <si>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</si>
  <si>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</si>
  <si>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</si>
  <si>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</si>
  <si>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</si>
  <si>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</si>
  <si>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</si>
  <si>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</si>
  <si>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</si>
  <si>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</si>
  <si>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</si>
  <si>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</si>
  <si>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</si>
  <si>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</si>
  <si>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</si>
  <si>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</si>
  <si>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</si>
  <si>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</si>
  <si>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</si>
  <si>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</si>
  <si>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</si>
  <si>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</si>
  <si>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</si>
  <si>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</si>
  <si>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</si>
  <si>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</si>
  <si>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</si>
  <si>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</si>
  <si>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</si>
  <si>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</si>
  <si>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</si>
  <si>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</si>
  <si>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</si>
  <si>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</si>
  <si>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</si>
  <si>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</si>
  <si>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</si>
  <si>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</si>
  <si>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</si>
  <si>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</si>
  <si>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</si>
  <si>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</si>
  <si>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</si>
  <si>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</si>
  <si>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</si>
  <si>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</si>
  <si>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</si>
  <si>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</si>
  <si>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</si>
  <si>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</si>
  <si>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</si>
  <si>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</si>
  <si>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</si>
  <si>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</si>
  <si>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</si>
  <si>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</si>
  <si>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</si>
  <si>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</si>
  <si>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</si>
  <si>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</si>
  <si>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</si>
  <si>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</si>
  <si>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</si>
  <si>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</si>
  <si>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</si>
  <si>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</si>
  <si>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</si>
  <si>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</si>
  <si>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</si>
  <si>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</si>
  <si>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</si>
  <si>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</si>
  <si>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</si>
  <si>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</si>
  <si>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</si>
  <si>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</si>
  <si>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</si>
  <si>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</si>
  <si>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</si>
  <si>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</si>
  <si>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</si>
  <si>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</si>
  <si>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</si>
  <si>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</si>
  <si>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</si>
  <si>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</si>
  <si>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</si>
  <si>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</si>
  <si>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</si>
  <si>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</si>
  <si>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</si>
  <si>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</si>
  <si>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</si>
  <si>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</si>
  <si>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</si>
  <si>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</si>
  <si>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</si>
  <si>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</si>
  <si>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</si>
  <si>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</si>
  <si>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</si>
  <si>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</si>
  <si>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</si>
  <si>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</si>
  <si>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</si>
  <si>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</si>
  <si>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</si>
  <si>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</si>
  <si>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</si>
  <si>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</si>
  <si>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</si>
  <si>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</si>
  <si>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</si>
  <si>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</si>
  <si>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</si>
  <si>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</si>
  <si>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</si>
  <si>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</si>
  <si>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</si>
  <si>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</si>
  <si>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</si>
  <si>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</si>
  <si>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</si>
  <si>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</si>
  <si>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</si>
  <si>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</si>
  <si>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</si>
  <si>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</si>
  <si>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</si>
  <si>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</si>
  <si>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</si>
  <si>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</si>
  <si>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</si>
  <si>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</si>
  <si>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</si>
  <si>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</si>
  <si>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</si>
  <si>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</si>
  <si>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</si>
  <si>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</si>
  <si>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</si>
  <si>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</si>
  <si>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</si>
  <si>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</si>
  <si>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</si>
  <si>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</si>
  <si>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</si>
  <si>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</si>
  <si>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</si>
  <si>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</si>
  <si>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</si>
  <si>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</si>
  <si>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</si>
  <si>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</si>
  <si>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</si>
  <si>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</si>
  <si>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</si>
  <si>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</si>
  <si>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</si>
  <si>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</si>
  <si>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</si>
  <si>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</si>
  <si>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</si>
  <si>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</si>
  <si>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</si>
  <si>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</si>
  <si>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</si>
  <si>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</si>
  <si>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</si>
  <si>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</si>
  <si>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</si>
  <si>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</si>
  <si>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</si>
  <si>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</si>
  <si>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</si>
  <si>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</si>
  <si>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</si>
  <si>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</si>
  <si>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</si>
  <si>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</si>
  <si>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</si>
  <si>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</si>
  <si>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</si>
  <si>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</si>
  <si>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</si>
  <si>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</si>
  <si>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</si>
  <si>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</si>
  <si>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</si>
  <si>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</si>
  <si>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</si>
  <si>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</si>
  <si>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</si>
  <si>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</si>
  <si>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</si>
  <si>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</si>
  <si>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</si>
  <si>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</si>
  <si>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</si>
  <si>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</si>
  <si>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</si>
  <si>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</si>
  <si>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</si>
  <si>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</si>
  <si>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</si>
  <si>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</si>
  <si>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</si>
  <si>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</si>
  <si>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</si>
  <si>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</si>
  <si>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</si>
  <si>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</si>
  <si>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</si>
  <si>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</si>
  <si>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</si>
  <si>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</si>
  <si>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</si>
  <si>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</si>
  <si>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</si>
  <si>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</si>
  <si>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</si>
  <si>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</si>
  <si>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</si>
  <si>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</si>
  <si>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</si>
  <si>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</si>
  <si>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</si>
  <si>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</si>
  <si>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</si>
  <si>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</si>
  <si>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</si>
  <si>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</si>
  <si>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</si>
  <si>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</si>
  <si>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</si>
  <si>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</si>
  <si>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</si>
  <si>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</si>
  <si>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</si>
  <si>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</si>
  <si>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</si>
  <si>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</si>
  <si>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</si>
  <si>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</si>
  <si>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</si>
  <si>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</si>
  <si>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</si>
  <si>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</si>
  <si>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</si>
  <si>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</si>
  <si>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</si>
  <si>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</si>
  <si>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</si>
  <si>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</si>
  <si>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</si>
  <si>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</si>
  <si>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</si>
  <si>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</si>
  <si>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</si>
  <si>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</si>
  <si>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</si>
  <si>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</si>
  <si>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</si>
  <si>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</si>
  <si>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</si>
  <si>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</si>
  <si>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</si>
  <si>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</si>
  <si>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</si>
  <si>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</si>
  <si>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</si>
  <si>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</si>
  <si>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</si>
  <si>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</si>
  <si>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</si>
  <si>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</si>
  <si>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</si>
  <si>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</si>
  <si>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</si>
  <si>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</si>
  <si>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</si>
  <si>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</si>
  <si>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</si>
  <si>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</si>
  <si>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</si>
  <si>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</si>
  <si>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</si>
  <si>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</si>
  <si>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</si>
  <si>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</si>
  <si>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</si>
  <si>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</si>
  <si>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</si>
  <si>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</si>
  <si>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</si>
  <si>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</si>
  <si>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</si>
  <si>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</si>
  <si>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</si>
  <si>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</si>
  <si>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</si>
  <si>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</si>
  <si>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</si>
  <si>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</si>
  <si>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</si>
  <si>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</si>
  <si>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</si>
  <si>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</si>
  <si>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</si>
  <si>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</si>
  <si>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</si>
  <si>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</si>
  <si>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</si>
  <si>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</si>
  <si>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</si>
  <si>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</si>
  <si>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</si>
  <si>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</si>
  <si>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</si>
  <si>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</si>
  <si>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</si>
  <si>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</si>
  <si>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</si>
  <si>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</si>
  <si>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</si>
  <si>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</si>
  <si>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</si>
  <si>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</si>
  <si>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</si>
  <si>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</si>
  <si>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</si>
  <si>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</si>
  <si>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</si>
  <si>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</si>
  <si>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</si>
  <si>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</si>
  <si>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</si>
  <si>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</si>
  <si>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</si>
  <si>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</si>
  <si>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</si>
  <si>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</si>
  <si>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</si>
  <si>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</si>
  <si>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</si>
  <si>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</si>
  <si>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</si>
  <si>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</si>
  <si>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</si>
  <si>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</si>
  <si>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</si>
  <si>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</si>
  <si>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</si>
  <si>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</si>
  <si>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</si>
  <si>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</si>
  <si>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</si>
  <si>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</si>
  <si>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</si>
  <si>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</si>
  <si>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</si>
  <si>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</si>
  <si>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</si>
  <si>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</si>
  <si>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</si>
  <si>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</si>
  <si>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</si>
  <si>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</si>
  <si>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</si>
  <si>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</si>
  <si>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</si>
  <si>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</si>
  <si>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</si>
  <si>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</si>
  <si>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</si>
  <si>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</si>
  <si>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</si>
  <si>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</si>
  <si>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</si>
  <si>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</si>
  <si>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</si>
  <si>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</si>
  <si>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</si>
  <si>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</si>
  <si>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</si>
  <si>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</si>
  <si>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</si>
  <si>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</si>
  <si>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</si>
  <si>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</si>
  <si>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</si>
  <si>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</si>
  <si>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</si>
  <si>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</si>
  <si>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</si>
  <si>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</si>
  <si>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</si>
  <si>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</si>
  <si>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</si>
  <si>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</si>
  <si>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</si>
  <si>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</si>
  <si>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</si>
  <si>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</si>
  <si>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</si>
  <si>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</si>
  <si>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</si>
  <si>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</si>
  <si>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</si>
  <si>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</si>
  <si>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</si>
  <si>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</si>
  <si>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</si>
  <si>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</si>
  <si>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</si>
  <si>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</si>
  <si>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</si>
  <si>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</si>
  <si>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</si>
  <si>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</si>
  <si>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</si>
  <si>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</si>
  <si>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</si>
  <si>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</si>
  <si>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</si>
  <si>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</si>
  <si>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</si>
  <si>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</si>
  <si>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</si>
  <si>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</si>
  <si>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</si>
  <si>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</si>
  <si>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</si>
  <si>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</si>
  <si>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</si>
  <si>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</si>
  <si>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</si>
  <si>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</si>
  <si>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</si>
  <si>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</si>
  <si>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</si>
  <si>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</si>
  <si>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</si>
  <si>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</si>
  <si>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</si>
  <si>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</si>
  <si>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</si>
  <si>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</si>
  <si>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</si>
  <si>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</si>
  <si>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</si>
  <si>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</si>
  <si>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</si>
  <si>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</si>
  <si>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</si>
  <si>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</si>
  <si>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</si>
  <si>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</si>
  <si>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</si>
  <si>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</si>
  <si>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</si>
  <si>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</si>
  <si>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</si>
  <si>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</si>
  <si>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</si>
  <si>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</si>
  <si>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</si>
  <si>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</si>
  <si>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</si>
  <si>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</si>
  <si>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</si>
  <si>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</si>
  <si>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</si>
  <si>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</si>
  <si>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</si>
  <si>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</si>
  <si>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</si>
  <si>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</si>
  <si>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</si>
  <si>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</si>
  <si>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</si>
  <si>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</si>
  <si>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</si>
  <si>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</si>
  <si>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</si>
  <si>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</si>
  <si>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</si>
  <si>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</si>
  <si>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</si>
  <si>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</si>
  <si>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</si>
  <si>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</si>
  <si>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</si>
  <si>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</si>
  <si>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</si>
  <si>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</si>
  <si>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</si>
  <si>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</si>
  <si>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</si>
  <si>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</si>
  <si>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</si>
  <si>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</si>
  <si>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</si>
  <si>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</si>
  <si>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</si>
  <si>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</si>
  <si>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</si>
  <si>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</si>
  <si>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</si>
  <si>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</si>
  <si>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</si>
  <si>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</si>
  <si>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</si>
  <si>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</si>
  <si>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</si>
  <si>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</si>
  <si>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</si>
  <si>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</si>
  <si>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</si>
  <si>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</si>
  <si>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</si>
  <si>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</si>
  <si>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</si>
  <si>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</si>
  <si>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</si>
  <si>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</si>
  <si>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</si>
  <si>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</si>
  <si>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</si>
  <si>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</si>
  <si>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</si>
  <si>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</si>
  <si>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</si>
  <si>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</si>
  <si>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</si>
  <si>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</si>
  <si>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</si>
  <si>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</si>
  <si>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</si>
  <si>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</si>
  <si>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</si>
  <si>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</si>
  <si>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</si>
  <si>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</si>
  <si>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</si>
  <si>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</si>
  <si>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</si>
  <si>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</si>
  <si>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</si>
  <si>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</si>
  <si>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</si>
  <si>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</si>
  <si>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</si>
  <si>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</si>
  <si>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</si>
  <si>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</si>
  <si>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</si>
  <si>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</si>
  <si>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</si>
  <si>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</si>
  <si>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</si>
  <si>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</si>
  <si>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</si>
  <si>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</si>
  <si>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</si>
  <si>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</si>
  <si>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</si>
  <si>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</si>
  <si>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</si>
  <si>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</si>
  <si>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</si>
  <si>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</si>
  <si>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</si>
  <si>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</si>
  <si>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</si>
  <si>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</si>
  <si>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</si>
  <si>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</si>
  <si>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</si>
  <si>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</si>
  <si>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</si>
  <si>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</si>
  <si>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</si>
  <si>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</si>
  <si>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</si>
  <si>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</si>
  <si>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</si>
  <si>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</si>
  <si>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</si>
  <si>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</si>
  <si>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</si>
  <si>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</si>
  <si>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</si>
  <si>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</si>
  <si>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</si>
  <si>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</si>
  <si>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</si>
  <si>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</si>
  <si>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</si>
  <si>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</si>
  <si>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</si>
  <si>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</si>
  <si>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</si>
  <si>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</si>
  <si>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</si>
  <si>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</si>
  <si>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</si>
  <si>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</si>
  <si>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</si>
  <si>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</si>
  <si>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</si>
  <si>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</si>
  <si>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</si>
  <si>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</si>
  <si>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</si>
  <si>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</si>
  <si>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</si>
  <si>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</si>
  <si>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</si>
  <si>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</si>
  <si>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</si>
  <si>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</si>
  <si>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</si>
  <si>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</si>
  <si>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</si>
  <si>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</si>
  <si>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</si>
  <si>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</si>
  <si>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</si>
  <si>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</si>
  <si>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</si>
  <si>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</si>
  <si>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</si>
  <si>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</si>
  <si>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</si>
  <si>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</si>
  <si>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</si>
  <si>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</si>
  <si>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</si>
  <si>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</si>
  <si>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</si>
  <si>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</si>
  <si>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</si>
  <si>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</si>
  <si>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</si>
  <si>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</si>
  <si>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</si>
  <si>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</si>
  <si>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</si>
  <si>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</si>
  <si>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</si>
  <si>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</si>
  <si>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</si>
  <si>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</si>
  <si>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</si>
  <si>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</si>
  <si>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</si>
  <si>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</si>
  <si>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</si>
  <si>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</si>
  <si>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</si>
  <si>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</si>
  <si>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</si>
  <si>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</si>
  <si>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</si>
  <si>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</si>
  <si>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</si>
  <si>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</si>
  <si>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</si>
  <si>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</si>
  <si>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</si>
  <si>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</si>
  <si>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</si>
  <si>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</si>
  <si>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</si>
  <si>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</si>
  <si>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</si>
  <si>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</si>
  <si>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</si>
  <si>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</si>
  <si>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</si>
  <si>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</si>
  <si>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</si>
  <si>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</si>
  <si>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</si>
  <si>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</si>
  <si>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</si>
  <si>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</si>
  <si>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</si>
  <si>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</si>
  <si>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</si>
  <si>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</si>
  <si>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</si>
  <si>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</si>
  <si>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</si>
  <si>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</si>
  <si>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</si>
  <si>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</si>
  <si>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</si>
  <si>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</si>
  <si>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</si>
  <si>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</si>
  <si>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</si>
  <si>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</si>
  <si>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</si>
  <si>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</si>
  <si>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</si>
  <si>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</si>
  <si>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</si>
  <si>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</si>
  <si>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</si>
  <si>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</si>
  <si>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</si>
  <si>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</si>
  <si>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</si>
  <si>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</si>
  <si>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</si>
  <si>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</si>
  <si>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</si>
  <si>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</si>
  <si>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</si>
  <si>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</si>
  <si>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</si>
  <si>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</si>
  <si>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</si>
  <si>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</si>
  <si>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</si>
  <si>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</si>
  <si>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</si>
  <si>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</si>
  <si>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</si>
  <si>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</si>
  <si>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</si>
  <si>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</si>
  <si>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</si>
  <si>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</si>
  <si>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</si>
  <si>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</si>
  <si>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</si>
  <si>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</si>
  <si>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</si>
  <si>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</si>
  <si>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</si>
  <si>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</si>
  <si>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</si>
  <si>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</si>
  <si>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</si>
  <si>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</si>
  <si>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</si>
  <si>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</si>
  <si>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</si>
  <si>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</si>
  <si>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</si>
  <si>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</si>
  <si>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</si>
  <si>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</si>
  <si>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</si>
  <si>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</si>
  <si>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</si>
  <si>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</si>
  <si>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</si>
  <si>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</si>
  <si>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</si>
  <si>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</si>
  <si>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</si>
  <si>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</si>
  <si>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</si>
  <si>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</si>
  <si>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</si>
  <si>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</si>
  <si>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</si>
  <si>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</si>
  <si>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</si>
  <si>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</si>
  <si>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</si>
  <si>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</si>
  <si>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</si>
  <si>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</si>
  <si>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</si>
  <si>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</si>
  <si>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</si>
  <si>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</si>
  <si>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</si>
  <si>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</si>
  <si>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</si>
  <si>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</si>
  <si>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</si>
  <si>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</si>
  <si>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</si>
  <si>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</si>
  <si>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</si>
  <si>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</si>
  <si>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</si>
  <si>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</si>
  <si>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</si>
  <si>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</si>
  <si>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</si>
  <si>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</si>
  <si>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</si>
  <si>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</si>
  <si>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</si>
  <si>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</si>
  <si>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</si>
  <si>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</si>
  <si>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</si>
  <si>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</si>
  <si>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</si>
  <si>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</si>
  <si>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</si>
  <si>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</si>
  <si>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</si>
  <si>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</si>
  <si>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</si>
  <si>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</si>
  <si>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</si>
  <si>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</si>
  <si>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</si>
  <si>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</si>
  <si>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</si>
  <si>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</si>
  <si>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</si>
  <si>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</si>
  <si>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</si>
  <si>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</si>
  <si>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</si>
  <si>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</si>
  <si>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</si>
  <si>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</si>
  <si>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</si>
  <si>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</si>
  <si>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</si>
  <si>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</si>
  <si>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</si>
  <si>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</si>
  <si>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</si>
  <si>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</si>
  <si>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</si>
  <si>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</si>
  <si>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</si>
  <si>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</si>
  <si>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</si>
  <si>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</si>
  <si>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</si>
  <si>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</si>
  <si>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</si>
  <si>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</si>
  <si>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</si>
  <si>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</si>
  <si>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</si>
  <si>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</si>
  <si>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</si>
  <si>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</si>
  <si>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</si>
  <si>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</si>
  <si>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</si>
  <si>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</si>
  <si>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</si>
  <si>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</si>
  <si>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</si>
  <si>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</si>
  <si>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</si>
  <si>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</si>
  <si>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</si>
  <si>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</si>
  <si>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</si>
  <si>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</si>
  <si>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</si>
  <si>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</si>
  <si>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</si>
  <si>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</si>
  <si>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</si>
  <si>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</si>
  <si>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</si>
  <si>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</si>
  <si>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</si>
  <si>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</si>
  <si>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</si>
  <si>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</si>
  <si>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</si>
  <si>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</si>
  <si>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</si>
  <si>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</si>
  <si>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</si>
  <si>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</si>
  <si>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</si>
  <si>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</si>
  <si>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</si>
  <si>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</si>
  <si>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</si>
  <si>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</si>
  <si>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</si>
  <si>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</si>
  <si>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</si>
  <si>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</si>
  <si>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</si>
  <si>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</si>
  <si>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</si>
  <si>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</si>
  <si>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</si>
  <si>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</si>
  <si>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</si>
  <si>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</si>
  <si>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</si>
  <si>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</si>
  <si>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</si>
  <si>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</si>
  <si>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</si>
  <si>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</si>
  <si>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</si>
  <si>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</si>
  <si>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</si>
  <si>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</si>
  <si>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</si>
  <si>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</si>
  <si>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</si>
  <si>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</si>
  <si>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</si>
  <si>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</si>
  <si>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</si>
  <si>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</si>
  <si>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</si>
  <si>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</si>
  <si>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</si>
  <si>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</si>
  <si>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</si>
  <si>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</si>
  <si>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</si>
  <si>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</si>
  <si>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</si>
  <si>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</si>
  <si>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</si>
  <si>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</si>
  <si>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</si>
  <si>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</si>
  <si>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</si>
  <si>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</si>
  <si>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</si>
  <si>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</si>
  <si>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</si>
  <si>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</si>
  <si>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</si>
  <si>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</si>
  <si>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</si>
  <si>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</si>
  <si>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</si>
  <si>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</si>
  <si>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</si>
  <si>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</si>
  <si>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</si>
  <si>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</si>
  <si>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</si>
  <si>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</si>
  <si>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</si>
  <si>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</si>
  <si>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</si>
  <si>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</si>
  <si>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</si>
  <si>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</si>
  <si>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</si>
  <si>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</si>
  <si>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</si>
  <si>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</si>
  <si>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</si>
  <si>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</si>
  <si>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</si>
  <si>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</si>
  <si>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</si>
  <si>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</si>
  <si>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</si>
  <si>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</si>
  <si>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</si>
  <si>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</si>
  <si>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</si>
  <si>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</si>
  <si>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</si>
  <si>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</si>
  <si>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</si>
  <si>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</si>
  <si>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</si>
  <si>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</si>
  <si>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</si>
  <si>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</si>
  <si>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</si>
  <si>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</si>
  <si>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</si>
  <si>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</si>
  <si>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</si>
  <si>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</si>
  <si>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</si>
  <si>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</si>
  <si>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</si>
  <si>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</si>
  <si>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</si>
  <si>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</si>
  <si>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</si>
  <si>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</si>
  <si>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</si>
  <si>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</si>
  <si>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</si>
  <si>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</si>
  <si>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</si>
  <si>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</si>
  <si>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</si>
  <si>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</si>
  <si>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</si>
  <si>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</si>
  <si>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</si>
  <si>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</si>
  <si>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</si>
  <si>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</si>
  <si>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</si>
  <si>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</si>
  <si>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</si>
  <si>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</si>
  <si>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</si>
  <si>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</si>
  <si>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</si>
  <si>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</si>
  <si>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</si>
  <si>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</si>
  <si>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</si>
  <si>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</si>
  <si>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</si>
  <si>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</si>
  <si>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</si>
  <si>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</si>
  <si>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</si>
  <si>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</si>
  <si>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</si>
  <si>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</si>
  <si>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</si>
  <si>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</si>
  <si>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</si>
  <si>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</si>
  <si>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</si>
  <si>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</si>
  <si>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</si>
  <si>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</si>
  <si>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</si>
  <si>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</si>
  <si>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</si>
  <si>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</si>
  <si>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</si>
  <si>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</si>
  <si>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</si>
  <si>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</si>
  <si>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</si>
  <si>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</si>
  <si>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</si>
  <si>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</si>
  <si>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</si>
  <si>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</si>
  <si>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</si>
  <si>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</si>
  <si>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</si>
  <si>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</si>
  <si>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</si>
  <si>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</si>
  <si>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</si>
  <si>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</si>
  <si>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</si>
  <si>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</si>
  <si>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</si>
  <si>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</si>
  <si>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</si>
  <si>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</si>
  <si>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</si>
  <si>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</si>
  <si>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</si>
  <si>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</si>
  <si>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</si>
  <si>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</si>
  <si>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</si>
  <si>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</si>
  <si>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</si>
  <si>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</si>
  <si>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</si>
  <si>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</si>
  <si>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</si>
  <si>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</si>
  <si>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</si>
  <si>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</si>
  <si>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</si>
  <si>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</si>
  <si>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</si>
  <si>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</si>
  <si>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</si>
  <si>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</si>
  <si>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</si>
  <si>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</si>
  <si>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</si>
  <si>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</si>
  <si>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</si>
  <si>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</si>
  <si>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</si>
  <si>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</si>
  <si>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</si>
  <si>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</si>
  <si>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</si>
  <si>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</si>
  <si>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</si>
  <si>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</si>
  <si>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</si>
  <si>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</si>
  <si>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</si>
  <si>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</si>
  <si>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</si>
  <si>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</si>
  <si>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</si>
  <si>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</si>
  <si>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</si>
  <si>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</si>
  <si>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</si>
  <si>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</si>
  <si>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</si>
  <si>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</si>
  <si>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</si>
  <si>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</si>
  <si>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</si>
  <si>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</si>
  <si>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</si>
  <si>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</si>
  <si>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</si>
  <si>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</si>
  <si>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</si>
  <si>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</si>
  <si>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</si>
  <si>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</si>
  <si>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</si>
  <si>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</si>
  <si>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</si>
  <si>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</si>
  <si>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</si>
  <si>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</si>
  <si>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</si>
  <si>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</si>
  <si>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</si>
  <si>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</si>
  <si>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</si>
  <si>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</si>
  <si>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</si>
  <si>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</si>
  <si>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</si>
  <si>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</si>
  <si>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</si>
  <si>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</si>
  <si>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</si>
  <si>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</si>
  <si>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</si>
  <si>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</si>
  <si>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</si>
  <si>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</si>
  <si>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</si>
  <si>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</si>
  <si>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</si>
  <si>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</si>
  <si>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</si>
  <si>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</si>
  <si>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</si>
  <si>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</si>
  <si>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</si>
  <si>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</si>
  <si>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</si>
  <si>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</si>
  <si>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</si>
  <si>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</si>
  <si>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</si>
  <si>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</si>
  <si>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</si>
  <si>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</si>
  <si>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</si>
  <si>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</si>
  <si>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</si>
  <si>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</si>
  <si>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</si>
  <si>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</si>
  <si>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</si>
  <si>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</si>
  <si>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</si>
  <si>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</si>
  <si>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</si>
  <si>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</si>
  <si>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</si>
  <si>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</si>
  <si>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</si>
  <si>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</si>
  <si>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</si>
  <si>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</si>
  <si>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</si>
  <si>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</si>
  <si>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</si>
  <si>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</si>
  <si>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</si>
  <si>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</si>
  <si>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</si>
  <si>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</si>
  <si>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</si>
  <si>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</si>
  <si>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</si>
  <si>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</si>
  <si>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</si>
  <si>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</si>
  <si>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</si>
  <si>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</si>
  <si>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</si>
  <si>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</si>
  <si>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</si>
  <si>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</si>
  <si>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</si>
  <si>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</si>
  <si>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</si>
  <si>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</si>
  <si>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</si>
  <si>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</si>
  <si>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</si>
  <si>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</si>
  <si>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</si>
  <si>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</si>
  <si>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</si>
  <si>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</si>
  <si>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</si>
  <si>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</si>
  <si>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</si>
  <si>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</si>
  <si>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</si>
  <si>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</si>
  <si>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</si>
  <si>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</si>
  <si>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</si>
  <si>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</si>
  <si>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</si>
  <si>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</si>
  <si>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</si>
  <si>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</si>
  <si>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</si>
  <si>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</si>
  <si>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</si>
  <si>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</si>
  <si>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</si>
  <si>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</si>
  <si>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</si>
  <si>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</si>
  <si>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</si>
  <si>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</si>
  <si>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</si>
  <si>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</si>
  <si>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</si>
  <si>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</si>
  <si>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</si>
  <si>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</si>
  <si>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</si>
  <si>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</si>
  <si>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</si>
  <si>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</si>
  <si>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</si>
  <si>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</si>
  <si>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</si>
  <si>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</si>
  <si>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</si>
  <si>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</si>
  <si>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</si>
  <si>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</si>
  <si>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</si>
  <si>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</si>
  <si>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</si>
  <si>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</si>
  <si>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</si>
  <si>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</si>
  <si>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</si>
  <si>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</si>
  <si>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</si>
  <si>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</si>
  <si>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</si>
  <si>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</si>
  <si>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</si>
  <si>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</si>
  <si>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</si>
  <si>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</si>
  <si>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</si>
  <si>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</si>
  <si>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</si>
  <si>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</si>
  <si>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</si>
  <si>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</si>
  <si>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</si>
  <si>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</si>
  <si>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</si>
  <si>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</si>
  <si>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</si>
  <si>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</si>
  <si>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</si>
  <si>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</si>
  <si>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</si>
  <si>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</si>
  <si>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</si>
  <si>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</si>
  <si>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</si>
  <si>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</si>
  <si>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</si>
  <si>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</si>
  <si>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</si>
  <si>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</si>
  <si>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</si>
  <si>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</si>
  <si>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</si>
  <si>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</si>
  <si>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</si>
  <si>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</si>
  <si>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</si>
  <si>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</si>
  <si>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</si>
  <si>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</si>
  <si>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</si>
  <si>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</si>
  <si>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</si>
  <si>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</si>
  <si>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</si>
  <si>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</si>
  <si>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</si>
  <si>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</si>
  <si>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</si>
  <si>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</si>
  <si>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</si>
  <si>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</si>
  <si>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</si>
  <si>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</si>
  <si>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</si>
  <si>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</si>
  <si>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</si>
  <si>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</si>
  <si>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</si>
  <si>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</si>
  <si>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</si>
  <si>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</si>
  <si>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</si>
  <si>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</si>
  <si>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</si>
  <si>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</si>
  <si>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</si>
  <si>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</si>
  <si>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</si>
  <si>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</si>
  <si>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</si>
  <si>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</si>
  <si>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</si>
  <si>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</si>
  <si>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</si>
  <si>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</si>
  <si>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</si>
  <si>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</si>
  <si>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</si>
  <si>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</si>
  <si>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</si>
  <si>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</si>
  <si>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</si>
  <si>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</si>
  <si>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</si>
  <si>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</si>
  <si>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</si>
  <si>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</si>
  <si>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</si>
  <si>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</si>
  <si>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</si>
  <si>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</si>
  <si>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</si>
  <si>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</si>
  <si>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</si>
  <si>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</si>
  <si>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</si>
  <si>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</si>
  <si>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</si>
  <si>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</si>
  <si>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</si>
  <si>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</si>
  <si>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</si>
  <si>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</si>
  <si>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</si>
  <si>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</si>
  <si>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</si>
  <si>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</si>
  <si>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</si>
  <si>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</si>
  <si>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</si>
  <si>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</si>
  <si>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</si>
  <si>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</si>
  <si>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</si>
  <si>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</si>
  <si>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</si>
  <si>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</si>
  <si>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</si>
  <si>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</si>
  <si>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</si>
  <si>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</si>
  <si>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</si>
  <si>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</si>
  <si>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</si>
  <si>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</si>
  <si>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</si>
  <si>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</si>
  <si>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</si>
  <si>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</si>
  <si>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</si>
  <si>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</si>
  <si>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</si>
  <si>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</si>
  <si>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</si>
  <si>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</si>
  <si>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</si>
  <si>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</si>
  <si>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</si>
  <si>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</si>
  <si>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</si>
  <si>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</si>
  <si>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</si>
  <si>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</si>
  <si>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</si>
  <si>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</si>
  <si>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</si>
  <si>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</si>
  <si>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</si>
  <si>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</si>
  <si>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</si>
  <si>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</si>
  <si>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</si>
  <si>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</si>
  <si>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</si>
  <si>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</si>
  <si>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</si>
  <si>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</si>
  <si>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</si>
  <si>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</si>
  <si>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</si>
  <si>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</si>
  <si>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</si>
  <si>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</si>
  <si>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</si>
  <si>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</si>
  <si>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</si>
  <si>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</si>
  <si>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</si>
  <si>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</si>
  <si>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</si>
  <si>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</si>
  <si>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</si>
  <si>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</si>
  <si>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</si>
  <si>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</si>
  <si>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</si>
  <si>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</si>
  <si>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</si>
  <si>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</si>
  <si>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</si>
  <si>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</si>
  <si>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</si>
  <si>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</si>
  <si>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</si>
  <si>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</si>
  <si>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</si>
  <si>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</si>
  <si>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</si>
  <si>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</si>
  <si>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</si>
  <si>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</si>
  <si>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</si>
  <si>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</si>
  <si>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</si>
  <si>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</si>
  <si>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</si>
  <si>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</si>
  <si>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</si>
  <si>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</si>
  <si>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</si>
  <si>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</si>
  <si>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</si>
  <si>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</si>
  <si>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</si>
  <si>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</si>
  <si>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</si>
  <si>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</si>
  <si>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</si>
  <si>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</si>
  <si>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</si>
  <si>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</si>
  <si>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</si>
  <si>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</si>
  <si>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</si>
  <si>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</si>
  <si>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</si>
  <si>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</si>
  <si>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</si>
  <si>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</si>
  <si>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</si>
  <si>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</si>
  <si>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</si>
  <si>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</si>
  <si>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郑燚</t>
  </si>
  <si>
    <t>抵押</t>
  </si>
  <si>
    <t>房地产抵押价值</t>
  </si>
  <si>
    <t>北京市</t>
  </si>
  <si>
    <t>企业</t>
  </si>
  <si>
    <t>出让</t>
  </si>
  <si>
    <t>是</t>
  </si>
  <si>
    <t>工业项目</t>
  </si>
  <si>
    <t>无</t>
  </si>
  <si>
    <t>否</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</si>
  <si>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</si>
  <si>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</si>
  <si>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</si>
  <si>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</si>
  <si>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</si>
  <si>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</si>
  <si>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</si>
  <si>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</si>
  <si>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</si>
  <si>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</si>
  <si>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</si>
  <si>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</si>
  <si>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</si>
  <si>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</si>
  <si>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</si>
  <si>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标准厂房</t>
  </si>
  <si>
    <t>地下</t>
  </si>
  <si>
    <t>车库</t>
  </si>
  <si>
    <t>工业</t>
    <phoneticPr fontId="7" type="noConversion"/>
  </si>
  <si>
    <t>成新度</t>
  </si>
  <si>
    <t>收益法</t>
  </si>
  <si>
    <t xml:space="preserve"> </t>
    <phoneticPr fontId="3" type="noConversion"/>
  </si>
  <si>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</si>
  <si>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</si>
  <si>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</si>
  <si>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</si>
  <si>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</si>
  <si>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</si>
  <si>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</si>
  <si>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</si>
  <si>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</si>
  <si>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</si>
  <si>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</si>
  <si>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</si>
  <si>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</si>
  <si>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</si>
  <si>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</si>
  <si>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</si>
  <si>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</si>
  <si>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</si>
  <si>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</si>
  <si>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</si>
  <si>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</si>
  <si>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</si>
  <si>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</si>
  <si>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</si>
  <si>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</si>
  <si>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</si>
  <si>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</si>
  <si>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</si>
  <si>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</si>
  <si>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</si>
  <si>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</si>
  <si>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</si>
  <si>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</si>
  <si>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</si>
  <si>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</si>
  <si>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</si>
  <si>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</si>
  <si>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</si>
  <si>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</si>
  <si>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</si>
  <si>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</si>
  <si>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</si>
  <si>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</si>
  <si>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</si>
  <si>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</si>
  <si>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</si>
  <si>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</si>
  <si>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</si>
  <si>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</si>
  <si>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</si>
  <si>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</si>
  <si>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</si>
  <si>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</si>
  <si>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</si>
  <si>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</si>
  <si>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</si>
  <si>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</si>
  <si>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</si>
  <si>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</si>
  <si>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</si>
  <si>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</si>
  <si>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</si>
  <si>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</si>
  <si>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</si>
  <si>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</si>
  <si>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</si>
  <si>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</si>
  <si>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</si>
  <si>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</si>
  <si>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</si>
  <si>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</si>
  <si>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</si>
  <si>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</si>
  <si>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</si>
  <si>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</si>
  <si>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</si>
  <si>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</si>
  <si>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</si>
  <si>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</si>
  <si>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</si>
  <si>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</si>
  <si>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</si>
  <si>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</si>
  <si>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</si>
  <si>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</si>
  <si>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</si>
  <si>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</si>
  <si>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</si>
  <si>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</si>
  <si>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</si>
  <si>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</si>
  <si>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</si>
  <si>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</si>
  <si>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</si>
  <si>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</si>
  <si>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</si>
  <si>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</si>
  <si>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</si>
  <si>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</si>
  <si>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</si>
  <si>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</si>
  <si>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</si>
  <si>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</si>
  <si>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</si>
  <si>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</si>
  <si>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</si>
  <si>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</si>
  <si>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</si>
  <si>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</si>
  <si>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</si>
  <si>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</si>
  <si>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</si>
  <si>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</si>
  <si>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</si>
  <si>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</si>
  <si>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</si>
  <si>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</si>
  <si>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</si>
  <si>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</si>
  <si>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</si>
  <si>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</si>
  <si>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</si>
  <si>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</si>
  <si>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</si>
  <si>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</si>
  <si>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</si>
  <si>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</si>
  <si>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</si>
  <si>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</si>
  <si>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</si>
  <si>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</si>
  <si>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</si>
  <si>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</si>
  <si>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</si>
  <si>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</si>
  <si>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</si>
  <si>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</si>
  <si>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</si>
  <si>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</si>
  <si>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</si>
  <si>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</si>
  <si>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</si>
  <si>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</si>
  <si>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</si>
  <si>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</si>
  <si>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</si>
  <si>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</si>
  <si>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</si>
  <si>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</si>
  <si>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</si>
  <si>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</si>
  <si>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</si>
  <si>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</si>
  <si>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</si>
  <si>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</si>
  <si>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</si>
  <si>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</si>
  <si>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</si>
  <si>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</si>
  <si>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</si>
  <si>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</si>
  <si>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</si>
  <si>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</si>
  <si>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</si>
  <si>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</si>
  <si>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</si>
  <si>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</si>
  <si>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</si>
  <si>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</si>
  <si>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</si>
  <si>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</si>
  <si>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</si>
  <si>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</si>
  <si>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</si>
  <si>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</si>
  <si>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</si>
  <si>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</si>
  <si>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</si>
  <si>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</si>
  <si>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</si>
  <si>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</si>
  <si>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</si>
  <si>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</si>
  <si>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</si>
  <si>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</si>
  <si>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</si>
  <si>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</si>
  <si>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</si>
  <si>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</si>
  <si>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</si>
  <si>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</si>
  <si>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</si>
  <si>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</si>
  <si>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北京经济技术开发区核心区34M3地块M1一类工业用地国有建设用地使用权出让公告</t>
    <phoneticPr fontId="140" type="noConversion"/>
  </si>
  <si>
    <t>正常</t>
  </si>
  <si>
    <t>工业</t>
    <phoneticPr fontId="33" type="noConversion"/>
  </si>
  <si>
    <t>较规则</t>
    <phoneticPr fontId="3" type="noConversion"/>
  </si>
  <si>
    <t>七通</t>
  </si>
  <si>
    <t>六通</t>
  </si>
  <si>
    <t>五通</t>
  </si>
  <si>
    <t>四通</t>
  </si>
  <si>
    <t>三通</t>
  </si>
  <si>
    <r>
      <t>50</t>
    </r>
    <r>
      <rPr>
        <sz val="11"/>
        <color indexed="8"/>
        <rFont val="宋体"/>
        <family val="3"/>
        <charset val="134"/>
      </rPr>
      <t>年</t>
    </r>
    <phoneticPr fontId="33" type="noConversion"/>
  </si>
  <si>
    <t>较好</t>
  </si>
  <si>
    <t>一般</t>
  </si>
  <si>
    <t>较规则</t>
  </si>
  <si>
    <t>较好</t>
    <phoneticPr fontId="33" type="noConversion"/>
  </si>
  <si>
    <t>地面单价</t>
    <phoneticPr fontId="140" type="noConversion"/>
  </si>
  <si>
    <t>地面</t>
    <phoneticPr fontId="140" type="noConversion"/>
  </si>
  <si>
    <t>楼面</t>
    <phoneticPr fontId="140" type="noConversion"/>
  </si>
  <si>
    <t>单位面积地价</t>
  </si>
  <si>
    <t>住宅</t>
  </si>
  <si>
    <t>押一</t>
  </si>
  <si>
    <t>按租金收入计税</t>
  </si>
  <si>
    <t>非生产用房</t>
  </si>
  <si>
    <t>钢混</t>
  </si>
  <si>
    <t>未包含在土地购买价格中</t>
  </si>
  <si>
    <t>全部缴纳</t>
  </si>
  <si>
    <t>已包含在土地取得成本中</t>
  </si>
  <si>
    <t>总价</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</si>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</sst>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1" fontId="102" fillId="0" borderId="9" xfId="2" applyNumberFormat="1" applyFont="1" applyBorder="1" applyAlignment="1" applyProtection="1">
      <alignment horizontal="center"/>
      <protection locked="0"/>
    </xf>
    <xf numFmtId="181" fontId="102" fillId="0" borderId="32" xfId="2" applyNumberFormat="1" applyFont="1" applyBorder="1" applyAlignment="1" applyProtection="1">
      <alignment horizontal="center"/>
      <protection locked="0"/>
    </xf>
    <xf numFmtId="0" fontId="98" fillId="0" borderId="0" xfId="0" applyFont="1" applyAlignment="1"/>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ont="1" applyAlignment="1"/>
    <xf numFmtId="0" fontId="0" fillId="0" borderId="0" xfId="0" applyFill="1" applyAlignment="1"/>
    <xf numFmtId="0" fontId="98" fillId="0" borderId="0" xfId="0" applyFont="1" applyFill="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4" fillId="6" borderId="63" xfId="2" applyFont="1" applyFill="1" applyBorder="1" applyAlignment="1">
      <alignment horizontal="center"/>
    </xf>
    <xf numFmtId="0" fontId="254"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3</xdr:col>
      <xdr:colOff>332512</xdr:colOff>
      <xdr:row>105</xdr:row>
      <xdr:rowOff>27608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306050"/>
          <a:ext cx="6904762"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1-DYGJ\2020-1-0572%20&#23567;&#31859;&#20135;&#19994;&#22253;\P02&#65288;&#35843;&#20540;&#65289;\&#26368;&#32456;\&#23567;&#31859;&#20135;&#19994;&#22253;20201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125965.92</v>
          </cell>
          <cell r="K5">
            <v>34590.520000000004</v>
          </cell>
        </row>
      </sheetData>
      <sheetData sheetId="12"/>
      <sheetData sheetId="13"/>
      <sheetData sheetId="14"/>
      <sheetData sheetId="15"/>
      <sheetData sheetId="16"/>
      <sheetData sheetId="17"/>
      <sheetData sheetId="18">
        <row r="10">
          <cell r="C10">
            <v>3212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估价对象为北京市房地产，为所有。根据《国有土地使用证》[]，估价对象（分摊）出让国有建设用地使用权面积为106517.9平方米，建筑面积为160624.58平方米。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2021年2月22日（评估专业人员实地查勘之日）</v>
      </c>
    </row>
    <row r="13" spans="1:2" s="1365" customFormat="1">
      <c r="A13" s="1363" t="s">
        <v>1194</v>
      </c>
      <c r="B13" s="1364"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121567</v>
      </c>
    </row>
    <row r="21" spans="1:2" s="1365" customFormat="1">
      <c r="A21" s="1363" t="s">
        <v>1202</v>
      </c>
      <c r="B21" s="1364">
        <f ca="1">'预评函-2'!D7</f>
        <v>7568</v>
      </c>
    </row>
    <row r="22" spans="1:2" s="1365" customFormat="1">
      <c r="A22" s="1363" t="s">
        <v>1203</v>
      </c>
      <c r="B22" s="1364" t="str">
        <f ca="1">'预评函-2'!D6</f>
        <v>壹拾贰亿壹仟伍佰陆拾柒万元整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121567</v>
      </c>
    </row>
    <row r="31" spans="1:2" s="1365" customFormat="1">
      <c r="A31" s="1363" t="s">
        <v>1241</v>
      </c>
      <c r="B31" s="1364">
        <f ca="1">'预评函-2'!D15</f>
        <v>7568</v>
      </c>
    </row>
    <row r="32" spans="1:2" s="1365" customFormat="1">
      <c r="A32" s="1363" t="s">
        <v>1208</v>
      </c>
      <c r="B32" s="1364" t="str">
        <f ca="1">'预评函-2'!D14</f>
        <v>壹拾贰亿壹仟伍佰陆拾柒万元整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160624.58000000002</v>
      </c>
    </row>
    <row r="44" spans="1:2" s="1365" customFormat="1">
      <c r="A44" s="1363" t="s">
        <v>1240</v>
      </c>
      <c r="B44" s="1364" t="str">
        <f>'预评函-3'!C2</f>
        <v>(分摊)土地面积</v>
      </c>
    </row>
    <row r="45" spans="1:2" s="1365" customFormat="1">
      <c r="A45" s="1363" t="s">
        <v>1212</v>
      </c>
      <c r="B45" s="1364">
        <f>'预评函-3'!C4</f>
        <v>106517.9</v>
      </c>
    </row>
    <row r="46" spans="1:2" s="1365" customFormat="1">
      <c r="A46" s="1363" t="s">
        <v>1238</v>
      </c>
      <c r="B46" s="1364" t="str">
        <f>'预评函-3'!D2</f>
        <v>出让国有建设用地使用权价值</v>
      </c>
    </row>
    <row r="47" spans="1:2" s="1365" customFormat="1">
      <c r="A47" s="1363" t="s">
        <v>1213</v>
      </c>
      <c r="B47" s="1364">
        <f ca="1">'预评函-3'!D4</f>
        <v>34039</v>
      </c>
    </row>
    <row r="48" spans="1:2" s="1365" customFormat="1">
      <c r="A48" s="1363" t="s">
        <v>1214</v>
      </c>
      <c r="B48" s="1364">
        <f ca="1">'预评函-3'!E4</f>
        <v>2119</v>
      </c>
    </row>
    <row r="49" spans="1:2" s="1365" customFormat="1">
      <c r="A49" s="1363" t="s">
        <v>1215</v>
      </c>
      <c r="B49" s="1364" t="str">
        <f ca="1">'预评函-3'!D5</f>
        <v>叁亿肆仟零叁拾玖万元整</v>
      </c>
    </row>
    <row r="50" spans="1:2" s="1365" customFormat="1">
      <c r="A50" s="1363" t="s">
        <v>1239</v>
      </c>
      <c r="B50" s="1364" t="str">
        <f>'预评函-3'!F2</f>
        <v>建筑物价值</v>
      </c>
    </row>
    <row r="51" spans="1:2" s="1365" customFormat="1">
      <c r="A51" s="1363" t="s">
        <v>1216</v>
      </c>
      <c r="B51" s="1364">
        <f ca="1">'预评函-3'!F4</f>
        <v>87528</v>
      </c>
    </row>
    <row r="52" spans="1:2" s="1365" customFormat="1">
      <c r="A52" s="1363" t="s">
        <v>1217</v>
      </c>
      <c r="B52" s="1364">
        <f ca="1">'预评函-3'!G4</f>
        <v>5449</v>
      </c>
    </row>
    <row r="53" spans="1:2" s="1365" customFormat="1">
      <c r="A53" s="1363" t="s">
        <v>1245</v>
      </c>
      <c r="B53" s="1364" t="str">
        <f ca="1">'预评函-3'!F5</f>
        <v>捌亿柒仟伍佰贰拾捌万元整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1"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40" t="s">
        <v>832</v>
      </c>
      <c r="C54" s="1737" t="s">
        <v>1248</v>
      </c>
    </row>
    <row r="55" spans="1:4">
      <c r="A55" s="3151"/>
      <c r="B55" s="1740" t="s">
        <v>833</v>
      </c>
      <c r="C55" s="1737" t="s">
        <v>1249</v>
      </c>
    </row>
    <row r="56" spans="1:4">
      <c r="A56" s="3151"/>
      <c r="B56" s="1740" t="s">
        <v>834</v>
      </c>
      <c r="C56" s="1737" t="s">
        <v>1253</v>
      </c>
    </row>
    <row r="57" spans="1:4">
      <c r="A57" s="3151"/>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60" t="str">
        <f>IF(B10="北京市","北京市",C10)&amp;F10&amp;IF(结果表!G1="在建","出让国有建设用地使用权及在建建筑物",IF(结果表!G1="土地","出让国有建设用地使用权",))&amp;B9&amp;"预评估"</f>
        <v>北京市房地产抵押价值预评估</v>
      </c>
      <c r="C1" s="3161"/>
      <c r="D1" s="3161"/>
      <c r="E1" s="3161"/>
      <c r="F1" s="3161"/>
      <c r="G1" s="3161"/>
      <c r="H1" s="3161"/>
      <c r="I1" s="3162"/>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v>44249</v>
      </c>
      <c r="C3" s="2599" t="s">
        <v>2916</v>
      </c>
      <c r="D3" s="2598">
        <f>B3</f>
        <v>44249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t="s">
        <v>3062</v>
      </c>
      <c r="C4" s="2601">
        <f ca="1">SUMIF(注册房地产估价师,B4,估价师及机构信息!B3:B24)</f>
        <v>1120100036</v>
      </c>
      <c r="D4" s="2600" t="s">
        <v>3063</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3064</v>
      </c>
      <c r="C8" s="2615"/>
      <c r="D8" s="3163" t="s">
        <v>2922</v>
      </c>
      <c r="E8" s="2616" t="s">
        <v>3065</v>
      </c>
      <c r="F8" s="2617"/>
      <c r="G8" s="2891"/>
      <c r="H8" s="2891"/>
      <c r="I8" s="2891"/>
      <c r="J8" s="2666"/>
      <c r="K8" s="2841"/>
      <c r="L8" s="2840"/>
      <c r="M8" s="2840"/>
      <c r="N8" s="2666"/>
      <c r="O8" s="2677"/>
      <c r="P8" s="2666"/>
      <c r="Q8" s="2666"/>
      <c r="R8" s="2666"/>
    </row>
    <row r="9" spans="1:28" ht="13.5" thickBot="1">
      <c r="A9" s="2618" t="s">
        <v>2923</v>
      </c>
      <c r="B9" s="2619" t="s">
        <v>3065</v>
      </c>
      <c r="C9" s="2620"/>
      <c r="D9" s="3164"/>
      <c r="E9" s="2619" t="s">
        <v>70</v>
      </c>
      <c r="F9" s="2621"/>
      <c r="G9" s="2893"/>
      <c r="H9" s="2893"/>
      <c r="I9" s="2893"/>
      <c r="J9" s="2666"/>
      <c r="K9" s="2843"/>
      <c r="L9" s="2840"/>
      <c r="M9" s="2840"/>
      <c r="N9" s="2666"/>
      <c r="O9" s="2677"/>
      <c r="P9" s="2666"/>
      <c r="Q9" s="2666"/>
      <c r="R9" s="2666"/>
    </row>
    <row r="10" spans="1:28" ht="13.5" thickTop="1">
      <c r="A10" s="2622" t="s">
        <v>2924</v>
      </c>
      <c r="B10" s="2623" t="s">
        <v>3066</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3067</v>
      </c>
      <c r="C11" s="2628"/>
      <c r="D11" s="2629"/>
      <c r="E11" s="2595"/>
      <c r="F11" s="2595"/>
      <c r="G11" s="2595"/>
      <c r="H11" s="2595"/>
      <c r="I11" s="2595"/>
      <c r="J11" s="2666"/>
      <c r="K11" s="2843"/>
      <c r="L11" s="2840"/>
      <c r="M11" s="2840"/>
      <c r="N11" s="2666"/>
      <c r="O11" s="2677"/>
      <c r="P11" s="2666"/>
      <c r="Q11" s="2666"/>
      <c r="R11" s="2666"/>
    </row>
    <row r="12" spans="1:28">
      <c r="A12" s="2630" t="s">
        <v>2927</v>
      </c>
      <c r="B12" s="2627" t="s">
        <v>3068</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ht="15">
      <c r="A13" s="1241"/>
      <c r="B13" s="2632"/>
      <c r="C13" s="2633" t="s">
        <v>2935</v>
      </c>
      <c r="D13" s="965"/>
      <c r="E13" s="965"/>
      <c r="F13" s="965"/>
      <c r="G13" s="3054">
        <v>60573</v>
      </c>
      <c r="H13" s="965"/>
      <c r="I13" s="3054">
        <v>60573</v>
      </c>
      <c r="J13" s="2666"/>
      <c r="K13" s="2843"/>
      <c r="L13" s="2840"/>
      <c r="M13" s="2840"/>
      <c r="N13" s="2666"/>
      <c r="O13" s="2677"/>
      <c r="P13" s="2666"/>
      <c r="Q13" s="2666"/>
      <c r="R13" s="2666"/>
    </row>
    <row r="14" spans="1:28">
      <c r="A14" s="1241"/>
      <c r="B14" s="2632"/>
      <c r="C14" s="2633" t="s">
        <v>2936</v>
      </c>
      <c r="D14" s="2634"/>
      <c r="E14" s="2634"/>
      <c r="F14" s="2634"/>
      <c r="G14" s="2634">
        <v>50</v>
      </c>
      <c r="H14" s="2634"/>
      <c r="I14" s="2634">
        <v>50</v>
      </c>
      <c r="J14" s="2666"/>
      <c r="K14" s="2844"/>
      <c r="L14" s="2840"/>
      <c r="M14" s="2840"/>
      <c r="N14" s="2666"/>
      <c r="O14" s="2677"/>
      <c r="P14" s="2666"/>
      <c r="Q14" s="2666"/>
      <c r="R14" s="2666"/>
    </row>
    <row r="15" spans="1:28">
      <c r="A15" s="326"/>
      <c r="B15" s="2635"/>
      <c r="C15" s="2636" t="s">
        <v>2937</v>
      </c>
      <c r="D15" s="2637" t="str">
        <f>IF(B12="出让",IF(D13="","",ROUNDDOWN(MIN((D13-$D$3)/365,D14),2)),D14)</f>
        <v/>
      </c>
      <c r="E15" s="2637" t="str">
        <f>IF(B12="出让",IF(E13="","",ROUNDDOWN(MIN((E13-$D$3)/365,E14),2)),E14)</f>
        <v/>
      </c>
      <c r="F15" s="2637" t="str">
        <f>IF(B12="出让",IF(F13="","",ROUNDDOWN(MIN((F13-$D$3)/365,F14),2)),F14)</f>
        <v/>
      </c>
      <c r="G15" s="2637">
        <f>IF(B12="出让",IF(G13="","",ROUNDDOWN(MIN((G13-$D$3)/365,G14),2)),G14)</f>
        <v>44.72</v>
      </c>
      <c r="H15" s="2637" t="str">
        <f>IF(B12="出让",IF(H13="","",ROUNDDOWN(MIN((H13-$D$3)/365,H14),2)),H14)</f>
        <v/>
      </c>
      <c r="I15" s="2637">
        <f>IF(B12="出让",IF(I13="","",ROUNDDOWN(MIN((I13-$D$3)/365,I14),2)),I14)</f>
        <v>44.72</v>
      </c>
      <c r="J15" s="2666"/>
      <c r="K15" s="2845"/>
      <c r="L15" s="2678"/>
      <c r="M15" s="2678"/>
      <c r="N15" s="2736"/>
      <c r="O15" s="2678"/>
      <c r="P15" s="2736"/>
      <c r="Q15" s="2666"/>
      <c r="R15" s="2666"/>
    </row>
    <row r="16" spans="1:28">
      <c r="A16" s="2625" t="s">
        <v>2938</v>
      </c>
      <c r="B16" s="3170"/>
      <c r="C16" s="3171"/>
      <c r="D16" s="3172"/>
      <c r="E16" s="2640" t="s">
        <v>2939</v>
      </c>
      <c r="F16" s="3173"/>
      <c r="G16" s="3174"/>
      <c r="H16" s="3174"/>
      <c r="I16" s="3175"/>
      <c r="J16" s="2666"/>
      <c r="K16" s="2845"/>
      <c r="L16" s="2678"/>
      <c r="M16" s="2678"/>
      <c r="N16" s="2736"/>
      <c r="O16" s="2678"/>
      <c r="P16" s="2736"/>
      <c r="Q16" s="2666"/>
      <c r="R16" s="2666"/>
    </row>
    <row r="17" spans="1:28">
      <c r="A17" s="319" t="s">
        <v>2940</v>
      </c>
      <c r="B17" s="308" t="s">
        <v>2941</v>
      </c>
      <c r="C17" s="11">
        <f>'数据-汇总表'!E3</f>
        <v>160624.58000000002</v>
      </c>
      <c r="D17" s="2546" t="s">
        <v>2942</v>
      </c>
      <c r="E17" s="3176" t="s">
        <v>2943</v>
      </c>
      <c r="F17" s="3177"/>
      <c r="G17" s="3177"/>
      <c r="H17" s="3177"/>
      <c r="I17" s="3178"/>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106517.9</v>
      </c>
      <c r="D18" s="1252" t="s">
        <v>2946</v>
      </c>
      <c r="E18" s="3179" t="s">
        <v>2947</v>
      </c>
      <c r="F18" s="3180"/>
      <c r="G18" s="3180"/>
      <c r="H18" s="3180"/>
      <c r="I18" s="3181"/>
      <c r="J18" s="2666"/>
      <c r="K18" s="2846"/>
      <c r="L18" s="2678"/>
      <c r="M18" s="2678"/>
      <c r="N18" s="2736"/>
      <c r="O18" s="2678"/>
      <c r="P18" s="2736"/>
      <c r="Q18" s="2666"/>
      <c r="R18" s="2666"/>
      <c r="S18" s="2666"/>
      <c r="T18" s="2666"/>
      <c r="U18" s="2666"/>
      <c r="V18" s="2666"/>
    </row>
    <row r="19" spans="1:28" ht="37.5" thickTop="1" thickBot="1">
      <c r="A19" s="333" t="s">
        <v>1741</v>
      </c>
      <c r="B19" s="313" t="s">
        <v>2948</v>
      </c>
      <c r="C19" s="1749" t="s">
        <v>3069</v>
      </c>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66" t="s">
        <v>2951</v>
      </c>
      <c r="C20" s="3167"/>
      <c r="D20" s="3168" t="s">
        <v>2952</v>
      </c>
      <c r="E20" s="3169"/>
      <c r="F20" s="2875" t="s">
        <v>1742</v>
      </c>
      <c r="G20" s="2892"/>
      <c r="H20" s="2892"/>
      <c r="I20" s="2892"/>
      <c r="J20" s="2666"/>
      <c r="K20" s="316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3" t="s">
        <v>2959</v>
      </c>
      <c r="B27" s="326" t="s">
        <v>2960</v>
      </c>
      <c r="C27" s="2643" t="s">
        <v>3070</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3"/>
      <c r="B28" s="308" t="s">
        <v>2961</v>
      </c>
      <c r="C28" s="2645" t="s">
        <v>3071</v>
      </c>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3"/>
      <c r="B29" s="308" t="s">
        <v>2962</v>
      </c>
      <c r="C29" s="2647" t="s">
        <v>3072</v>
      </c>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4"/>
      <c r="B30" s="308" t="s">
        <v>2963</v>
      </c>
      <c r="C30" s="3155"/>
      <c r="D30" s="3156"/>
      <c r="E30" s="2892"/>
      <c r="F30" s="2892"/>
      <c r="G30" s="2892"/>
      <c r="H30" s="2892"/>
      <c r="I30" s="2892"/>
      <c r="J30" s="2666"/>
      <c r="K30" s="2843"/>
      <c r="L30" s="2840"/>
      <c r="M30" s="2840"/>
      <c r="N30" s="2666"/>
      <c r="O30" s="2677"/>
      <c r="P30" s="2666"/>
      <c r="Q30" s="2666"/>
      <c r="R30" s="2666"/>
      <c r="S30" s="2666"/>
      <c r="T30" s="2666"/>
      <c r="U30" s="2666"/>
      <c r="V30" s="2666"/>
    </row>
    <row r="31" spans="1:28">
      <c r="A31" s="3157" t="s">
        <v>2964</v>
      </c>
      <c r="B31" s="2649" t="s">
        <v>3073</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8"/>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8"/>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t="s">
        <v>3074</v>
      </c>
      <c r="C34" s="2215" t="s">
        <v>3075</v>
      </c>
      <c r="D34" s="2215" t="s">
        <v>3076</v>
      </c>
      <c r="E34" s="2215" t="s">
        <v>3077</v>
      </c>
      <c r="F34" s="2215" t="s">
        <v>3078</v>
      </c>
      <c r="G34" s="2215" t="s">
        <v>3079</v>
      </c>
      <c r="H34" s="2215"/>
      <c r="I34" s="2892"/>
      <c r="J34" s="2666"/>
      <c r="K34" s="2654">
        <f>COUNTIF(B34:H34,"——")</f>
        <v>0</v>
      </c>
      <c r="L34" s="329" t="s">
        <v>2966</v>
      </c>
      <c r="M34" s="329" t="s">
        <v>2967</v>
      </c>
      <c r="N34" s="329" t="s">
        <v>2968</v>
      </c>
      <c r="O34" s="329" t="s">
        <v>2969</v>
      </c>
      <c r="P34" s="329" t="s">
        <v>2970</v>
      </c>
      <c r="Q34" s="329" t="s">
        <v>2971</v>
      </c>
      <c r="R34" s="329" t="s">
        <v>2972</v>
      </c>
      <c r="S34" s="3152" t="s">
        <v>2973</v>
      </c>
      <c r="T34" s="2655" t="str">
        <f>NUMBERSTRING(7-K34,1)&amp;"通"</f>
        <v>七通</v>
      </c>
      <c r="U34" s="2666"/>
      <c r="V34" s="2666"/>
    </row>
    <row r="35" spans="1:30">
      <c r="A35" s="2656"/>
      <c r="B35" s="3159" t="s">
        <v>2974</v>
      </c>
      <c r="C35" s="3159"/>
      <c r="D35" s="3159"/>
      <c r="E35" s="3159"/>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52"/>
      <c r="T35" s="335" t="str">
        <f>IF(T34="一通",L35,IF(T34="二通",M35,IF(T34="三通",N35,IF(T34="四通",O35,IF(T34="五通",P35,IF(T34="六通",Q35,R35))))))</f>
        <v>通路、通电、通讯、通上水、通下水、平整、</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c r="C37" s="2658"/>
      <c r="D37" s="2658"/>
      <c r="E37" s="2658" t="s">
        <v>526</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c r="C38" s="2659"/>
      <c r="D38" s="2659"/>
      <c r="E38" s="2659" t="s">
        <v>3080</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106517.9</v>
      </c>
      <c r="B3" s="14">
        <f>IF(C3="否",G5-AT5,G5)</f>
        <v>160624.58000000002</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75" customFormat="1" ht="12.75">
      <c r="A6" s="15" t="s">
        <v>1758</v>
      </c>
      <c r="B6" s="1772"/>
      <c r="C6" s="1772"/>
      <c r="D6" s="1773"/>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3087</v>
      </c>
      <c r="J9" s="918"/>
      <c r="K9" s="1789" t="s">
        <v>3089</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t="s">
        <v>3090</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3088</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t="str">
        <f>K10</f>
        <v>车库</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标准厂房</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v>1</v>
      </c>
      <c r="D13" s="1811" t="s">
        <v>3069</v>
      </c>
      <c r="E13" s="16">
        <f>IF($C$3="是",ROUND($A$3*G13/$B$3,2),ROUND($A$3*(G13-AT13)/$B$3,2))</f>
        <v>10852.71</v>
      </c>
      <c r="F13" s="32"/>
      <c r="G13" s="33">
        <f>H13+AC13+AT13</f>
        <v>16365.43</v>
      </c>
      <c r="H13" s="20">
        <f>SUMIF(I$12:AB$12,"总值",I13:AB13)</f>
        <v>16365.43</v>
      </c>
      <c r="I13" s="1812">
        <v>16365.43</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1</v>
      </c>
      <c r="AY13" s="1534">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182">
        <v>2</v>
      </c>
      <c r="D14" s="1811" t="s">
        <v>3069</v>
      </c>
      <c r="E14" s="16">
        <f>IF($C$3="是",ROUND($A$3*G14/$B$3,2),ROUND($A$3*(G14-AT14)/$B$3,2))</f>
        <v>10852.71</v>
      </c>
      <c r="F14" s="32"/>
      <c r="G14" s="33">
        <f>H14+AC14+AT14</f>
        <v>16365.43</v>
      </c>
      <c r="H14" s="20">
        <f>SUMIF(I$12:AB$12,"总值",I14:AB14)</f>
        <v>16365.43</v>
      </c>
      <c r="I14" s="1812">
        <v>16365.43</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2</v>
      </c>
      <c r="AY14" s="1534">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182">
        <v>3</v>
      </c>
      <c r="D15" s="1811" t="s">
        <v>3069</v>
      </c>
      <c r="E15" s="16">
        <f>IF($C$3="是",ROUND($A$3*G15/$B$3,2),ROUND($A$3*(G15-AT15)/$B$3,2))</f>
        <v>11029.69</v>
      </c>
      <c r="F15" s="32"/>
      <c r="G15" s="33">
        <f>H15+AC15+AT15</f>
        <v>16632.32</v>
      </c>
      <c r="H15" s="20">
        <f>SUMIF(I$12:AB$12,"总值",I15:AB15)</f>
        <v>16632.32</v>
      </c>
      <c r="I15" s="1812">
        <v>16632.32</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3</v>
      </c>
      <c r="AY15" s="1534">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182">
        <v>4</v>
      </c>
      <c r="D16" s="1811" t="s">
        <v>3069</v>
      </c>
      <c r="E16" s="16">
        <f>IF($C$3="是",ROUND($A$3*G16/$B$3,2),ROUND($A$3*(G16-AT16)/$B$3,2))</f>
        <v>10951.01</v>
      </c>
      <c r="F16" s="32"/>
      <c r="G16" s="33">
        <f>H16+AC16+AT16</f>
        <v>16513.669999999998</v>
      </c>
      <c r="H16" s="20">
        <f>SUMIF(I$12:AB$12,"总值",I16:AB16)</f>
        <v>16513.669999999998</v>
      </c>
      <c r="I16" s="1812">
        <v>16513.669999999998</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4</v>
      </c>
      <c r="AY16" s="1534">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2665" t="s">
        <v>3081</v>
      </c>
      <c r="D17" s="1811" t="s">
        <v>3069</v>
      </c>
      <c r="E17" s="16">
        <f>IF($C$3="是",ROUND($A$3*G17/$B$3,2),ROUND($A$3*(G17-AT17)/$B$3,2))</f>
        <v>62786.6</v>
      </c>
      <c r="F17" s="32"/>
      <c r="G17" s="33">
        <f>H17+AC17+AT17</f>
        <v>94679.59</v>
      </c>
      <c r="H17" s="20">
        <f>SUMIF(I$12:AB$12,"总值",I17:AB17)</f>
        <v>94679.59</v>
      </c>
      <c r="I17" s="1812">
        <f>94679.59-K17</f>
        <v>60089.069999999992</v>
      </c>
      <c r="J17" s="1812"/>
      <c r="K17" s="1812">
        <f>25263.4+9327.12</f>
        <v>34590.520000000004</v>
      </c>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t="str">
        <f t="shared" si="6"/>
        <v>5-8</v>
      </c>
      <c r="AY17" s="1534">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65" t="s">
        <v>3082</v>
      </c>
      <c r="D18" s="1811" t="s">
        <v>3069</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817"/>
      <c r="AV18" s="1528">
        <f t="shared" ref="AV18:AV112" si="11">A18</f>
        <v>0</v>
      </c>
      <c r="AW18" s="1528">
        <f t="shared" ref="AW18:AW112" si="12">B18</f>
        <v>0</v>
      </c>
      <c r="AX18" s="1528"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65" t="s">
        <v>3083</v>
      </c>
      <c r="D19" s="1811" t="s">
        <v>3069</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817"/>
      <c r="AV19" s="1528">
        <f t="shared" si="11"/>
        <v>0</v>
      </c>
      <c r="AW19" s="1528">
        <f t="shared" si="12"/>
        <v>0</v>
      </c>
      <c r="AX19" s="1528"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65" t="s">
        <v>3084</v>
      </c>
      <c r="D20" s="1811" t="s">
        <v>3069</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817"/>
      <c r="AV20" s="1528">
        <f t="shared" si="11"/>
        <v>0</v>
      </c>
      <c r="AW20" s="1528">
        <f t="shared" si="12"/>
        <v>0</v>
      </c>
      <c r="AX20" s="1528"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65" t="s">
        <v>3085</v>
      </c>
      <c r="D21" s="1811" t="s">
        <v>3069</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817"/>
      <c r="AV21" s="1528">
        <f t="shared" si="11"/>
        <v>0</v>
      </c>
      <c r="AW21" s="1528">
        <f t="shared" si="12"/>
        <v>0</v>
      </c>
      <c r="AX21" s="1528"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65" t="s">
        <v>3086</v>
      </c>
      <c r="D22" s="1811" t="s">
        <v>3069</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817"/>
      <c r="AV22" s="1528">
        <f t="shared" si="11"/>
        <v>0</v>
      </c>
      <c r="AW22" s="1528">
        <f t="shared" si="12"/>
        <v>0</v>
      </c>
      <c r="AX22" s="1528"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3" sqref="D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93" t="s">
        <v>1817</v>
      </c>
      <c r="B2" s="3193"/>
      <c r="C2" s="3193"/>
      <c r="D2" s="904" t="s">
        <v>1793</v>
      </c>
      <c r="E2" s="1825" t="s">
        <v>1794</v>
      </c>
      <c r="F2" s="2887"/>
      <c r="G2" s="2878"/>
      <c r="H2" s="2879"/>
      <c r="I2" s="2549" t="s">
        <v>1818</v>
      </c>
      <c r="J2" s="2887"/>
      <c r="K2" s="2887"/>
      <c r="L2" s="2887"/>
      <c r="M2" s="2887"/>
      <c r="N2" s="2889"/>
      <c r="O2" s="2887"/>
      <c r="P2" s="2887"/>
    </row>
    <row r="3" spans="1:16" ht="15.75" thickBot="1">
      <c r="A3" s="3194" t="s">
        <v>1791</v>
      </c>
      <c r="B3" s="3194"/>
      <c r="C3" s="3194"/>
      <c r="D3" s="46">
        <f>'数据-基础表'!AY6</f>
        <v>106517.9</v>
      </c>
      <c r="E3" s="46">
        <f>'数据-基础表'!AZ5</f>
        <v>160624.58000000002</v>
      </c>
      <c r="F3" s="2887"/>
      <c r="G3" s="1307"/>
      <c r="H3" s="1157" t="s">
        <v>1792</v>
      </c>
      <c r="I3" s="964">
        <f>ROUND('数据-基础表'!B3/'数据-基础表'!A3,2)</f>
        <v>1.51</v>
      </c>
      <c r="J3" s="2887"/>
      <c r="K3" s="2887"/>
      <c r="L3" s="2887"/>
      <c r="M3" s="2887"/>
      <c r="N3" s="2889"/>
      <c r="O3" s="2887"/>
      <c r="P3" s="2887"/>
    </row>
    <row r="4" spans="1:16" ht="15">
      <c r="A4" s="3195"/>
      <c r="B4" s="3196"/>
      <c r="C4" s="3197"/>
      <c r="D4" s="1827" t="s">
        <v>1793</v>
      </c>
      <c r="E4" s="1828" t="s">
        <v>1794</v>
      </c>
      <c r="F4" s="2887"/>
      <c r="G4" s="2880" t="s">
        <v>1819</v>
      </c>
      <c r="H4" s="1157" t="s">
        <v>1799</v>
      </c>
      <c r="I4" s="964">
        <f>ROUND(SUMIF('数据-基础表'!I9:AS9,"地上",'数据-基础表'!I5:AS5)/'数据-基础表'!A3,2)</f>
        <v>1.18</v>
      </c>
      <c r="J4" s="2887"/>
      <c r="K4" s="2887"/>
      <c r="L4" s="2887"/>
      <c r="M4" s="2887"/>
      <c r="N4" s="2889"/>
      <c r="O4" s="2887"/>
      <c r="P4" s="2887"/>
    </row>
    <row r="5" spans="1:16">
      <c r="A5" s="47" t="s">
        <v>1795</v>
      </c>
      <c r="B5" s="3198" t="s">
        <v>1796</v>
      </c>
      <c r="C5" s="3198"/>
      <c r="D5" s="48">
        <f>ROUND($D$3*E5/$E$3,2)</f>
        <v>0</v>
      </c>
      <c r="E5" s="49">
        <f>SUMIF('数据-基础表'!$11:$11,"住宅",'数据-基础表'!$5:$5)</f>
        <v>0</v>
      </c>
      <c r="F5" s="2887"/>
      <c r="G5" s="1307"/>
      <c r="H5" s="1157" t="s">
        <v>1792</v>
      </c>
      <c r="I5" s="964">
        <f>ROUND(E31/D31,2)</f>
        <v>1.51</v>
      </c>
      <c r="J5" s="2887"/>
      <c r="K5" s="2887"/>
      <c r="L5" s="2887"/>
      <c r="M5" s="2887"/>
      <c r="N5" s="2887"/>
      <c r="O5" s="2887"/>
      <c r="P5" s="2887"/>
    </row>
    <row r="6" spans="1:16" ht="15" thickBot="1">
      <c r="A6" s="1830"/>
      <c r="B6" s="3198" t="s">
        <v>1797</v>
      </c>
      <c r="C6" s="3198"/>
      <c r="D6" s="48">
        <f>ROUND($D$3*E6/$E$3,2)</f>
        <v>106517.9</v>
      </c>
      <c r="E6" s="49">
        <f>E3-E5</f>
        <v>160624.58000000002</v>
      </c>
      <c r="F6" s="2887"/>
      <c r="G6" s="2881" t="s">
        <v>1798</v>
      </c>
      <c r="H6" s="1308" t="s">
        <v>1799</v>
      </c>
      <c r="I6" s="2882">
        <f>ROUND(F31/D31,2)</f>
        <v>1.18</v>
      </c>
      <c r="J6" s="2887"/>
      <c r="K6" s="2887"/>
      <c r="L6" s="2887"/>
      <c r="M6" s="2887"/>
      <c r="N6" s="2887"/>
      <c r="O6" s="2887"/>
      <c r="P6" s="2887"/>
    </row>
    <row r="7" spans="1:16" ht="15.75" thickBot="1">
      <c r="A7" s="3190"/>
      <c r="B7" s="3191"/>
      <c r="C7" s="3192"/>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83534.070000000007</v>
      </c>
      <c r="E8" s="51">
        <f>SUMIF('数据-基础表'!BB10:BK10,"地上",'数据-基础表'!BB5:BK5)</f>
        <v>125965.92</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22938.639999999999</v>
      </c>
      <c r="E13" s="51">
        <f>SUMPRODUCT(('数据-基础表'!BB10:BK10="地下")*('数据-基础表'!BB11:BK11="车库")*('数据-基础表'!BB5:BK5))</f>
        <v>34590.520000000004</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106472.71</v>
      </c>
      <c r="E16" s="53">
        <f>SUM(E8:E15)</f>
        <v>160556.44</v>
      </c>
      <c r="F16" s="2887"/>
      <c r="G16" s="2888"/>
      <c r="H16" s="1834" t="s">
        <v>1821</v>
      </c>
      <c r="I16" s="1835"/>
      <c r="J16" s="1301"/>
      <c r="K16" s="3187" t="s">
        <v>1821</v>
      </c>
      <c r="L16" s="3188"/>
      <c r="M16" s="3188"/>
      <c r="N16" s="3188"/>
      <c r="O16" s="3188"/>
      <c r="P16" s="3189"/>
    </row>
    <row r="17" spans="1:19" ht="15">
      <c r="A17" s="1836" t="s">
        <v>1822</v>
      </c>
      <c r="B17" s="1837" t="s">
        <v>1823</v>
      </c>
      <c r="C17" s="1838" t="s">
        <v>1824</v>
      </c>
      <c r="D17" s="1839" t="s">
        <v>1812</v>
      </c>
      <c r="E17" s="1840" t="s">
        <v>1813</v>
      </c>
      <c r="F17" s="1841"/>
      <c r="G17" s="1842"/>
      <c r="H17" s="1843" t="s">
        <v>1825</v>
      </c>
      <c r="I17" s="1844" t="s">
        <v>1810</v>
      </c>
      <c r="J17" s="1301"/>
      <c r="K17" s="3184" t="s">
        <v>1826</v>
      </c>
      <c r="L17" s="3185"/>
      <c r="M17" s="3186"/>
      <c r="N17" s="3184" t="s">
        <v>1827</v>
      </c>
      <c r="O17" s="3185"/>
      <c r="P17" s="3186"/>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5" t="s">
        <v>3091</v>
      </c>
      <c r="D19" s="48">
        <f>ROUND($D$3*E19/$E$3,2)</f>
        <v>106472.71</v>
      </c>
      <c r="E19" s="56">
        <f t="shared" ref="E19:E26" si="1">SUM(F19:G19)</f>
        <v>160556.44</v>
      </c>
      <c r="F19" s="3027">
        <f>'[1]数据-基础表'!I5</f>
        <v>125965.92</v>
      </c>
      <c r="G19" s="3028">
        <f>'[1]数据-基础表'!K5</f>
        <v>34590.520000000004</v>
      </c>
      <c r="H19" s="679">
        <f>ROUND($D$3*I19/$E$3,2)</f>
        <v>45.19</v>
      </c>
      <c r="I19" s="51">
        <f t="shared" ref="I19:I26" si="2">IF($I$17="自定义",P19,M19)</f>
        <v>68.14</v>
      </c>
      <c r="J19" s="1301"/>
      <c r="K19" s="1300">
        <f t="shared" ref="K19:K26" si="3">ROUND(E$28*E19/E$27,2)</f>
        <v>68.14</v>
      </c>
      <c r="L19" s="1157">
        <f t="shared" ref="L19:L26" si="4">ROUND(IF(COUNTIF(C19,"*住宅*")&gt;0,E$29*E19/E$32,0),2)</f>
        <v>0</v>
      </c>
      <c r="M19" s="1312">
        <f>K19+L19</f>
        <v>68.14</v>
      </c>
      <c r="N19" s="1855"/>
      <c r="O19" s="1856"/>
      <c r="P19" s="1312">
        <f>N19+O19</f>
        <v>0</v>
      </c>
      <c r="R19" s="1157">
        <f t="shared" ref="R19:S26" si="5">D19+H19</f>
        <v>106517.90000000001</v>
      </c>
      <c r="S19" s="1158">
        <f t="shared" si="5"/>
        <v>160624.58000000002</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106472.71</v>
      </c>
      <c r="E27" s="1303">
        <f>IF(SUM(E19:E26)='数据-基础表'!BA5,SUM(E19:E26),IF(F27="地上面积有误","面积有误","地下面积有误"))</f>
        <v>160556.44</v>
      </c>
      <c r="F27" s="1302">
        <f>IF(SUM(F19:F26)=E8,SUM(F19:F26),"地上面积有误")</f>
        <v>125965.92</v>
      </c>
      <c r="G27" s="1304">
        <f>SUM(G19:G26)</f>
        <v>34590.520000000004</v>
      </c>
      <c r="H27" s="1305">
        <f>SUM(H19:H26)</f>
        <v>45.19</v>
      </c>
      <c r="I27" s="1306">
        <f>SUM(I19:I26)</f>
        <v>68.14</v>
      </c>
      <c r="J27" s="1301"/>
      <c r="K27" s="1309">
        <f>SUM(K19:K26)</f>
        <v>68.14</v>
      </c>
      <c r="L27" s="1310">
        <f>SUM(L19:L26)</f>
        <v>0</v>
      </c>
      <c r="M27" s="1313">
        <f>SUM(M19:M26)</f>
        <v>68.14</v>
      </c>
      <c r="N27" s="1309">
        <f t="shared" ref="N27:O27" si="10">SUM(N19:N26)</f>
        <v>0</v>
      </c>
      <c r="O27" s="1310">
        <f t="shared" si="10"/>
        <v>0</v>
      </c>
      <c r="P27" s="1311">
        <f>SUM(P19:P26)</f>
        <v>0</v>
      </c>
      <c r="R27" s="1159">
        <f>IF(SUM(R19:R26)=$D$3,SUM(R19:R26),SUM(R19:R26)&amp;"误差"&amp;ROUND(SUM(R19:R26)-$D$3,2))</f>
        <v>106517.90000000001</v>
      </c>
      <c r="S27" s="1157">
        <f>IF(SUM(S19:S26)=$E$3,SUM(S19:S26),SUM(S19:S26)&amp;"误差"&amp;ROUND(SUM(S19:S26)-E3,2))</f>
        <v>160624.58000000002</v>
      </c>
    </row>
    <row r="28" spans="1:19">
      <c r="A28" s="1857"/>
      <c r="B28" s="50" t="s">
        <v>1841</v>
      </c>
      <c r="C28" s="1169" t="s">
        <v>1842</v>
      </c>
      <c r="D28" s="48">
        <f>ROUND($D$3*E28/$E$3,2)</f>
        <v>45.19</v>
      </c>
      <c r="E28" s="56">
        <f>SUM(F28:G28)</f>
        <v>68.14</v>
      </c>
      <c r="F28" s="60">
        <f>'数据-基础表'!BQ5+'数据-基础表'!BS5</f>
        <v>68.14</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45.19</v>
      </c>
      <c r="E30" s="1302">
        <f>SUM(E28:E29)</f>
        <v>68.14</v>
      </c>
      <c r="F30" s="1302">
        <f>SUM(F28:F29)</f>
        <v>68.14</v>
      </c>
      <c r="G30" s="1304">
        <f>SUM(G28:G29)</f>
        <v>0</v>
      </c>
      <c r="H30" s="2887"/>
      <c r="I30" s="2887"/>
      <c r="J30" s="2887"/>
      <c r="K30" s="2887"/>
      <c r="L30" s="2887"/>
      <c r="M30" s="2887"/>
      <c r="N30" s="2887"/>
      <c r="O30" s="2887"/>
      <c r="P30" s="2887"/>
    </row>
    <row r="31" spans="1:19" ht="15.75" thickBot="1">
      <c r="A31" s="1863"/>
      <c r="B31" s="1864"/>
      <c r="C31" s="944" t="s">
        <v>1844</v>
      </c>
      <c r="D31" s="685">
        <f>D27+D30</f>
        <v>106517.90000000001</v>
      </c>
      <c r="E31" s="685">
        <f>E27+E30</f>
        <v>160624.58000000002</v>
      </c>
      <c r="F31" s="686">
        <f>F27+F30</f>
        <v>126034.06</v>
      </c>
      <c r="G31" s="687">
        <f>G27+G30</f>
        <v>34590.520000000004</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3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44249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3092</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60573</v>
      </c>
      <c r="F6" s="68">
        <f>SUMIF(项目基本情况!D$12:I$12,C6,项目基本情况!D$15:I$15)</f>
        <v>44.72</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160556.44</v>
      </c>
      <c r="L6" s="742">
        <v>4000</v>
      </c>
      <c r="M6" s="71">
        <f t="shared" ref="M6:M14" si="0">ROUND(K6*L6/10000,0)</f>
        <v>64223</v>
      </c>
      <c r="N6" s="740">
        <f>ROUND(1-(2021-2020)/60,2)</f>
        <v>0.98</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34">
        <f>ROUND($L$14*S6/10000,0)</f>
        <v>27</v>
      </c>
      <c r="U6" s="74">
        <v>1.5</v>
      </c>
      <c r="V6" s="75">
        <v>0.02</v>
      </c>
      <c r="W6" s="75">
        <v>0.1</v>
      </c>
      <c r="X6" s="1171"/>
      <c r="Y6" s="76">
        <f>N6</f>
        <v>0.98</v>
      </c>
      <c r="Z6" s="77"/>
      <c r="AA6" s="70"/>
      <c r="AB6" s="70"/>
      <c r="AC6" s="1171"/>
      <c r="AD6" s="78"/>
      <c r="AE6" s="1172">
        <f ca="1">IF(AN6="",0,SUMIF(INDIRECT("'"&amp;AN6&amp;"'"&amp;"!E:E"),$AE$5,INDIRECT("'"&amp;AN6&amp;"'"&amp;"!F:F")))</f>
        <v>44.72</v>
      </c>
      <c r="AF6" s="1533"/>
      <c r="AG6" s="143">
        <f>IF(AF6="",0,AE6-AF6)</f>
        <v>0</v>
      </c>
      <c r="AH6" s="79"/>
      <c r="AI6" s="81">
        <v>365</v>
      </c>
      <c r="AJ6" s="82"/>
      <c r="AK6" s="83">
        <v>1.4999999999999999E-2</v>
      </c>
      <c r="AL6" s="84">
        <v>1E-3</v>
      </c>
      <c r="AM6" s="85">
        <v>0.01</v>
      </c>
      <c r="AN6" s="1902" t="s">
        <v>3093</v>
      </c>
      <c r="AO6" s="55">
        <f ca="1">SUMIF(INDIRECT("'"&amp;AN6&amp;"'"&amp;"!A:A"),"总价",INDIRECT("'"&amp;AN6&amp;"'"&amp;"!B:B"))</f>
        <v>122797</v>
      </c>
      <c r="AP6" s="1903">
        <f>IF(C6="住宅",K6*L6,0)</f>
        <v>0</v>
      </c>
      <c r="AQ6" s="55">
        <f>ROUND($L$14*$N$14*S6/10000,0)</f>
        <v>27</v>
      </c>
      <c r="AR6" s="55">
        <f>ROUND($L$14*(1-$N$14)*S6/10000,0)</f>
        <v>1</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68.14</v>
      </c>
      <c r="L14" s="87">
        <f>L6</f>
        <v>4000</v>
      </c>
      <c r="M14" s="71">
        <f t="shared" si="0"/>
        <v>27</v>
      </c>
      <c r="N14" s="88">
        <f>N6</f>
        <v>0.98</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160624.58000000002</v>
      </c>
      <c r="L16" s="98">
        <f>ROUND(M16*10000/SUM(K6:K14),0)</f>
        <v>4000</v>
      </c>
      <c r="M16" s="98">
        <f>SUM(M6:M14)</f>
        <v>64250</v>
      </c>
      <c r="N16" s="99">
        <f>ROUND(SUMPRODUCT(M6:M14,N6:N14)/M16,3)</f>
        <v>0.98</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27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3048</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t="s">
        <v>3094</v>
      </c>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[1]成本法!C10</f>
        <v>3212</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3041</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3061</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3</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523</v>
      </c>
      <c r="C53" s="2889" t="s">
        <v>1932</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99" t="s">
        <v>3031</v>
      </c>
      <c r="B1" s="3200"/>
      <c r="C1" s="3200"/>
      <c r="D1" s="3200"/>
      <c r="E1" s="3200"/>
      <c r="F1" s="3200"/>
      <c r="G1" s="3200"/>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160624.58000000002</v>
      </c>
      <c r="C1" s="2916"/>
      <c r="D1" s="2916"/>
      <c r="E1" s="2916"/>
      <c r="F1" s="2916"/>
      <c r="G1" s="2917"/>
      <c r="H1" s="2918"/>
      <c r="I1" s="2918"/>
      <c r="J1" s="2918"/>
      <c r="K1" s="2918"/>
    </row>
    <row r="2" spans="1:11" ht="16.5">
      <c r="A2" s="2739" t="s">
        <v>1319</v>
      </c>
      <c r="B2" s="2739">
        <f>SUM(C14:C23)</f>
        <v>106517.9</v>
      </c>
      <c r="C2" s="2916"/>
      <c r="D2" s="2916"/>
      <c r="E2" s="2916"/>
      <c r="F2" s="2916"/>
      <c r="G2" s="2917"/>
      <c r="H2" s="2918"/>
      <c r="I2" s="2918"/>
      <c r="J2" s="2918"/>
      <c r="K2" s="2918"/>
    </row>
    <row r="3" spans="1:11" ht="16.5">
      <c r="A3" s="2739" t="s">
        <v>1328</v>
      </c>
      <c r="B3" s="2741">
        <f>项目基本情况!D3</f>
        <v>44249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121567</v>
      </c>
      <c r="C5" s="2739">
        <f ca="1">ROUND(B5*10000/$B$1,0)</f>
        <v>7568</v>
      </c>
      <c r="D5" s="2739">
        <f ca="1">ROUND(B5*10000/$B$2,0)</f>
        <v>11413</v>
      </c>
      <c r="E5" s="2916"/>
      <c r="F5" s="2917"/>
      <c r="G5" s="2917"/>
      <c r="H5" s="2918"/>
      <c r="I5" s="2918"/>
      <c r="J5" s="2918"/>
      <c r="K5" s="2918"/>
    </row>
    <row r="6" spans="1:11" ht="16.5">
      <c r="A6" s="2739" t="s">
        <v>1322</v>
      </c>
      <c r="B6" s="2739">
        <f ca="1">SUM(G14:G23)</f>
        <v>121567</v>
      </c>
      <c r="C6" s="2739">
        <f ca="1">ROUND(B6*10000/$B$1,0)</f>
        <v>7568</v>
      </c>
      <c r="D6" s="2739">
        <f ca="1">ROUND(B6*10000/$B$2,0)</f>
        <v>11413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160624.58000000002</v>
      </c>
      <c r="C14" s="2745">
        <f>结果表!C118</f>
        <v>106517.9</v>
      </c>
      <c r="D14" s="2745">
        <f ca="1">结果表!H118</f>
        <v>121567</v>
      </c>
      <c r="E14" s="2745">
        <f ca="1">ROUND(D14*10000/B14,0)</f>
        <v>7568</v>
      </c>
      <c r="F14" s="2745">
        <f ca="1">ROUND(D14*10000/C14,0)</f>
        <v>11413</v>
      </c>
      <c r="G14" s="2745">
        <f ca="1">结果表!D122</f>
        <v>121567</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B39" sqref="B3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35" t="str">
        <f>项目基本情况!S2</f>
        <v>北京市房地产</v>
      </c>
      <c r="B2" s="3236"/>
      <c r="C2" s="3236"/>
      <c r="D2" s="3236"/>
      <c r="E2" s="3236"/>
      <c r="F2" s="3236"/>
      <c r="G2" s="3236"/>
      <c r="H2" s="3236"/>
      <c r="I2" s="3237"/>
    </row>
    <row r="3" spans="1:12" ht="12.75">
      <c r="A3" s="3239" t="s">
        <v>1950</v>
      </c>
      <c r="B3" s="3240"/>
      <c r="C3" s="3240"/>
      <c r="D3" s="3240"/>
      <c r="E3" s="3240"/>
      <c r="F3" s="3240"/>
      <c r="G3" s="3240"/>
      <c r="H3" s="3240"/>
      <c r="I3" s="3240"/>
    </row>
    <row r="4" spans="1:12" ht="14.25">
      <c r="A4" s="1941" t="s">
        <v>1951</v>
      </c>
      <c r="B4" s="1942" t="s">
        <v>1952</v>
      </c>
      <c r="C4" s="1943" t="s">
        <v>3093</v>
      </c>
      <c r="D4" s="1943" t="s">
        <v>3095</v>
      </c>
      <c r="E4" s="3241" t="s">
        <v>1953</v>
      </c>
      <c r="F4" s="3242"/>
      <c r="G4" s="3242"/>
      <c r="H4" s="3242"/>
      <c r="I4" s="3243"/>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15" t="s">
        <v>1954</v>
      </c>
      <c r="B5" s="3202">
        <v>25</v>
      </c>
      <c r="C5" s="3218"/>
      <c r="D5" s="3238"/>
      <c r="E5" s="136" t="s">
        <v>1955</v>
      </c>
      <c r="F5" s="1944"/>
      <c r="G5" s="1944"/>
      <c r="H5" s="1944"/>
      <c r="I5" s="1558"/>
    </row>
    <row r="6" spans="1:12" ht="12.75">
      <c r="A6" s="3215"/>
      <c r="B6" s="3202"/>
      <c r="C6" s="3219"/>
      <c r="D6" s="3238"/>
      <c r="E6" s="136" t="s">
        <v>1956</v>
      </c>
      <c r="F6" s="1944"/>
      <c r="G6" s="1944"/>
      <c r="H6" s="1944"/>
      <c r="I6" s="1558"/>
    </row>
    <row r="7" spans="1:12" ht="12.75">
      <c r="A7" s="3215"/>
      <c r="B7" s="3202"/>
      <c r="C7" s="3220"/>
      <c r="D7" s="3238"/>
      <c r="E7" s="136" t="s">
        <v>1957</v>
      </c>
      <c r="F7" s="1944"/>
      <c r="G7" s="1944"/>
      <c r="H7" s="1944"/>
      <c r="I7" s="1558"/>
    </row>
    <row r="8" spans="1:12" ht="12.75">
      <c r="A8" s="3215" t="s">
        <v>1958</v>
      </c>
      <c r="B8" s="3202">
        <v>15</v>
      </c>
      <c r="C8" s="3218"/>
      <c r="D8" s="3238"/>
      <c r="E8" s="136" t="s">
        <v>1959</v>
      </c>
      <c r="F8" s="1944"/>
      <c r="G8" s="1944"/>
      <c r="H8" s="1944"/>
      <c r="I8" s="1558"/>
    </row>
    <row r="9" spans="1:12" ht="12.75">
      <c r="A9" s="3215"/>
      <c r="B9" s="3202"/>
      <c r="C9" s="3220"/>
      <c r="D9" s="3238"/>
      <c r="E9" s="136" t="s">
        <v>1960</v>
      </c>
      <c r="F9" s="1944"/>
      <c r="G9" s="1944"/>
      <c r="H9" s="1944"/>
      <c r="I9" s="1558"/>
    </row>
    <row r="10" spans="1:12" ht="12.75">
      <c r="A10" s="3215" t="s">
        <v>1961</v>
      </c>
      <c r="B10" s="3202">
        <v>15</v>
      </c>
      <c r="C10" s="3218"/>
      <c r="D10" s="3238"/>
      <c r="E10" s="136" t="s">
        <v>1962</v>
      </c>
      <c r="F10" s="1944"/>
      <c r="G10" s="1944"/>
      <c r="H10" s="1944"/>
      <c r="I10" s="1558"/>
    </row>
    <row r="11" spans="1:12" ht="12.75">
      <c r="A11" s="3215"/>
      <c r="B11" s="3202"/>
      <c r="C11" s="3220"/>
      <c r="D11" s="3238"/>
      <c r="E11" s="136" t="s">
        <v>1963</v>
      </c>
      <c r="F11" s="1944"/>
      <c r="G11" s="1944"/>
      <c r="H11" s="1944"/>
      <c r="I11" s="1558"/>
    </row>
    <row r="12" spans="1:12" ht="12.75">
      <c r="A12" s="3215" t="s">
        <v>1964</v>
      </c>
      <c r="B12" s="3202">
        <v>15</v>
      </c>
      <c r="C12" s="3218"/>
      <c r="D12" s="3238"/>
      <c r="E12" s="136" t="s">
        <v>1965</v>
      </c>
      <c r="F12" s="1944"/>
      <c r="G12" s="1944"/>
      <c r="H12" s="1944"/>
      <c r="I12" s="1558"/>
    </row>
    <row r="13" spans="1:12" ht="12.75">
      <c r="A13" s="3215"/>
      <c r="B13" s="3202"/>
      <c r="C13" s="3220"/>
      <c r="D13" s="3238"/>
      <c r="E13" s="136" t="s">
        <v>1966</v>
      </c>
      <c r="F13" s="1944"/>
      <c r="G13" s="1944"/>
      <c r="H13" s="1944"/>
      <c r="I13" s="1558"/>
    </row>
    <row r="14" spans="1:12" ht="12.75">
      <c r="A14" s="3215" t="s">
        <v>1967</v>
      </c>
      <c r="B14" s="3202">
        <v>30</v>
      </c>
      <c r="C14" s="3218">
        <v>5</v>
      </c>
      <c r="D14" s="3238">
        <v>5</v>
      </c>
      <c r="E14" s="136" t="s">
        <v>1968</v>
      </c>
      <c r="F14" s="1944"/>
      <c r="G14" s="1944"/>
      <c r="H14" s="1944"/>
      <c r="I14" s="1558"/>
    </row>
    <row r="15" spans="1:12" ht="12.75">
      <c r="A15" s="3215"/>
      <c r="B15" s="3202"/>
      <c r="C15" s="3219"/>
      <c r="D15" s="3238"/>
      <c r="E15" s="136" t="s">
        <v>1969</v>
      </c>
      <c r="F15" s="1944"/>
      <c r="G15" s="1944"/>
      <c r="H15" s="1944"/>
      <c r="I15" s="1558"/>
    </row>
    <row r="16" spans="1:12" ht="12.75">
      <c r="A16" s="3215"/>
      <c r="B16" s="3202"/>
      <c r="C16" s="3220"/>
      <c r="D16" s="3238"/>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25" t="s">
        <v>2872</v>
      </c>
      <c r="F18" s="3226"/>
      <c r="G18" s="3226"/>
      <c r="H18" s="3226"/>
      <c r="I18" s="3226"/>
      <c r="K18" s="308" t="s">
        <v>1975</v>
      </c>
      <c r="L18" s="308">
        <f>IF(C1="",'数据-汇总表'!E3,SUMIF(项目类型,C1,'数据-汇总表'!E17:E26)+SUMIF(项目类型,C1,'数据-汇总表'!I17:I26))</f>
        <v>160624.58000000002</v>
      </c>
      <c r="M18" s="308">
        <f>IF(C1="",'数据-汇总表'!E3,SUMIF(项目类型,C1,'数据-汇总表'!E17:E26))</f>
        <v>160624.58000000002</v>
      </c>
    </row>
    <row r="19" spans="1:36" ht="15">
      <c r="A19" s="1948" t="s">
        <v>1976</v>
      </c>
      <c r="B19" s="1949" t="s">
        <v>1977</v>
      </c>
      <c r="C19" s="139">
        <f ca="1">SUMIF(INDIRECT("'"&amp;C4&amp;"'"&amp;"!A:A"),结果表!B19,INDIRECT("'"&amp;C4&amp;"'"&amp;"!B:B"))</f>
        <v>122797</v>
      </c>
      <c r="D19" s="140">
        <f ca="1">SUMIF(INDIRECT("'"&amp;D4&amp;"'"&amp;"!A:A"),结果表!B19,INDIRECT("'"&amp;D4&amp;"'"&amp;"!B:B"))</f>
        <v>120336</v>
      </c>
      <c r="E19" s="1948" t="s">
        <v>1978</v>
      </c>
      <c r="F19" s="1949" t="s">
        <v>1977</v>
      </c>
      <c r="G19" s="141">
        <f ca="1">ROUND(C19*$C$18+D19*$D$18,0)</f>
        <v>121567</v>
      </c>
      <c r="H19" s="1950" t="s">
        <v>1979</v>
      </c>
      <c r="I19" s="134"/>
      <c r="K19" s="308" t="s">
        <v>1980</v>
      </c>
      <c r="L19" s="308">
        <f>IF(C1="",'数据-汇总表'!D3,SUMIF(项目类型,C1,'数据-汇总表'!D17:D26)+SUMIF(项目类型,C1,'数据-汇总表'!H17:H27))</f>
        <v>106517.9</v>
      </c>
      <c r="M19" s="308">
        <f>IF(C1="",'数据-汇总表'!D3,SUMIF(项目类型,C1,'数据-汇总表'!D17:D26))</f>
        <v>106517.9</v>
      </c>
    </row>
    <row r="20" spans="1:36" ht="15">
      <c r="A20" s="1951"/>
      <c r="B20" s="1157" t="s">
        <v>1981</v>
      </c>
      <c r="C20" s="142">
        <f ca="1">SUMIF(INDIRECT("'"&amp;C4&amp;"'"&amp;"!A:A"),结果表!B20,INDIRECT("'"&amp;C4&amp;"'"&amp;"!B:B"))</f>
        <v>7648</v>
      </c>
      <c r="D20" s="143">
        <f ca="1">SUMIF(INDIRECT("'"&amp;D4&amp;"'"&amp;"!A:A"),结果表!B20,INDIRECT("'"&amp;D4&amp;"'"&amp;"!B:B"))</f>
        <v>7492</v>
      </c>
      <c r="E20" s="1951"/>
      <c r="F20" s="1157" t="s">
        <v>1981</v>
      </c>
      <c r="G20" s="144">
        <f ca="1">ROUND(C20*$C$18+D20*$D$18,0)</f>
        <v>7570</v>
      </c>
      <c r="H20" s="917" t="s">
        <v>1982</v>
      </c>
      <c r="I20" s="134"/>
    </row>
    <row r="21" spans="1:36" ht="15" customHeight="1" thickBot="1">
      <c r="A21" s="937"/>
      <c r="B21" s="1952" t="s">
        <v>1983</v>
      </c>
      <c r="C21" s="728">
        <f ca="1">ROUND(C19*10000/L19,0)</f>
        <v>11528</v>
      </c>
      <c r="D21" s="729">
        <f ca="1">ROUND(D19*10000/L19,0)</f>
        <v>11297</v>
      </c>
      <c r="E21" s="937"/>
      <c r="F21" s="1952" t="s">
        <v>1983</v>
      </c>
      <c r="G21" s="145">
        <f ca="1">ROUND(G19*10000/L19,0)</f>
        <v>11413</v>
      </c>
      <c r="H21" s="1953" t="s">
        <v>1982</v>
      </c>
      <c r="I21" s="134"/>
    </row>
    <row r="22" spans="1:36" ht="15" thickBot="1">
      <c r="A22" s="1875" t="s">
        <v>1984</v>
      </c>
      <c r="B22" s="1954"/>
      <c r="C22" s="1955"/>
      <c r="D22" s="730">
        <f ca="1">IF(C19&lt;D19,D19/C19-1,C19/D19-1)</f>
        <v>2.0451070336391375E-2</v>
      </c>
      <c r="E22" s="134"/>
      <c r="F22" s="134"/>
      <c r="G22" s="134"/>
      <c r="H22" s="134"/>
      <c r="I22" s="134"/>
    </row>
    <row r="23" spans="1:36" ht="13.5" thickBot="1">
      <c r="A23" s="1934"/>
      <c r="B23" s="1934"/>
      <c r="C23" s="1934"/>
      <c r="D23" s="1934"/>
      <c r="E23" s="134"/>
      <c r="F23" s="134"/>
      <c r="G23" s="134"/>
      <c r="H23" s="134"/>
      <c r="I23" s="134"/>
    </row>
    <row r="24" spans="1:36" ht="14.25">
      <c r="A24" s="3209" t="s">
        <v>1985</v>
      </c>
      <c r="B24" s="1949" t="s">
        <v>1977</v>
      </c>
      <c r="C24" s="141">
        <f>IF(B30=0,0,D30)</f>
        <v>0</v>
      </c>
      <c r="D24" s="1956"/>
      <c r="E24" s="134"/>
      <c r="F24" s="134"/>
      <c r="G24" s="134"/>
      <c r="H24" s="134"/>
      <c r="I24" s="134"/>
    </row>
    <row r="25" spans="1:36" ht="14.25">
      <c r="A25" s="3210"/>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121567</v>
      </c>
      <c r="D32" s="1962" t="s">
        <v>3314</v>
      </c>
      <c r="E32" s="134"/>
      <c r="F32" s="134"/>
      <c r="G32" s="134"/>
      <c r="H32" s="134"/>
      <c r="I32" s="134"/>
    </row>
    <row r="33" spans="1:15" ht="15">
      <c r="A33" s="894" t="s">
        <v>1992</v>
      </c>
      <c r="B33" s="1963"/>
      <c r="C33" s="1964" t="s">
        <v>3315</v>
      </c>
      <c r="D33" s="1965" t="s">
        <v>3095</v>
      </c>
      <c r="E33" s="1966" t="s">
        <v>1993</v>
      </c>
      <c r="F33" s="1967" t="str">
        <f>IF(D32="楼面单价","取值（单价）","取值（总价）")</f>
        <v>取值（总价）</v>
      </c>
      <c r="G33" s="134"/>
      <c r="H33" s="134"/>
      <c r="I33" s="134"/>
    </row>
    <row r="34" spans="1:15" ht="15">
      <c r="A34" s="1968"/>
      <c r="B34" s="1969" t="s">
        <v>1994</v>
      </c>
      <c r="C34" s="153">
        <f ca="1">IF(C33="自定义",F34,C32-C35)</f>
        <v>34039</v>
      </c>
      <c r="D34" s="970">
        <f ca="1">IF(C33="自定义",ROUND(C34/C32,3),IF(C33="收益比率",SUMIF(INDIRECT("'"&amp;D33&amp;"'"&amp;"!b:b"),"土地收益比率",INDIRECT("'"&amp;D33&amp;"'"&amp;"!c:c")),SUMIF(INDIRECT("'"&amp;D33&amp;"'"&amp;"!b:b"),"土地成本比率",INDIRECT("'"&amp;D33&amp;"'"&amp;"!c:c"))))</f>
        <v>0.28000000000000003</v>
      </c>
      <c r="E34" s="1970" t="s">
        <v>1995</v>
      </c>
      <c r="F34" s="1499"/>
      <c r="G34" s="134"/>
      <c r="H34" s="134"/>
      <c r="I34" s="134"/>
    </row>
    <row r="35" spans="1:15" ht="15.75" thickBot="1">
      <c r="A35" s="1971"/>
      <c r="B35" s="1972" t="s">
        <v>1996</v>
      </c>
      <c r="C35" s="1332">
        <f ca="1">IF(C33="自定义",F35,ROUND(C32*D35,0))</f>
        <v>87528</v>
      </c>
      <c r="D35" s="1333">
        <f ca="1">IF(C33="自定义",ROUND(C35/C32,3),IF(C33="收益比率",SUMIF(INDIRECT("'"&amp;D33&amp;"'"&amp;"!b:b"),"建筑物收益比率",INDIRECT("'"&amp;D33&amp;"'"&amp;"!c:c")),SUMIF(INDIRECT("'"&amp;D33&amp;"'"&amp;"!b:b"),"建筑物成本比率",INDIRECT("'"&amp;D33&amp;"'"&amp;"!c:c"))))</f>
        <v>0.72</v>
      </c>
      <c r="E35" s="1973" t="s">
        <v>1997</v>
      </c>
      <c r="F35" s="159"/>
      <c r="G35" s="134"/>
      <c r="H35" s="134"/>
      <c r="I35" s="134"/>
    </row>
    <row r="36" spans="1:15" ht="15.75" thickBot="1">
      <c r="A36" s="3229" t="s">
        <v>1998</v>
      </c>
      <c r="B36" s="1974" t="s">
        <v>1999</v>
      </c>
      <c r="C36" s="150"/>
      <c r="D36" s="1975"/>
      <c r="E36" s="1976"/>
      <c r="F36" s="1977"/>
      <c r="G36" s="134"/>
      <c r="H36" s="134"/>
      <c r="I36" s="134"/>
    </row>
    <row r="37" spans="1:15" ht="15.75" thickBot="1">
      <c r="A37" s="3230"/>
      <c r="B37" s="1861" t="s">
        <v>2000</v>
      </c>
      <c r="C37" s="152"/>
      <c r="D37" s="1301"/>
      <c r="E37" s="1301"/>
      <c r="F37" s="1977"/>
      <c r="G37" s="134"/>
      <c r="H37" s="134"/>
      <c r="I37" s="134"/>
    </row>
    <row r="38" spans="1:15" ht="15.75" thickBot="1">
      <c r="A38" s="3231"/>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06" t="s">
        <v>2012</v>
      </c>
      <c r="B45" s="3207"/>
      <c r="C45" s="3208"/>
      <c r="D45" s="160">
        <f ca="1">ROUND(H101*F45,0)</f>
        <v>121567</v>
      </c>
      <c r="E45" s="161" t="s">
        <v>2013</v>
      </c>
      <c r="F45" s="162">
        <v>1</v>
      </c>
      <c r="G45" s="163" t="s">
        <v>2014</v>
      </c>
      <c r="H45" s="134"/>
      <c r="I45" s="134"/>
      <c r="J45" s="3287" t="s">
        <v>2015</v>
      </c>
      <c r="K45" s="3287"/>
      <c r="L45" s="3287"/>
      <c r="M45" s="3287"/>
      <c r="N45" s="3287"/>
      <c r="O45" s="3287"/>
    </row>
    <row r="46" spans="1:15" ht="14.25" customHeight="1">
      <c r="A46" s="3203" t="s">
        <v>2016</v>
      </c>
      <c r="B46" s="3204"/>
      <c r="C46" s="3204"/>
      <c r="D46" s="3204"/>
      <c r="E46" s="3204"/>
      <c r="F46" s="3204"/>
      <c r="G46" s="3205"/>
      <c r="H46" s="1993"/>
      <c r="I46" s="164"/>
      <c r="J46" s="2750">
        <v>1</v>
      </c>
      <c r="K46" s="3268" t="s">
        <v>2017</v>
      </c>
      <c r="L46" s="3268"/>
      <c r="M46" s="3288"/>
      <c r="N46" s="3288"/>
      <c r="O46" s="3288"/>
    </row>
    <row r="47" spans="1:15" ht="12" customHeight="1">
      <c r="A47" s="165" t="s">
        <v>2018</v>
      </c>
      <c r="B47" s="166"/>
      <c r="C47" s="167"/>
      <c r="D47" s="1247" t="s">
        <v>2019</v>
      </c>
      <c r="E47" s="308" t="s">
        <v>2020</v>
      </c>
      <c r="F47" s="168" t="s">
        <v>2021</v>
      </c>
      <c r="G47" s="2773" t="s">
        <v>2022</v>
      </c>
      <c r="H47" s="2774"/>
      <c r="I47" s="164"/>
      <c r="J47" s="2750">
        <v>2</v>
      </c>
      <c r="K47" s="3268" t="s">
        <v>2023</v>
      </c>
      <c r="L47" s="3268"/>
      <c r="M47" s="3289">
        <f>'数据-取费表'!B2</f>
        <v>44249</v>
      </c>
      <c r="N47" s="3289"/>
      <c r="O47" s="3289"/>
    </row>
    <row r="48" spans="1:15" ht="25.5">
      <c r="A48" s="3234" t="s">
        <v>2024</v>
      </c>
      <c r="B48" s="3217"/>
      <c r="C48" s="3217"/>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268" t="s">
        <v>2026</v>
      </c>
      <c r="L48" s="3268"/>
      <c r="M48" s="3290">
        <f ca="1">H101</f>
        <v>121567</v>
      </c>
      <c r="N48" s="3290"/>
      <c r="O48" s="3290"/>
    </row>
    <row r="49" spans="1:35" ht="25.5" customHeight="1">
      <c r="A49" s="2557" t="s">
        <v>2027</v>
      </c>
      <c r="B49" s="3201" t="s">
        <v>2028</v>
      </c>
      <c r="C49" s="3201"/>
      <c r="D49" s="1776">
        <v>0</v>
      </c>
      <c r="E49" s="330" t="s">
        <v>2029</v>
      </c>
      <c r="F49" s="2651" t="s">
        <v>34</v>
      </c>
      <c r="G49" s="3274"/>
      <c r="H49" s="2529" t="s">
        <v>2875</v>
      </c>
      <c r="I49" s="2530"/>
      <c r="J49" s="2750">
        <v>4</v>
      </c>
      <c r="K49" s="3268" t="str">
        <f>IF(项目基本情况!E8="房地产抵押价值","房地产抵押价值","抵押担保权已注销时的房地产抵押价值")</f>
        <v>房地产抵押价值</v>
      </c>
      <c r="L49" s="3268"/>
      <c r="M49" s="3290">
        <f ca="1">IF(项目基本情况!E8="房地产抵押价值",H107,H109)</f>
        <v>121567</v>
      </c>
      <c r="N49" s="3290"/>
      <c r="O49" s="3290"/>
    </row>
    <row r="50" spans="1:35" ht="25.5" customHeight="1">
      <c r="A50" s="2778"/>
      <c r="B50" s="3201" t="s">
        <v>2030</v>
      </c>
      <c r="C50" s="3201"/>
      <c r="D50" s="2779"/>
      <c r="E50" s="338"/>
      <c r="F50" s="2651"/>
      <c r="G50" s="3275"/>
      <c r="H50" s="2531" t="s">
        <v>2876</v>
      </c>
      <c r="I50" s="2530"/>
      <c r="J50" s="3287" t="s">
        <v>2031</v>
      </c>
      <c r="K50" s="3287"/>
      <c r="L50" s="3287"/>
      <c r="M50" s="3287"/>
      <c r="N50" s="3287"/>
      <c r="O50" s="3287"/>
    </row>
    <row r="51" spans="1:35" ht="20.45" customHeight="1">
      <c r="A51" s="2780"/>
      <c r="B51" s="3201" t="s">
        <v>2032</v>
      </c>
      <c r="C51" s="3201"/>
      <c r="D51" s="1247"/>
      <c r="E51" s="333"/>
      <c r="F51" s="2651"/>
      <c r="G51" s="3276"/>
      <c r="H51" s="2531" t="s">
        <v>2877</v>
      </c>
      <c r="I51" s="2530"/>
      <c r="J51" s="2751" t="s">
        <v>2033</v>
      </c>
      <c r="K51" s="3268" t="s">
        <v>2034</v>
      </c>
      <c r="L51" s="3268"/>
      <c r="M51" s="2751" t="s">
        <v>2035</v>
      </c>
      <c r="N51" s="2751" t="s">
        <v>2036</v>
      </c>
      <c r="O51" s="2751" t="s">
        <v>2037</v>
      </c>
    </row>
    <row r="52" spans="1:35" ht="24" customHeight="1">
      <c r="A52" s="2559" t="s">
        <v>2038</v>
      </c>
      <c r="B52" s="3201" t="s">
        <v>2039</v>
      </c>
      <c r="C52" s="3201"/>
      <c r="D52" s="1247">
        <f ca="1">ROUND(D45*'数据-取费表'!B41/(1+'数据-取费表'!C42),0)</f>
        <v>6484</v>
      </c>
      <c r="E52" s="2558" t="s">
        <v>2040</v>
      </c>
      <c r="F52" s="2781">
        <f>'数据-取费表'!B41</f>
        <v>5.6000000000000001E-2</v>
      </c>
      <c r="G52" s="2782"/>
      <c r="H52" s="2771"/>
      <c r="I52" s="1994"/>
      <c r="J52" s="2750">
        <v>1</v>
      </c>
      <c r="K52" s="3269" t="s">
        <v>2041</v>
      </c>
      <c r="L52" s="3269"/>
      <c r="M52" s="2752" t="b">
        <f>D48</f>
        <v>0</v>
      </c>
      <c r="N52" s="2750" t="str">
        <f>E48</f>
        <v>销售额×税（费）率</v>
      </c>
      <c r="O52" s="2753">
        <f>F48</f>
        <v>5.6000000000000001E-2</v>
      </c>
    </row>
    <row r="53" spans="1:35" ht="12" customHeight="1">
      <c r="A53" s="2559" t="s">
        <v>2042</v>
      </c>
      <c r="B53" s="3227" t="s">
        <v>3036</v>
      </c>
      <c r="C53" s="3228"/>
      <c r="D53" s="1247">
        <f ca="1">ROUND(D45*'数据-取费表'!B41/(1+'数据-取费表'!C42),0)</f>
        <v>6484</v>
      </c>
      <c r="E53" s="2558" t="s">
        <v>2040</v>
      </c>
      <c r="F53" s="2781">
        <f>'数据-取费表'!B41</f>
        <v>5.6000000000000001E-2</v>
      </c>
      <c r="G53" s="2782"/>
      <c r="H53" s="2771"/>
      <c r="I53" s="1994"/>
      <c r="J53" s="2750">
        <v>2</v>
      </c>
      <c r="K53" s="3269" t="s">
        <v>2043</v>
      </c>
      <c r="L53" s="3269"/>
      <c r="M53" s="2752">
        <f t="shared" ref="M53:O54" ca="1" si="0">D55</f>
        <v>0</v>
      </c>
      <c r="N53" s="2750" t="str">
        <f t="shared" si="0"/>
        <v>销售额×税（费）率</v>
      </c>
      <c r="O53" s="2753" t="str">
        <f t="shared" si="0"/>
        <v>免征</v>
      </c>
    </row>
    <row r="54" spans="1:35" ht="12" customHeight="1">
      <c r="A54" s="2559" t="s">
        <v>2044</v>
      </c>
      <c r="B54" s="3227" t="s">
        <v>3037</v>
      </c>
      <c r="C54" s="3228"/>
      <c r="D54" s="1247">
        <f ca="1">C68</f>
        <v>6484</v>
      </c>
      <c r="E54" s="333" t="s">
        <v>2045</v>
      </c>
      <c r="F54" s="2781">
        <f>'数据-取费表'!B41</f>
        <v>5.6000000000000001E-2</v>
      </c>
      <c r="G54" s="2782"/>
      <c r="H54" s="2783"/>
      <c r="I54" s="1994"/>
      <c r="J54" s="2750">
        <v>3</v>
      </c>
      <c r="K54" s="3269" t="s">
        <v>2046</v>
      </c>
      <c r="L54" s="3269"/>
      <c r="M54" s="2752">
        <f t="shared" ca="1" si="0"/>
        <v>68807</v>
      </c>
      <c r="N54" s="2750" t="str">
        <f t="shared" si="0"/>
        <v>增值额×税（费）率</v>
      </c>
      <c r="O54" s="2754" t="str">
        <f t="shared" si="0"/>
        <v>免征</v>
      </c>
    </row>
    <row r="55" spans="1:35" ht="24" customHeight="1">
      <c r="A55" s="3216" t="s">
        <v>2047</v>
      </c>
      <c r="B55" s="3217"/>
      <c r="C55" s="3217"/>
      <c r="D55" s="2548">
        <f ca="1">IF(H55="个人住宅",0,ROUND(D45*I55,0))</f>
        <v>0</v>
      </c>
      <c r="E55" s="2558" t="s">
        <v>2048</v>
      </c>
      <c r="F55" s="2781" t="str">
        <f>IF(H55="正常",I55,"免征")</f>
        <v>免征</v>
      </c>
      <c r="G55" s="2782"/>
      <c r="H55" s="2777"/>
      <c r="I55" s="170">
        <f>'数据-取费表'!B49</f>
        <v>0</v>
      </c>
      <c r="J55" s="2750">
        <f>IF(H59="非个人房产","",4)</f>
        <v>4</v>
      </c>
      <c r="K55" s="3269" t="str">
        <f>IF(H59="非个人房产","——","个人所得税")</f>
        <v>个人所得税</v>
      </c>
      <c r="L55" s="3269"/>
      <c r="M55" s="2755">
        <f ca="1">D59</f>
        <v>1158</v>
      </c>
      <c r="N55" s="2229" t="str">
        <f>E59</f>
        <v>差额计税</v>
      </c>
      <c r="O55" s="2756">
        <f>F59</f>
        <v>0.01</v>
      </c>
    </row>
    <row r="56" spans="1:35" ht="24.75">
      <c r="A56" s="3216" t="s">
        <v>2049</v>
      </c>
      <c r="B56" s="3217"/>
      <c r="C56" s="3217"/>
      <c r="D56" s="2548">
        <f ca="1">IF(H56="个人住宅",D57,D58)</f>
        <v>68807</v>
      </c>
      <c r="E56" s="2558" t="s">
        <v>2050</v>
      </c>
      <c r="F56" s="2781" t="str">
        <f>IF(H56="正常",F58,"免征")</f>
        <v>免征</v>
      </c>
      <c r="G56" s="2784" t="s">
        <v>2051</v>
      </c>
      <c r="H56" s="2785"/>
      <c r="I56" s="1995"/>
      <c r="J56" s="2750" t="str">
        <f>IF(项目基本情况!K6="上海银行",IF(J55="",4,J55+1),"")</f>
        <v/>
      </c>
      <c r="K56" s="3292" t="str">
        <f>IF(项目基本情况!K6="上海银行","其他处置费用","")</f>
        <v/>
      </c>
      <c r="L56" s="3293"/>
      <c r="M56" s="2752" t="str">
        <f>IF(项目基本情况!K6="上海银行",M69,"")</f>
        <v/>
      </c>
      <c r="N56" s="3292" t="str">
        <f>IF(项目基本情况!K6="上海银行","包含处置中涉及的律师、诉讼、拍卖、评估等费用","")</f>
        <v/>
      </c>
      <c r="O56" s="3295"/>
    </row>
    <row r="57" spans="1:35" ht="12.75">
      <c r="A57" s="2559" t="s">
        <v>2027</v>
      </c>
      <c r="B57" s="3227" t="s">
        <v>2052</v>
      </c>
      <c r="C57" s="3228"/>
      <c r="D57" s="1776">
        <v>0</v>
      </c>
      <c r="E57" s="330" t="s">
        <v>2029</v>
      </c>
      <c r="F57" s="308"/>
      <c r="G57" s="2782"/>
      <c r="H57" s="2786"/>
      <c r="I57" s="1995"/>
      <c r="J57" s="3269">
        <f>IF(AND(J55="",J56=""),4,IF(项目基本情况!K6="上海银行",结果表!J56+1,结果表!J55+1))</f>
        <v>5</v>
      </c>
      <c r="K57" s="3269" t="s">
        <v>2053</v>
      </c>
      <c r="L57" s="2757" t="s">
        <v>2054</v>
      </c>
      <c r="M57" s="2758"/>
      <c r="N57" s="2759">
        <f ca="1">SUMIF(M52:M56,"&lt;9e307")</f>
        <v>69965</v>
      </c>
      <c r="O57" s="2760"/>
      <c r="P57" s="2920">
        <f ca="1">N57/M49</f>
        <v>0.57552625301274196</v>
      </c>
    </row>
    <row r="58" spans="1:35" ht="24.75">
      <c r="A58" s="2559" t="s">
        <v>2038</v>
      </c>
      <c r="B58" s="3227" t="s">
        <v>2055</v>
      </c>
      <c r="C58" s="3201"/>
      <c r="D58" s="2548">
        <f ca="1">IF(H58="转让取得",C81,C97)</f>
        <v>68807</v>
      </c>
      <c r="E58" s="2558" t="s">
        <v>2050</v>
      </c>
      <c r="F58" s="308" t="s">
        <v>34</v>
      </c>
      <c r="G58" s="2782"/>
      <c r="H58" s="2785"/>
      <c r="I58" s="1995"/>
      <c r="J58" s="3269"/>
      <c r="K58" s="3269"/>
      <c r="L58" s="2757" t="s">
        <v>2056</v>
      </c>
      <c r="M58" s="2761"/>
      <c r="N58" s="2762" t="str">
        <f ca="1">NUMBERSTRING(INT(N57*10000),2)&amp;"元整"</f>
        <v>陆亿玖仟玖佰陆拾伍万元整</v>
      </c>
      <c r="O58" s="2763"/>
    </row>
    <row r="59" spans="1:35" ht="24.75" thickBot="1">
      <c r="A59" s="3272" t="s">
        <v>2057</v>
      </c>
      <c r="B59" s="3273"/>
      <c r="C59" s="3273"/>
      <c r="D59" s="2787">
        <f ca="1">IF(H59="非个人房产","——",IF(H59="个人住宅（满五唯一有凭证）",0,IF(H59="个人其他（无凭证）",ROUND(D45*F59,0),ROUND(C67*F59,0))))</f>
        <v>1158</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70">
        <f>J57+1</f>
        <v>6</v>
      </c>
      <c r="K59" s="3269" t="s">
        <v>2058</v>
      </c>
      <c r="L59" s="2750" t="s">
        <v>2054</v>
      </c>
      <c r="M59" s="2764"/>
      <c r="N59" s="2765">
        <f ca="1">M49-N57</f>
        <v>51602</v>
      </c>
      <c r="O59" s="2766"/>
    </row>
    <row r="60" spans="1:35" ht="12" customHeight="1">
      <c r="A60" s="1996"/>
      <c r="B60" s="1934"/>
      <c r="C60" s="1934"/>
      <c r="D60" s="1934"/>
      <c r="E60" s="1764"/>
      <c r="F60" s="1995"/>
      <c r="G60" s="1995"/>
      <c r="H60" s="1997"/>
      <c r="I60" s="134"/>
      <c r="J60" s="3271"/>
      <c r="K60" s="3269"/>
      <c r="L60" s="2757" t="s">
        <v>2056</v>
      </c>
      <c r="M60" s="2761"/>
      <c r="N60" s="2762" t="str">
        <f ca="1">NUMBERSTRING(INT(N59*10000),2)&amp;"元整"</f>
        <v>伍亿壹仟陆佰零贰万元整</v>
      </c>
      <c r="O60" s="2763"/>
    </row>
    <row r="61" spans="1:35" ht="13.5" thickBot="1">
      <c r="A61" s="3214" t="s">
        <v>2059</v>
      </c>
      <c r="B61" s="3214"/>
      <c r="C61" s="3214"/>
      <c r="D61" s="3214"/>
      <c r="E61" s="3214"/>
      <c r="F61" s="1995"/>
      <c r="G61" s="1995"/>
      <c r="H61" s="1997"/>
      <c r="I61" s="134"/>
      <c r="J61" s="2750">
        <f>J59+1</f>
        <v>7</v>
      </c>
      <c r="K61" s="3269" t="s">
        <v>2060</v>
      </c>
      <c r="L61" s="3269"/>
      <c r="M61" s="2767"/>
      <c r="N61" s="2768">
        <f ca="1">ROUND(N59*10000/'数据-汇总表'!E3,0)</f>
        <v>3213</v>
      </c>
      <c r="O61" s="2769"/>
    </row>
    <row r="62" spans="1:35" ht="12.75">
      <c r="A62" s="3232" t="s">
        <v>2061</v>
      </c>
      <c r="B62" s="3233"/>
      <c r="C62" s="2210"/>
      <c r="D62" s="2210" t="s">
        <v>2062</v>
      </c>
      <c r="E62" s="171" t="s">
        <v>2063</v>
      </c>
      <c r="F62" s="1995"/>
      <c r="G62" s="1995"/>
      <c r="H62" s="1997"/>
      <c r="I62" s="134"/>
    </row>
    <row r="63" spans="1:35" ht="12.75">
      <c r="A63" s="178" t="s">
        <v>775</v>
      </c>
      <c r="B63" s="172" t="s">
        <v>2064</v>
      </c>
      <c r="C63" s="2791">
        <f ca="1">ROUND((C64+C65)/(1+'数据-取费表'!C42),0)</f>
        <v>115778</v>
      </c>
      <c r="D63" s="172"/>
      <c r="E63" s="173"/>
      <c r="F63" s="1995"/>
      <c r="G63" s="1995"/>
      <c r="H63" s="1997"/>
      <c r="I63" s="134"/>
      <c r="J63" s="3294" t="s">
        <v>2065</v>
      </c>
      <c r="K63" s="1502" t="s">
        <v>2066</v>
      </c>
      <c r="L63" s="1502">
        <f ca="1">IF(M49&gt;10000,M49*0.5%,IF(AND(M49&gt;1000,M49&lt;=10000),M49*1%,IF(AND(M49&gt;100,M49&lt;=1000),M49*3%,IF(AND(M49&gt;10,M49&lt;=100),M49*5%,M49*8%))))</f>
        <v>607.83500000000004</v>
      </c>
      <c r="M63" s="308">
        <f ca="1">ROUND(L63,1)</f>
        <v>607.79999999999995</v>
      </c>
      <c r="N63" s="2770"/>
      <c r="Z63" s="1939"/>
      <c r="AI63" s="1940"/>
    </row>
    <row r="64" spans="1:35" ht="14.25" customHeight="1">
      <c r="A64" s="174" t="s">
        <v>770</v>
      </c>
      <c r="B64" s="175" t="s">
        <v>2067</v>
      </c>
      <c r="C64" s="2792">
        <f ca="1">D45</f>
        <v>121567</v>
      </c>
      <c r="D64" s="175" t="s">
        <v>32</v>
      </c>
      <c r="E64" s="177"/>
      <c r="F64" s="1995"/>
      <c r="G64" s="1995"/>
      <c r="H64" s="1997"/>
      <c r="I64" s="134"/>
      <c r="J64" s="3294"/>
      <c r="K64" s="1502" t="s">
        <v>2068</v>
      </c>
      <c r="L64" s="1502">
        <f ca="1">IF(M49&gt;2000,M49*0.5%,IF(AND(M49&gt;1000,M49&lt;=2000),M49*0.6%,IF(AND(M49&gt;500,M49&lt;=1000),M49*0.7%,IF(AND(M49&gt;200,M49&lt;=500),M49*0.8%,IF(AND(M49&gt;100,M49&lt;=200),M49*0.9%,IF(AND(M49&gt;50,M49&lt;=100),M49*1%,IF(AND(M49&gt;20,M49&lt;=50),M49*1.5%,IF(AND(M49&gt;10,M49&lt;=20),M49*2%,IF(AND(M49&gt;1,M49&lt;=10),M49*2.5%)))))))))</f>
        <v>607.83500000000004</v>
      </c>
      <c r="M64" s="308">
        <f t="shared" ref="M64:M65" ca="1" si="1">ROUND(L64,1)</f>
        <v>607.79999999999995</v>
      </c>
      <c r="N64" s="2771" t="s">
        <v>2069</v>
      </c>
      <c r="Z64" s="1939"/>
      <c r="AI64" s="1940"/>
    </row>
    <row r="65" spans="1:35" ht="14.25" customHeight="1">
      <c r="A65" s="174" t="s">
        <v>771</v>
      </c>
      <c r="B65" s="175" t="s">
        <v>2070</v>
      </c>
      <c r="C65" s="2793"/>
      <c r="D65" s="175"/>
      <c r="E65" s="177"/>
      <c r="F65" s="1995"/>
      <c r="G65" s="1995"/>
      <c r="H65" s="1997"/>
      <c r="I65" s="134"/>
      <c r="J65" s="3294"/>
      <c r="K65" s="1502" t="s">
        <v>2071</v>
      </c>
      <c r="L65" s="1502">
        <f ca="1">IF(M49&gt;1000,M49*0.1%,IF(AND(M49&gt;500,M49&lt;=1000),M49*0.5%,IF(AND(M49&gt;50,M49&lt;=500),M49*1%,IF(AND(M49&gt;1,M49&lt;=50),M49*1.5%))))</f>
        <v>121.56700000000001</v>
      </c>
      <c r="M65" s="308">
        <f t="shared" ca="1" si="1"/>
        <v>121.6</v>
      </c>
      <c r="N65" s="2771" t="s">
        <v>2069</v>
      </c>
      <c r="Z65" s="1939"/>
      <c r="AI65" s="1940"/>
    </row>
    <row r="66" spans="1:35" ht="14.25" customHeight="1">
      <c r="A66" s="178" t="s">
        <v>772</v>
      </c>
      <c r="B66" s="179" t="s">
        <v>2072</v>
      </c>
      <c r="C66" s="2794"/>
      <c r="D66" s="179" t="s">
        <v>32</v>
      </c>
      <c r="E66" s="1510" t="s">
        <v>1337</v>
      </c>
      <c r="F66" s="1995"/>
      <c r="G66" s="1995"/>
      <c r="H66" s="1997"/>
      <c r="I66" s="134"/>
      <c r="J66" s="3294"/>
      <c r="K66" s="1502" t="s">
        <v>2073</v>
      </c>
      <c r="L66" s="1502">
        <f ca="1">M49*0.5%</f>
        <v>607.83500000000004</v>
      </c>
      <c r="M66" s="308">
        <f ca="1">IF(L66&gt;0.5,0.5,ROUND(L66,0))</f>
        <v>0.5</v>
      </c>
      <c r="N66" s="2771" t="s">
        <v>2074</v>
      </c>
      <c r="Z66" s="1939"/>
      <c r="AI66" s="1940"/>
    </row>
    <row r="67" spans="1:35" ht="14.25" customHeight="1">
      <c r="A67" s="178" t="s">
        <v>773</v>
      </c>
      <c r="B67" s="179" t="s">
        <v>2075</v>
      </c>
      <c r="C67" s="2795">
        <f ca="1">C63-C66</f>
        <v>115778</v>
      </c>
      <c r="D67" s="175" t="s">
        <v>32</v>
      </c>
      <c r="E67" s="177"/>
      <c r="F67" s="1995"/>
      <c r="G67" s="1995"/>
      <c r="H67" s="1997"/>
      <c r="I67" s="134"/>
      <c r="J67" s="3294"/>
      <c r="K67" s="1502" t="s">
        <v>2076</v>
      </c>
      <c r="L67" s="1502">
        <f ca="1">IF(M49&gt;=10000,(8.25+(M49-10000)*0.01%),IF(AND(M49&gt;=8000,M49&lt;10000),(7.85+(M49-8000)*0.02%),IF(AND(M49&gt;=5000,M49&lt;8000),(6.65+(M49-5000)*0.04%),IF(AND(M49&gt;=2000,M49&lt;5000),(4.25+(PM49-2000)*0.08%),IF(AND(M49&gt;=1000,M49&lt;2000),(2.75+(M49-1000)*0.15%),IF(AND(M49&gt;=100,M49&lt;1000),(0.5+(M49-100)*0.25%),IF(AND(M49&gt;0,M49&lt;100),M49*0.5%)))))))</f>
        <v>19.406700000000001</v>
      </c>
      <c r="M67" s="308">
        <f ca="1">ROUND(L67*0.9,1)</f>
        <v>17.5</v>
      </c>
      <c r="N67" s="2770"/>
      <c r="Z67" s="1939"/>
      <c r="AI67" s="1940"/>
    </row>
    <row r="68" spans="1:35" ht="14.25" customHeight="1" thickBot="1">
      <c r="A68" s="181" t="s">
        <v>774</v>
      </c>
      <c r="B68" s="182" t="s">
        <v>2077</v>
      </c>
      <c r="C68" s="2796">
        <f ca="1">IF(C67&lt;=0,0,ROUND(C67*D68,0))</f>
        <v>6484</v>
      </c>
      <c r="D68" s="2797">
        <f>'数据-取费表'!B41</f>
        <v>5.6000000000000001E-2</v>
      </c>
      <c r="E68" s="184"/>
      <c r="F68" s="1995"/>
      <c r="G68" s="1995"/>
      <c r="H68" s="1997"/>
      <c r="I68" s="134"/>
      <c r="J68" s="3294"/>
      <c r="K68" s="1502" t="s">
        <v>2078</v>
      </c>
      <c r="L68" s="1502">
        <f ca="1">IF(M49&gt;10000,M49*0.5%,IF(AND(M49&gt;5000,M49&lt;=10000),M49*1%,IF(AND(M49&gt;1000,M49&lt;=5000),M49*2%,IF(AND(M49&gt;200,M49&lt;=1000),M49*3%,M49*5%))))</f>
        <v>607.83500000000004</v>
      </c>
      <c r="M68" s="308">
        <f ca="1">ROUND(L68,1)</f>
        <v>607.79999999999995</v>
      </c>
      <c r="N68" s="2770"/>
      <c r="Z68" s="1939"/>
      <c r="AI68" s="1940"/>
    </row>
    <row r="69" spans="1:35" s="1959" customFormat="1" ht="16.5" customHeight="1">
      <c r="A69" s="1998"/>
      <c r="B69" s="1999"/>
      <c r="C69" s="2000"/>
      <c r="D69" s="2001"/>
      <c r="E69" s="2002"/>
      <c r="F69" s="1764"/>
      <c r="G69" s="1764"/>
      <c r="H69" s="1763"/>
      <c r="I69" s="1934"/>
      <c r="J69" s="3294"/>
      <c r="K69" s="1502" t="s">
        <v>2079</v>
      </c>
      <c r="L69" s="1502"/>
      <c r="M69" s="308">
        <f ca="1">ROUND(SUM(M63:M68),0)</f>
        <v>1963</v>
      </c>
      <c r="N69" s="2772">
        <f ca="1">M69/M49</f>
        <v>1.6147474232316335E-2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53" t="s">
        <v>2080</v>
      </c>
      <c r="B70" s="3254"/>
      <c r="C70" s="3254"/>
      <c r="D70" s="3254"/>
      <c r="E70" s="3254"/>
      <c r="F70" s="3254"/>
      <c r="G70" s="3254"/>
      <c r="H70" s="3254"/>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2" t="s">
        <v>2061</v>
      </c>
      <c r="B71" s="3233"/>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115778</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695</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27" t="s">
        <v>2088</v>
      </c>
      <c r="F76" s="3201"/>
      <c r="G76" s="3201"/>
      <c r="H76" s="3252"/>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0</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695</v>
      </c>
      <c r="D78" s="2804">
        <f>'数据-取费表'!B43</f>
        <v>6.000000000000001E-3</v>
      </c>
      <c r="E78" s="3211" t="s">
        <v>2092</v>
      </c>
      <c r="F78" s="3212"/>
      <c r="G78" s="3212"/>
      <c r="H78" s="322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115083</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165.58705035971224</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68807</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53" t="s">
        <v>2096</v>
      </c>
      <c r="B83" s="3254"/>
      <c r="C83" s="3254"/>
      <c r="D83" s="3254"/>
      <c r="E83" s="3254"/>
      <c r="F83" s="3254"/>
      <c r="G83" s="3254"/>
      <c r="H83" s="3254"/>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2" t="s">
        <v>2061</v>
      </c>
      <c r="B84" s="3233"/>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115778</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695</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0</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96" t="s">
        <v>2870</v>
      </c>
      <c r="H90" s="3297"/>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211" t="s">
        <v>2105</v>
      </c>
      <c r="F91" s="3212"/>
      <c r="G91" s="321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11" t="s">
        <v>2108</v>
      </c>
      <c r="F92" s="3212"/>
      <c r="G92" s="3212"/>
      <c r="H92" s="3221"/>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695</v>
      </c>
      <c r="D93" s="2804">
        <f>'数据-取费表'!B43</f>
        <v>6.000000000000001E-3</v>
      </c>
      <c r="E93" s="3211" t="s">
        <v>2092</v>
      </c>
      <c r="F93" s="3212"/>
      <c r="G93" s="3212"/>
      <c r="H93" s="322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22" t="s">
        <v>2112</v>
      </c>
      <c r="F94" s="3223"/>
      <c r="G94" s="3223"/>
      <c r="H94" s="322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115083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165.58705035971224</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68807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95" t="s">
        <v>2114</v>
      </c>
      <c r="B100" s="3196"/>
      <c r="C100" s="3196"/>
      <c r="D100" s="3213"/>
      <c r="E100" s="3196" t="s">
        <v>2115</v>
      </c>
      <c r="F100" s="3196"/>
      <c r="G100" s="3196"/>
      <c r="H100" s="3213"/>
      <c r="I100" s="134"/>
    </row>
    <row r="101" spans="1:35" ht="18.75" customHeight="1">
      <c r="A101" s="3277" t="s">
        <v>2116</v>
      </c>
      <c r="B101" s="3278"/>
      <c r="C101" s="2812" t="str">
        <f>C4</f>
        <v>收益法</v>
      </c>
      <c r="D101" s="2813" t="str">
        <f>D4</f>
        <v>成本法</v>
      </c>
      <c r="E101" s="3291" t="s">
        <v>2117</v>
      </c>
      <c r="F101" s="3245"/>
      <c r="G101" s="2014" t="s">
        <v>2118</v>
      </c>
      <c r="H101" s="2822">
        <f ca="1">H118</f>
        <v>121567</v>
      </c>
      <c r="I101" s="134"/>
    </row>
    <row r="102" spans="1:35" ht="18.75" customHeight="1">
      <c r="A102" s="3247" t="s">
        <v>2119</v>
      </c>
      <c r="B102" s="2811" t="s">
        <v>2118</v>
      </c>
      <c r="C102" s="2812">
        <f ca="1">C19</f>
        <v>122797</v>
      </c>
      <c r="D102" s="2813">
        <f ca="1">D19</f>
        <v>120336</v>
      </c>
      <c r="E102" s="3291"/>
      <c r="F102" s="3245"/>
      <c r="G102" s="2014" t="s">
        <v>2120</v>
      </c>
      <c r="H102" s="2782">
        <f ca="1">I118</f>
        <v>7568</v>
      </c>
      <c r="I102" s="134"/>
    </row>
    <row r="103" spans="1:35" ht="42.75" customHeight="1">
      <c r="A103" s="3247"/>
      <c r="B103" s="2811" t="s">
        <v>2120</v>
      </c>
      <c r="C103" s="2814">
        <f ca="1">C20</f>
        <v>7648</v>
      </c>
      <c r="D103" s="2815">
        <f ca="1">D20</f>
        <v>7492</v>
      </c>
      <c r="E103" s="3285" t="s">
        <v>2121</v>
      </c>
      <c r="F103" s="3286"/>
      <c r="G103" s="2015" t="s">
        <v>2122</v>
      </c>
      <c r="H103" s="2822">
        <f>IF(D36="正常操作",H104+H105+H106,H105+H106)</f>
        <v>0</v>
      </c>
      <c r="I103" s="134"/>
    </row>
    <row r="104" spans="1:35" ht="18.75" customHeight="1">
      <c r="A104" s="3247" t="s">
        <v>2123</v>
      </c>
      <c r="B104" s="2816" t="s">
        <v>2118</v>
      </c>
      <c r="C104" s="2817">
        <f ca="1">H118</f>
        <v>121567</v>
      </c>
      <c r="D104" s="2818"/>
      <c r="E104" s="1861" t="s">
        <v>2124</v>
      </c>
      <c r="F104" s="1852"/>
      <c r="G104" s="2015" t="s">
        <v>2122</v>
      </c>
      <c r="H104" s="2823">
        <f>IF(D36="同一抵押权人同一抵押物续贷",C36&amp;"（续贷，未扣减，详见特别提示）",C36)</f>
        <v>0</v>
      </c>
      <c r="I104" s="134"/>
    </row>
    <row r="105" spans="1:35" ht="18.75" customHeight="1" thickBot="1">
      <c r="A105" s="3248"/>
      <c r="B105" s="2819" t="s">
        <v>2120</v>
      </c>
      <c r="C105" s="2820">
        <f ca="1">I118</f>
        <v>7568</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44" t="str">
        <f>IF(项目基本情况!E8="已注销","——","3.房地产抵押价值")</f>
        <v>3.房地产抵押价值</v>
      </c>
      <c r="F107" s="3245"/>
      <c r="G107" s="2014" t="s">
        <v>2118</v>
      </c>
      <c r="H107" s="2822">
        <f ca="1">IF(E107="——","——",H101-H103)</f>
        <v>121567</v>
      </c>
      <c r="I107" s="134"/>
    </row>
    <row r="108" spans="1:35" ht="18.75" customHeight="1">
      <c r="A108" s="134"/>
      <c r="B108" s="134"/>
      <c r="C108" s="134"/>
      <c r="D108" s="134"/>
      <c r="E108" s="3244"/>
      <c r="F108" s="3245"/>
      <c r="G108" s="2014" t="s">
        <v>2120</v>
      </c>
      <c r="H108" s="2782">
        <f ca="1">ROUND(H107*10000/'数据-汇总表'!E3,0)</f>
        <v>7568</v>
      </c>
      <c r="I108" s="134"/>
    </row>
    <row r="109" spans="1:35" ht="18.75" customHeight="1">
      <c r="A109" s="134"/>
      <c r="B109" s="134"/>
      <c r="C109" s="134"/>
      <c r="D109" s="134"/>
      <c r="E109" s="3244" t="str">
        <f>IF(项目基本情况!E8="已注销及未注销","4.抵押担保权已注销时的房地产抵押价值",IF(项目基本情况!E8="已注销","3.抵押担保权已注销时的房地产抵押价值","——"))</f>
        <v>——</v>
      </c>
      <c r="F109" s="3245"/>
      <c r="G109" s="2014" t="s">
        <v>2118</v>
      </c>
      <c r="H109" s="2825" t="str">
        <f>IF(E109="——","——",H101-H105-H106)</f>
        <v>——</v>
      </c>
      <c r="I109" s="134"/>
    </row>
    <row r="110" spans="1:35" ht="18.75" customHeight="1">
      <c r="A110" s="134"/>
      <c r="B110" s="134"/>
      <c r="C110" s="134"/>
      <c r="D110" s="134"/>
      <c r="E110" s="3244"/>
      <c r="F110" s="3245"/>
      <c r="G110" s="2014" t="s">
        <v>2120</v>
      </c>
      <c r="H110" s="2782" t="str">
        <f>IF(H109="——","——",ROUND(H109*10000/'数据-汇总表'!E3,0))</f>
        <v>——</v>
      </c>
      <c r="I110" s="134"/>
    </row>
    <row r="111" spans="1:35" ht="18.75" customHeight="1">
      <c r="A111" s="134"/>
      <c r="B111" s="134"/>
      <c r="C111" s="134"/>
      <c r="D111" s="134"/>
      <c r="E111" s="3279" t="str">
        <f>IF(项目基本情况!E9="抵押净值",IF(OR(项目基本情况!E8="已注销",项目基本情况!E8="房地产抵押价值"),"4.抵押净值","5.抵押净值"),"——")</f>
        <v>——</v>
      </c>
      <c r="F111" s="3246"/>
      <c r="G111" s="2014" t="s">
        <v>2118</v>
      </c>
      <c r="H111" s="2822" t="str">
        <f>IF(E111="——","——",N59)</f>
        <v>——</v>
      </c>
      <c r="I111" s="134"/>
    </row>
    <row r="112" spans="1:35" ht="18.75" customHeight="1" thickBot="1">
      <c r="A112" s="134"/>
      <c r="B112" s="134"/>
      <c r="C112" s="134"/>
      <c r="D112" s="134"/>
      <c r="E112" s="3280"/>
      <c r="F112" s="3281"/>
      <c r="G112" s="2017" t="s">
        <v>2120</v>
      </c>
      <c r="H112" s="2826" t="str">
        <f>IF(E111="——","——",N61)</f>
        <v>——</v>
      </c>
      <c r="I112" s="134"/>
    </row>
    <row r="113" spans="1:27" ht="18.75" customHeight="1">
      <c r="A113" s="134"/>
      <c r="B113" s="134"/>
      <c r="C113" s="134"/>
      <c r="D113" s="134"/>
      <c r="E113" s="3249" t="s">
        <v>2126</v>
      </c>
      <c r="F113" s="3249"/>
      <c r="G113" s="3249"/>
      <c r="H113" s="3249"/>
      <c r="I113" s="134"/>
    </row>
    <row r="114" spans="1:27" ht="3.75" customHeight="1">
      <c r="A114" s="1934"/>
      <c r="B114" s="1934"/>
      <c r="C114" s="1934"/>
      <c r="D114" s="1934"/>
      <c r="E114" s="1996"/>
      <c r="F114" s="1996"/>
      <c r="G114" s="1996"/>
      <c r="H114" s="1996"/>
      <c r="I114" s="1934"/>
    </row>
    <row r="115" spans="1:27" ht="18.75" customHeight="1">
      <c r="A115" s="3262" t="s">
        <v>2128</v>
      </c>
      <c r="B115" s="3263"/>
      <c r="C115" s="3263"/>
      <c r="D115" s="3263"/>
      <c r="E115" s="3263"/>
      <c r="F115" s="3263"/>
      <c r="G115" s="3263"/>
      <c r="H115" s="3263"/>
      <c r="I115" s="3264"/>
    </row>
    <row r="116" spans="1:27" ht="27" customHeight="1">
      <c r="A116" s="3215" t="s">
        <v>2129</v>
      </c>
      <c r="B116" s="3250" t="s">
        <v>2130</v>
      </c>
      <c r="C116" s="3250" t="s">
        <v>2131</v>
      </c>
      <c r="D116" s="3266" t="s">
        <v>2132</v>
      </c>
      <c r="E116" s="3267"/>
      <c r="F116" s="3258" t="s">
        <v>3316</v>
      </c>
      <c r="G116" s="3258"/>
      <c r="H116" s="3215" t="s">
        <v>2133</v>
      </c>
      <c r="I116" s="3215"/>
    </row>
    <row r="117" spans="1:27" ht="18.75" customHeight="1">
      <c r="A117" s="3215"/>
      <c r="B117" s="3251"/>
      <c r="C117" s="3251"/>
      <c r="D117" s="2553" t="s">
        <v>2134</v>
      </c>
      <c r="E117" s="2553" t="s">
        <v>2135</v>
      </c>
      <c r="F117" s="2553" t="s">
        <v>2134</v>
      </c>
      <c r="G117" s="2553" t="s">
        <v>2136</v>
      </c>
      <c r="H117" s="2553" t="s">
        <v>2134</v>
      </c>
      <c r="I117" s="2553" t="s">
        <v>2136</v>
      </c>
    </row>
    <row r="118" spans="1:27" ht="24.75" customHeight="1">
      <c r="A118" s="2827" t="str">
        <f>项目基本情况!S2</f>
        <v>北京市房地产</v>
      </c>
      <c r="B118" s="2553">
        <f>M18</f>
        <v>160624.58000000002</v>
      </c>
      <c r="C118" s="2553">
        <f>M19</f>
        <v>106517.9</v>
      </c>
      <c r="D118" s="2553">
        <f ca="1">ROUND(IF(D32="总价",C34,E118*B118/10000),0)</f>
        <v>34039</v>
      </c>
      <c r="E118" s="2553">
        <f ca="1">ROUND(IF(C33="自定义",IF(D32="楼面单价",C34,D118*10000/B118),I118-G118),0)</f>
        <v>2119</v>
      </c>
      <c r="F118" s="2553">
        <f ca="1">ROUND(IF(D32="总价",C35,G118*B118/10000),0)</f>
        <v>87528</v>
      </c>
      <c r="G118" s="2553">
        <f ca="1">ROUND(IF(D32="楼面单价",C35,F118*10000/B118),0)</f>
        <v>5449</v>
      </c>
      <c r="H118" s="2553">
        <f ca="1">ROUND(IF(D32="总价",C32,I118*B118/10000),0)</f>
        <v>121567</v>
      </c>
      <c r="I118" s="2553">
        <f ca="1">ROUND(IF(D32="楼面单价",C32,H118*10000/B118),0)</f>
        <v>7568</v>
      </c>
    </row>
    <row r="119" spans="1:27" ht="18.75" customHeight="1">
      <c r="A119" s="3215" t="s">
        <v>2137</v>
      </c>
      <c r="B119" s="3215"/>
      <c r="C119" s="3215"/>
      <c r="D119" s="3255" t="str">
        <f ca="1">NUMBERSTRING(INT(D118*10000),2)&amp;"元整"</f>
        <v>叁亿肆仟零叁拾玖万元整</v>
      </c>
      <c r="E119" s="3257"/>
      <c r="F119" s="3255" t="str">
        <f ca="1">NUMBERSTRING(INT(F118*10000),2)&amp;"元整"</f>
        <v>捌亿柒仟伍佰贰拾捌万元整</v>
      </c>
      <c r="G119" s="3257"/>
      <c r="H119" s="3255" t="str">
        <f ca="1">NUMBERSTRING(INT(H118*10000),2)&amp;"元整"</f>
        <v>壹拾贰亿壹仟伍佰陆拾柒万元整</v>
      </c>
      <c r="I119" s="3257"/>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9" t="s">
        <v>2137</v>
      </c>
      <c r="B121" s="3260"/>
      <c r="C121" s="3261"/>
      <c r="D121" s="3255" t="str">
        <f>IF(D120=0,"零元整",NUMBERSTRING(INT(D120*10000),2)&amp;"元整")</f>
        <v>零元整</v>
      </c>
      <c r="E121" s="3256"/>
      <c r="F121" s="3256"/>
      <c r="G121" s="3256"/>
      <c r="H121" s="3256"/>
      <c r="I121" s="3257"/>
      <c r="AA121" s="734"/>
    </row>
    <row r="122" spans="1:27" ht="18.75" customHeight="1">
      <c r="A122" s="3246" t="str">
        <f>IF(项目基本情况!B9="房地产市场价值","",MID(E107,3,LEN(E107)-2))</f>
        <v>房地产抵押价值</v>
      </c>
      <c r="B122" s="3246"/>
      <c r="C122" s="3246"/>
      <c r="D122" s="3282">
        <f ca="1">H107</f>
        <v>121567</v>
      </c>
      <c r="E122" s="3283"/>
      <c r="F122" s="3283"/>
      <c r="G122" s="3283"/>
      <c r="H122" s="3283"/>
      <c r="I122" s="3284"/>
      <c r="AA122" s="734"/>
    </row>
    <row r="123" spans="1:27" ht="18.75" customHeight="1">
      <c r="A123" s="3215" t="s">
        <v>2137</v>
      </c>
      <c r="B123" s="3215"/>
      <c r="C123" s="3215"/>
      <c r="D123" s="3255" t="str">
        <f ca="1">NUMBERSTRING(INT(D122*10000),2)&amp;"元整"</f>
        <v>壹拾贰亿壹仟伍佰陆拾柒万元整</v>
      </c>
      <c r="E123" s="3256"/>
      <c r="F123" s="3256"/>
      <c r="G123" s="3256"/>
      <c r="H123" s="3256"/>
      <c r="I123" s="3257"/>
      <c r="AA123" s="734"/>
    </row>
    <row r="124" spans="1:27" ht="18.75" customHeight="1">
      <c r="A124" s="3246" t="str">
        <f>IF(项目基本情况!B9="房地产市场价值","",MID(E109,3,LEN(E109)-2))</f>
        <v/>
      </c>
      <c r="B124" s="3246"/>
      <c r="C124" s="3246"/>
      <c r="D124" s="3282" t="str">
        <f>H109</f>
        <v>——</v>
      </c>
      <c r="E124" s="3283"/>
      <c r="F124" s="3283"/>
      <c r="G124" s="3283"/>
      <c r="H124" s="3283"/>
      <c r="I124" s="3284"/>
      <c r="AA124" s="734"/>
    </row>
    <row r="125" spans="1:27" ht="18.75" customHeight="1">
      <c r="A125" s="3215" t="s">
        <v>2137</v>
      </c>
      <c r="B125" s="3215"/>
      <c r="C125" s="3215"/>
      <c r="D125" s="3255" t="e">
        <f>NUMBERSTRING(INT(D124*10000),2)&amp;"元整"</f>
        <v>#VALUE!</v>
      </c>
      <c r="E125" s="3256"/>
      <c r="F125" s="3256"/>
      <c r="G125" s="3256"/>
      <c r="H125" s="3256"/>
      <c r="I125" s="3257"/>
      <c r="AA125" s="734"/>
    </row>
    <row r="126" spans="1:27" ht="18.75" customHeight="1">
      <c r="A126" s="3246" t="str">
        <f>IF(项目基本情况!B9="房地产市场价值","",MID(E111,3,LEN(E111)-2))</f>
        <v/>
      </c>
      <c r="B126" s="3246"/>
      <c r="C126" s="3246"/>
      <c r="D126" s="3282" t="str">
        <f>H111</f>
        <v>——</v>
      </c>
      <c r="E126" s="3283"/>
      <c r="F126" s="3283"/>
      <c r="G126" s="3283"/>
      <c r="H126" s="3283"/>
      <c r="I126" s="3284"/>
      <c r="AA126" s="734"/>
    </row>
    <row r="127" spans="1:27" ht="18.75" customHeight="1">
      <c r="A127" s="3215" t="s">
        <v>2137</v>
      </c>
      <c r="B127" s="3215"/>
      <c r="C127" s="3215"/>
      <c r="D127" s="3255" t="e">
        <f>NUMBERSTRING(INT(D126*10000),2)&amp;"元整"</f>
        <v>#VALUE!</v>
      </c>
      <c r="E127" s="3256"/>
      <c r="F127" s="3256"/>
      <c r="G127" s="3256"/>
      <c r="H127" s="3256"/>
      <c r="I127" s="3257"/>
      <c r="AA127" s="734"/>
    </row>
    <row r="128" spans="1:27" ht="21.75" customHeight="1">
      <c r="A128" s="3265" t="s">
        <v>2138</v>
      </c>
      <c r="B128" s="3265"/>
      <c r="C128" s="3265"/>
      <c r="D128" s="3265"/>
      <c r="E128" s="3265"/>
      <c r="F128" s="3265"/>
      <c r="G128" s="3265"/>
      <c r="H128" s="3265"/>
      <c r="I128" s="3265"/>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115" zoomScaleNormal="70" zoomScaleSheetLayoutView="115" workbookViewId="0">
      <selection activeCell="G41" sqref="G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120336</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7492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25900</v>
      </c>
      <c r="D5" s="217" t="s">
        <v>2154</v>
      </c>
      <c r="E5" s="218" t="s">
        <v>2155</v>
      </c>
      <c r="F5" s="218" t="s">
        <v>2156</v>
      </c>
      <c r="G5" s="219"/>
    </row>
    <row r="6" spans="1:9" s="220" customFormat="1" ht="13.5" customHeight="1">
      <c r="A6" s="886" t="s">
        <v>2157</v>
      </c>
      <c r="B6" s="221" t="s">
        <v>2158</v>
      </c>
      <c r="C6" s="222">
        <f>'土地比较法-工业'!B2</f>
        <v>22688</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0</v>
      </c>
      <c r="G7" s="225"/>
    </row>
    <row r="8" spans="1:9" s="229" customFormat="1">
      <c r="A8" s="886" t="s">
        <v>2161</v>
      </c>
      <c r="B8" s="221" t="s">
        <v>2162</v>
      </c>
      <c r="C8" s="226">
        <f>IF(G8="已包含在土地购买价格中","0",IF(B1="",'数据-取费表'!B29,IF(G9="全部缴纳",C9+C10,H9)))</f>
        <v>3212</v>
      </c>
      <c r="D8" s="228"/>
      <c r="E8" s="226"/>
      <c r="F8" s="227"/>
      <c r="G8" s="2043" t="s">
        <v>3311</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4" t="s">
        <v>3312</v>
      </c>
      <c r="H9" s="1299"/>
      <c r="I9" s="2045" t="s">
        <v>2164</v>
      </c>
    </row>
    <row r="10" spans="1:9" s="220" customFormat="1" ht="13.5" customHeight="1">
      <c r="A10" s="887" t="s">
        <v>801</v>
      </c>
      <c r="B10" s="230" t="s">
        <v>2165</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160624.58000000002</v>
      </c>
      <c r="E19" s="217">
        <f>'数据-取费表'!B31</f>
        <v>200</v>
      </c>
      <c r="F19" s="237"/>
      <c r="G19" s="2043" t="s">
        <v>3313</v>
      </c>
    </row>
    <row r="20" spans="1:7" s="220" customFormat="1" ht="13.5" customHeight="1">
      <c r="A20" s="261" t="s">
        <v>2178</v>
      </c>
      <c r="B20" s="216" t="s">
        <v>2179</v>
      </c>
      <c r="C20" s="238">
        <f>ROUND((C5+C19)*F20,0)</f>
        <v>518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2053</v>
      </c>
      <c r="D22" s="241">
        <f ca="1">C26</f>
        <v>8.0000000000000004E-4</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2033</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20</v>
      </c>
      <c r="D25" s="244"/>
      <c r="E25" s="247"/>
      <c r="F25" s="245"/>
      <c r="G25" s="248" t="s">
        <v>2195</v>
      </c>
    </row>
    <row r="26" spans="1:7" s="220" customFormat="1">
      <c r="A26" s="888"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2642</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2642</v>
      </c>
      <c r="D28" s="241"/>
      <c r="E28" s="242"/>
      <c r="F28" s="252"/>
      <c r="G28" s="253"/>
    </row>
    <row r="29" spans="1:7" s="220" customFormat="1" ht="13.5" customHeight="1">
      <c r="A29" s="888"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33676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70354</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64250</v>
      </c>
      <c r="D34" s="223"/>
      <c r="E34" s="226"/>
      <c r="F34" s="263">
        <f ca="1">IF('数据-取费表'!B24=0,1,IF(B1="",'数据-取费表'!N16,INDIRECT("'数据-取费表'!n"&amp;$G$1)))</f>
        <v>1</v>
      </c>
      <c r="G34" s="225" t="s">
        <v>2211</v>
      </c>
    </row>
    <row r="35" spans="1:7" ht="13.5" customHeight="1">
      <c r="A35" s="888" t="s">
        <v>796</v>
      </c>
      <c r="B35" s="221" t="s">
        <v>2212</v>
      </c>
      <c r="C35" s="226">
        <f ca="1">ROUND(C34*F35,0)</f>
        <v>1928</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3212</v>
      </c>
      <c r="D37" s="223">
        <f ca="1">D19</f>
        <v>160624.58000000002</v>
      </c>
      <c r="E37" s="255">
        <f>'数据-取费表'!B35</f>
        <v>200</v>
      </c>
      <c r="F37" s="265"/>
      <c r="G37" s="267" t="s">
        <v>2217</v>
      </c>
    </row>
    <row r="38" spans="1:7" ht="13.5" customHeight="1">
      <c r="A38" s="888" t="s">
        <v>799</v>
      </c>
      <c r="B38" s="221" t="s">
        <v>2218</v>
      </c>
      <c r="C38" s="226">
        <f ca="1">ROUND(C34*F38,0)</f>
        <v>964</v>
      </c>
      <c r="D38" s="226"/>
      <c r="E38" s="226"/>
      <c r="F38" s="265">
        <f>'数据-取费表'!B36</f>
        <v>1.4999999999999999E-2</v>
      </c>
      <c r="G38" s="225" t="s">
        <v>2213</v>
      </c>
    </row>
    <row r="39" spans="1:7" s="220" customFormat="1" ht="13.5" customHeight="1">
      <c r="A39" s="261" t="s">
        <v>2219</v>
      </c>
      <c r="B39" s="216" t="s">
        <v>2220</v>
      </c>
      <c r="C39" s="238">
        <f ca="1">ROUND(C33*F20,0)</f>
        <v>1407</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2763</v>
      </c>
      <c r="D41" s="241">
        <f ca="1">C44</f>
        <v>8.0000000000000004E-4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2709</v>
      </c>
      <c r="D42" s="244"/>
      <c r="E42" s="244"/>
      <c r="F42" s="245"/>
      <c r="G42" s="3298" t="s">
        <v>2229</v>
      </c>
    </row>
    <row r="43" spans="1:7" ht="13.5" customHeight="1">
      <c r="A43" s="888" t="s">
        <v>792</v>
      </c>
      <c r="B43" s="221" t="s">
        <v>2230</v>
      </c>
      <c r="C43" s="244">
        <f ca="1">ROUND(IF('数据-取费表'!B22&lt;=1,C39*F22*'数据-取费表'!B21/2,C39*(POWER((1+F22),'数据-取费表'!B21/2)-1)),0)</f>
        <v>54</v>
      </c>
      <c r="D43" s="244"/>
      <c r="E43" s="244"/>
      <c r="F43" s="245"/>
      <c r="G43" s="3299"/>
    </row>
    <row r="44" spans="1:7" ht="13.5" customHeight="1">
      <c r="A44" s="888" t="s">
        <v>793</v>
      </c>
      <c r="B44" s="221" t="s">
        <v>2231</v>
      </c>
      <c r="C44" s="244">
        <f ca="1">ROUND(IF('数据-取费表'!B22&lt;=1,C40*F22*'数据-取费表'!B21/2,C40*(POWER((1+F22),'数据-取费表'!B21/2)-1)),4)</f>
        <v>8.0000000000000004E-4</v>
      </c>
      <c r="D44" s="244"/>
      <c r="E44" s="244"/>
      <c r="F44" s="245"/>
      <c r="G44" s="3300"/>
    </row>
    <row r="45" spans="1:7" s="220" customFormat="1" ht="13.5" customHeight="1">
      <c r="A45" s="261" t="s">
        <v>2232</v>
      </c>
      <c r="B45" s="250" t="s">
        <v>2198</v>
      </c>
      <c r="C45" s="251">
        <f ca="1">C46</f>
        <v>7176</v>
      </c>
      <c r="D45" s="241">
        <f ca="1">C47</f>
        <v>2E-3</v>
      </c>
      <c r="E45" s="242" t="s">
        <v>2224</v>
      </c>
      <c r="F45" s="2538">
        <f ca="1">F27</f>
        <v>0.1</v>
      </c>
      <c r="G45" s="253" t="s">
        <v>2233</v>
      </c>
    </row>
    <row r="46" spans="1:7" s="220" customFormat="1" ht="13.5" customHeight="1">
      <c r="A46" s="888" t="s">
        <v>791</v>
      </c>
      <c r="B46" s="254" t="s">
        <v>2234</v>
      </c>
      <c r="C46" s="255">
        <f ca="1">ROUND((C33+C39)*F27,0)</f>
        <v>7176</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1496">
        <f>ROUND(F30/(1+'数据-取费表'!C42),4)</f>
        <v>5.33E-2</v>
      </c>
      <c r="D48" s="242" t="s">
        <v>2224</v>
      </c>
      <c r="E48" s="238"/>
      <c r="F48" s="2537">
        <f>F30</f>
        <v>5.6000000000000001E-2</v>
      </c>
      <c r="G48" s="240" t="s">
        <v>2237</v>
      </c>
    </row>
    <row r="49" spans="1:7" ht="16.5" customHeight="1">
      <c r="A49" s="261" t="s">
        <v>2203</v>
      </c>
      <c r="B49" s="216" t="s">
        <v>2238</v>
      </c>
      <c r="C49" s="238">
        <f ca="1">ROUND((C33+C39+C41+C45)/(1-C40-D41-D45-C48),0)</f>
        <v>88429</v>
      </c>
      <c r="D49" s="238"/>
      <c r="E49" s="238"/>
      <c r="F49" s="270"/>
      <c r="G49" s="240" t="s">
        <v>2239</v>
      </c>
    </row>
    <row r="50" spans="1:7" s="264" customFormat="1" ht="24">
      <c r="A50" s="261" t="s">
        <v>2240</v>
      </c>
      <c r="B50" s="216" t="s">
        <v>2241</v>
      </c>
      <c r="C50" s="238"/>
      <c r="D50" s="238"/>
      <c r="E50" s="238"/>
      <c r="F50" s="270">
        <f>IF('数据-取费表'!B24=0,'数据-取费表'!N16,1)</f>
        <v>0.98</v>
      </c>
      <c r="G50" s="253" t="s">
        <v>2242</v>
      </c>
    </row>
    <row r="51" spans="1:7" ht="16.5" customHeight="1">
      <c r="A51" s="261" t="s">
        <v>2243</v>
      </c>
      <c r="B51" s="216" t="s">
        <v>2244</v>
      </c>
      <c r="C51" s="238">
        <f ca="1">ROUND(C49*F50,0)</f>
        <v>86660</v>
      </c>
      <c r="D51" s="238"/>
      <c r="E51" s="238"/>
      <c r="F51" s="270"/>
      <c r="G51" s="240" t="s">
        <v>2245</v>
      </c>
    </row>
    <row r="52" spans="1:7" s="214" customFormat="1" ht="16.5" thickBot="1">
      <c r="A52" s="271" t="s">
        <v>2246</v>
      </c>
      <c r="B52" s="272"/>
      <c r="C52" s="273">
        <f ca="1">C31+C51</f>
        <v>120336</v>
      </c>
      <c r="D52" s="272"/>
      <c r="E52" s="272"/>
      <c r="F52" s="272"/>
      <c r="G52" s="274"/>
    </row>
    <row r="55" spans="1:7" ht="15">
      <c r="B55" s="276" t="s">
        <v>2247</v>
      </c>
      <c r="C55" s="277"/>
    </row>
    <row r="56" spans="1:7">
      <c r="B56" s="279" t="s">
        <v>1478</v>
      </c>
      <c r="C56" s="281">
        <f ca="1">1-C57</f>
        <v>0.28000000000000003</v>
      </c>
    </row>
    <row r="57" spans="1:7">
      <c r="B57" s="279" t="s">
        <v>1479</v>
      </c>
      <c r="C57" s="280">
        <f ca="1">ROUND(C51/C52,3)</f>
        <v>0.72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9" t="str">
        <f>项目基本情况!B1</f>
        <v>北京市房地产抵押价值预评估</v>
      </c>
      <c r="C37" s="3109"/>
      <c r="D37" s="3109"/>
      <c r="E37" s="3109"/>
      <c r="F37" s="3109"/>
      <c r="G37" s="3109"/>
      <c r="H37" s="3109"/>
      <c r="I37" s="3109"/>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95014</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5915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32124916</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0</v>
      </c>
      <c r="G7" s="225"/>
    </row>
    <row r="8" spans="1:8" s="229" customFormat="1">
      <c r="A8" s="886" t="s">
        <v>2161</v>
      </c>
      <c r="B8" s="221" t="s">
        <v>2162</v>
      </c>
      <c r="C8" s="226">
        <f ca="1">IF(G8="已包含在土地购买价格中",0,C9+C10)</f>
        <v>32124916</v>
      </c>
      <c r="D8" s="228"/>
      <c r="E8" s="226"/>
      <c r="F8" s="227"/>
      <c r="G8" s="2043"/>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32124916</v>
      </c>
      <c r="D19" s="958">
        <f ca="1">D9+D10</f>
        <v>160624.58000000002</v>
      </c>
      <c r="E19" s="217">
        <f>'数据-取费表'!B31</f>
        <v>200</v>
      </c>
      <c r="F19" s="237"/>
      <c r="G19" s="2043"/>
    </row>
    <row r="20" spans="1:7" s="220" customFormat="1" ht="13.5" customHeight="1">
      <c r="A20" s="261" t="s">
        <v>2259</v>
      </c>
      <c r="B20" s="216" t="s">
        <v>2260</v>
      </c>
      <c r="C20" s="238">
        <f ca="1">ROUND((C5+C19)*F20,0)</f>
        <v>1284997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5091944</v>
      </c>
      <c r="D22" s="241">
        <f ca="1">C26</f>
        <v>8.0000000000000004E-4</v>
      </c>
      <c r="E22" s="242" t="s">
        <v>2264</v>
      </c>
      <c r="F22" s="243">
        <f ca="1">'数据-取费表'!B40</f>
        <v>3.85E-2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2521236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2521236</v>
      </c>
      <c r="D24" s="244"/>
      <c r="E24" s="244"/>
      <c r="F24" s="245"/>
      <c r="G24" s="246" t="s">
        <v>2271</v>
      </c>
    </row>
    <row r="25" spans="1:7" s="220" customFormat="1" ht="24">
      <c r="A25" s="888" t="s">
        <v>2161</v>
      </c>
      <c r="B25" s="221" t="s">
        <v>2272</v>
      </c>
      <c r="C25" s="1290">
        <f ca="1">ROUND(IF('数据-取费表'!B22&lt;=1,C20*F22*'数据-取费表'!B22/2,C20*(POWER((1+F22),'数据-取费表'!B22/2)-1)),0)</f>
        <v>49472</v>
      </c>
      <c r="D25" s="244"/>
      <c r="E25" s="247"/>
      <c r="F25" s="245"/>
      <c r="G25" s="248" t="s">
        <v>2273</v>
      </c>
    </row>
    <row r="26" spans="1:7" s="220" customFormat="1">
      <c r="A26" s="888"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6553483</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ROUND((C5+C19+C20)*F27,0)</f>
        <v>6553483</v>
      </c>
      <c r="D28" s="241"/>
      <c r="E28" s="242"/>
      <c r="F28" s="252"/>
      <c r="G28" s="253"/>
    </row>
    <row r="29" spans="1:7" s="220" customFormat="1" ht="13.5" customHeight="1">
      <c r="A29" s="888" t="s">
        <v>792</v>
      </c>
      <c r="B29" s="254" t="s">
        <v>2202</v>
      </c>
      <c r="C29" s="244">
        <f ca="1">ROUND(C21*F27,4)</f>
        <v>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83537456</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703535661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642498320</v>
      </c>
      <c r="D34" s="223"/>
      <c r="E34" s="226"/>
      <c r="F34" s="263"/>
      <c r="G34" s="225"/>
    </row>
    <row r="35" spans="1:7" ht="13.5" customHeight="1">
      <c r="A35" s="888" t="s">
        <v>796</v>
      </c>
      <c r="B35" s="221" t="s">
        <v>2212</v>
      </c>
      <c r="C35" s="226">
        <f ca="1">ROUND(C34*F35,0)</f>
        <v>19274950</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32124916</v>
      </c>
      <c r="D37" s="223">
        <f ca="1">D19</f>
        <v>160624.58000000002</v>
      </c>
      <c r="E37" s="255">
        <f>'数据-取费表'!B35</f>
        <v>200</v>
      </c>
      <c r="F37" s="265"/>
      <c r="G37" s="267"/>
    </row>
    <row r="38" spans="1:7" ht="13.5" customHeight="1">
      <c r="A38" s="888" t="s">
        <v>799</v>
      </c>
      <c r="B38" s="221" t="s">
        <v>2218</v>
      </c>
      <c r="C38" s="226">
        <f ca="1">ROUND(C34*F38,0)</f>
        <v>9637475</v>
      </c>
      <c r="D38" s="226"/>
      <c r="E38" s="226"/>
      <c r="F38" s="265">
        <f>'数据-取费表'!B36</f>
        <v>1.4999999999999999E-2</v>
      </c>
      <c r="G38" s="225" t="s">
        <v>2213</v>
      </c>
    </row>
    <row r="39" spans="1:7" s="220" customFormat="1" ht="13.5" customHeight="1">
      <c r="A39" s="261" t="s">
        <v>2219</v>
      </c>
      <c r="B39" s="216" t="s">
        <v>2220</v>
      </c>
      <c r="C39" s="238">
        <f ca="1">ROUND(C33*F20,0)</f>
        <v>14070713</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27627845</v>
      </c>
      <c r="D41" s="241">
        <f ca="1">C44</f>
        <v>8.0000000000000004E-4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27086123</v>
      </c>
      <c r="D42" s="244"/>
      <c r="E42" s="244"/>
      <c r="F42" s="245"/>
      <c r="G42" s="3298" t="s">
        <v>2276</v>
      </c>
    </row>
    <row r="43" spans="1:7" ht="13.5" customHeight="1">
      <c r="A43" s="888" t="s">
        <v>792</v>
      </c>
      <c r="B43" s="221" t="s">
        <v>2230</v>
      </c>
      <c r="C43" s="244">
        <f ca="1">ROUND(IF('数据-取费表'!B22&lt;=1,C39*F22*'数据-取费表'!B20/2,C39*(POWER((1+F22),'数据-取费表'!B20/2)-1)),0)</f>
        <v>541722</v>
      </c>
      <c r="D43" s="244"/>
      <c r="E43" s="244"/>
      <c r="F43" s="245"/>
      <c r="G43" s="3299"/>
    </row>
    <row r="44" spans="1:7" ht="13.5" customHeight="1">
      <c r="A44" s="888" t="s">
        <v>793</v>
      </c>
      <c r="B44" s="221" t="s">
        <v>2231</v>
      </c>
      <c r="C44" s="244">
        <f ca="1">ROUND(IF('数据-取费表'!B22&lt;=1,C40*F22*'数据-取费表'!B20/2,C40*(POWER((1+F22),'数据-取费表'!B20/2)-1)),4)</f>
        <v>8.0000000000000004E-4</v>
      </c>
      <c r="D44" s="244"/>
      <c r="E44" s="244"/>
      <c r="F44" s="245"/>
      <c r="G44" s="3300"/>
    </row>
    <row r="45" spans="1:7" s="220" customFormat="1" ht="13.5" customHeight="1">
      <c r="A45" s="261" t="s">
        <v>2232</v>
      </c>
      <c r="B45" s="250" t="s">
        <v>2198</v>
      </c>
      <c r="C45" s="251">
        <f ca="1">C46</f>
        <v>71760637</v>
      </c>
      <c r="D45" s="241">
        <f ca="1">C47</f>
        <v>2E-3</v>
      </c>
      <c r="E45" s="242" t="s">
        <v>2224</v>
      </c>
      <c r="F45" s="2538">
        <f ca="1">F27</f>
        <v>0.1</v>
      </c>
      <c r="G45" s="253" t="s">
        <v>2233</v>
      </c>
    </row>
    <row r="46" spans="1:7" s="220" customFormat="1" ht="13.5" customHeight="1">
      <c r="A46" s="888" t="s">
        <v>791</v>
      </c>
      <c r="B46" s="254" t="s">
        <v>2234</v>
      </c>
      <c r="C46" s="255">
        <f ca="1">ROUND((C33+C39)*F27,0)</f>
        <v>71760637</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268">
        <f>ROUND(F30/(1+'数据-取费表'!C42),4)</f>
        <v>5.33E-2</v>
      </c>
      <c r="D48" s="242" t="s">
        <v>2224</v>
      </c>
      <c r="E48" s="238"/>
      <c r="F48" s="2537">
        <f>F30</f>
        <v>5.6000000000000001E-2</v>
      </c>
      <c r="G48" s="240" t="s">
        <v>2237</v>
      </c>
    </row>
    <row r="49" spans="1:7" ht="16.5" customHeight="1">
      <c r="A49" s="261" t="s">
        <v>2203</v>
      </c>
      <c r="B49" s="216" t="s">
        <v>2277</v>
      </c>
      <c r="C49" s="238">
        <f ca="1">ROUND((C33+C39+C41+C45)/(1-C40-D41-D45-C48),0)</f>
        <v>884289269</v>
      </c>
      <c r="D49" s="238"/>
      <c r="E49" s="238"/>
      <c r="F49" s="270"/>
      <c r="G49" s="240" t="s">
        <v>2239</v>
      </c>
    </row>
    <row r="50" spans="1:7" s="264" customFormat="1">
      <c r="A50" s="261" t="s">
        <v>2240</v>
      </c>
      <c r="B50" s="216" t="s">
        <v>2241</v>
      </c>
      <c r="C50" s="238"/>
      <c r="D50" s="238"/>
      <c r="E50" s="238"/>
      <c r="F50" s="270">
        <f>IF('数据-取费表'!B24=0,'数据-取费表'!N16,1)</f>
        <v>0.98</v>
      </c>
      <c r="G50" s="253"/>
    </row>
    <row r="51" spans="1:7" ht="16.5" customHeight="1">
      <c r="A51" s="261" t="s">
        <v>2243</v>
      </c>
      <c r="B51" s="216" t="s">
        <v>2278</v>
      </c>
      <c r="C51" s="238">
        <f ca="1">ROUND(C49*F50,0)</f>
        <v>866603484</v>
      </c>
      <c r="D51" s="238"/>
      <c r="E51" s="238"/>
      <c r="F51" s="270"/>
      <c r="G51" s="240" t="s">
        <v>2245</v>
      </c>
    </row>
    <row r="52" spans="1:7" s="214" customFormat="1" ht="16.5" thickBot="1">
      <c r="A52" s="271" t="s">
        <v>2246</v>
      </c>
      <c r="B52" s="272"/>
      <c r="C52" s="273">
        <f ca="1">C31+C51</f>
        <v>950140940</v>
      </c>
      <c r="D52" s="272"/>
      <c r="E52" s="272"/>
      <c r="F52" s="272"/>
      <c r="G52" s="274"/>
    </row>
    <row r="55" spans="1:7" ht="15">
      <c r="B55" s="276" t="s">
        <v>2247</v>
      </c>
      <c r="C55" s="277"/>
    </row>
    <row r="56" spans="1:7">
      <c r="B56" s="279" t="s">
        <v>1478</v>
      </c>
      <c r="C56" s="281">
        <f ca="1">1-C57</f>
        <v>8.7999999999999967E-2</v>
      </c>
    </row>
    <row r="57" spans="1:7">
      <c r="B57" s="279" t="s">
        <v>1479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8"/>
      <c r="F1" s="3038"/>
      <c r="G1" s="2901"/>
      <c r="H1" s="3038"/>
      <c r="I1" s="3038"/>
      <c r="J1" s="3038"/>
      <c r="K1" s="3039">
        <f>MATCH(C1,'数据-取费表'!A6:A16,0)+5</f>
        <v>7</v>
      </c>
    </row>
    <row r="2" spans="1:33" ht="18" customHeight="1">
      <c r="A2" s="207" t="s">
        <v>2147</v>
      </c>
      <c r="B2" s="210">
        <f ca="1">C32</f>
        <v>0</v>
      </c>
      <c r="C2" s="282" t="s">
        <v>2280</v>
      </c>
      <c r="D2" s="282"/>
      <c r="E2" s="3038"/>
      <c r="F2" s="3038"/>
      <c r="G2" s="3038"/>
      <c r="H2" s="3038"/>
      <c r="I2" s="3038"/>
      <c r="J2" s="3038"/>
      <c r="K2" s="3038"/>
    </row>
    <row r="3" spans="1:33" ht="18" customHeight="1" thickBot="1">
      <c r="A3" s="209" t="s">
        <v>2149</v>
      </c>
      <c r="B3" s="210">
        <f ca="1">ROUND(B2*10000/IF(C1="",'数据-汇总表'!E3,INDIRECT("'数据-取费表'!K"&amp;$K$1)),0)</f>
        <v>0</v>
      </c>
      <c r="C3" s="282" t="s">
        <v>2281</v>
      </c>
      <c r="D3" s="282"/>
      <c r="E3" s="3038"/>
      <c r="F3" s="3038"/>
      <c r="G3" s="3038"/>
      <c r="H3" s="3038"/>
      <c r="I3" s="3038"/>
      <c r="J3" s="3038"/>
      <c r="K3" s="3038"/>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160624.58000000002</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160624.58000000002</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0</v>
      </c>
      <c r="D24" s="287" t="s">
        <v>15</v>
      </c>
      <c r="E24" s="287"/>
      <c r="F24" s="925">
        <f>IF(项目基本情况!B8="出让",0,'数据-取费表'!B48+'数据-取费表'!B49)</f>
        <v>0</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24" sqref="F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6</v>
      </c>
      <c r="D1" s="1547" t="s">
        <v>70</v>
      </c>
      <c r="E1" s="1548" t="s">
        <v>1352</v>
      </c>
      <c r="F1" s="1193">
        <f ca="1">J53</f>
        <v>44.72</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122797</v>
      </c>
      <c r="C2" s="1572" t="s">
        <v>1481</v>
      </c>
      <c r="D2" s="1572"/>
      <c r="E2" s="1573"/>
      <c r="F2" s="1574"/>
      <c r="G2" s="2936"/>
      <c r="H2" s="2925"/>
      <c r="I2" s="2925"/>
      <c r="J2" s="2925"/>
      <c r="K2" s="2926"/>
      <c r="L2" s="2925"/>
      <c r="M2" s="2925"/>
    </row>
    <row r="3" spans="1:37" ht="18" customHeight="1" thickBot="1">
      <c r="A3" s="1575" t="s">
        <v>1482</v>
      </c>
      <c r="B3" s="1576">
        <f ca="1">IF(ISERROR(B2*10000/F43),0,ROUND(B2*10000/F43,0))</f>
        <v>7648</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7921</v>
      </c>
      <c r="D5" s="1549" t="s">
        <v>1367</v>
      </c>
      <c r="E5" s="1203"/>
      <c r="F5" s="1204"/>
      <c r="G5" s="1569"/>
      <c r="H5" s="305">
        <v>1</v>
      </c>
      <c r="I5" s="306" t="s">
        <v>1366</v>
      </c>
      <c r="J5" s="1202">
        <f ca="1">J6+J10+J12</f>
        <v>0</v>
      </c>
      <c r="K5" s="1549" t="s">
        <v>1367</v>
      </c>
      <c r="L5" s="1203"/>
      <c r="M5" s="1204"/>
    </row>
    <row r="6" spans="1:37" ht="18" customHeight="1">
      <c r="A6" s="1201" t="s">
        <v>1003</v>
      </c>
      <c r="B6" s="3303" t="s">
        <v>1368</v>
      </c>
      <c r="C6" s="1206">
        <f ca="1">ROUND(F6*F8*F7*(1-F9)/10000,0)</f>
        <v>7911</v>
      </c>
      <c r="D6" s="160" t="s">
        <v>2849</v>
      </c>
      <c r="E6" s="308" t="s">
        <v>1370</v>
      </c>
      <c r="F6" s="309">
        <f ca="1">INDIRECT("'数据-取费表'!u"&amp;$G$1)</f>
        <v>1.5</v>
      </c>
      <c r="G6" s="1569"/>
      <c r="H6" s="1201" t="s">
        <v>1003</v>
      </c>
      <c r="I6" s="3303" t="s">
        <v>1368</v>
      </c>
      <c r="J6" s="307">
        <f ca="1">ROUND(M6*M8*M7*(1-M9)/10000,0)</f>
        <v>0</v>
      </c>
      <c r="K6" s="160" t="s">
        <v>2848</v>
      </c>
      <c r="L6" s="308" t="s">
        <v>1370</v>
      </c>
      <c r="M6" s="309">
        <f ca="1">INDIRECT("'数据-取费表'!z"&amp;$G$1)</f>
        <v>0</v>
      </c>
    </row>
    <row r="7" spans="1:37" ht="18" customHeight="1">
      <c r="A7" s="1205"/>
      <c r="B7" s="3304"/>
      <c r="C7" s="1207"/>
      <c r="D7" s="313"/>
      <c r="E7" s="1208" t="s">
        <v>1371</v>
      </c>
      <c r="F7" s="309">
        <f ca="1">IF(INDIRECT("'数据-取费表'!ah"&amp;$G$1)="",INDIRECT("'数据-取费表'!k"&amp;$G$1),INDIRECT("'数据-取费表'!ah"&amp;$G$1))</f>
        <v>160556.44</v>
      </c>
      <c r="G7" s="1569"/>
      <c r="H7" s="310"/>
      <c r="I7" s="3304"/>
      <c r="J7" s="312"/>
      <c r="K7" s="313"/>
      <c r="L7" s="308" t="s">
        <v>1371</v>
      </c>
      <c r="M7" s="309">
        <f ca="1">F7</f>
        <v>160556.44</v>
      </c>
    </row>
    <row r="8" spans="1:37" ht="18" customHeight="1">
      <c r="A8" s="310"/>
      <c r="B8" s="3304"/>
      <c r="C8" s="312"/>
      <c r="D8" s="313"/>
      <c r="E8" s="308" t="s">
        <v>1372</v>
      </c>
      <c r="F8" s="309">
        <f ca="1">INDIRECT("'数据-取费表'!ai"&amp;$G$1)</f>
        <v>365</v>
      </c>
      <c r="G8" s="1569"/>
      <c r="H8" s="310"/>
      <c r="I8" s="3304"/>
      <c r="J8" s="312"/>
      <c r="K8" s="313"/>
      <c r="L8" s="308" t="s">
        <v>1372</v>
      </c>
      <c r="M8" s="309">
        <f ca="1">INDIRECT("'数据-取费表'!ai"&amp;$G$1)</f>
        <v>365</v>
      </c>
    </row>
    <row r="9" spans="1:37" ht="18" customHeight="1">
      <c r="A9" s="310"/>
      <c r="B9" s="3305"/>
      <c r="C9" s="312"/>
      <c r="D9" s="313"/>
      <c r="E9" s="308" t="s">
        <v>1373</v>
      </c>
      <c r="F9" s="318">
        <f ca="1">INDIRECT("'数据-取费表'!w"&amp;$G$1)</f>
        <v>0.1</v>
      </c>
      <c r="G9" s="1569"/>
      <c r="H9" s="310"/>
      <c r="I9" s="3305"/>
      <c r="J9" s="312"/>
      <c r="K9" s="313"/>
      <c r="L9" s="319" t="s">
        <v>1373</v>
      </c>
      <c r="M9" s="320">
        <f ca="1">INDIRECT("'数据-取费表'!ab"&amp;$G$1)</f>
        <v>0</v>
      </c>
    </row>
    <row r="10" spans="1:37" ht="18" customHeight="1">
      <c r="A10" s="1201" t="s">
        <v>1007</v>
      </c>
      <c r="B10" s="1550" t="s">
        <v>1374</v>
      </c>
      <c r="C10" s="322">
        <f ca="1">ROUND(IF(F10="押一",C6/12*F11,IF(F10="押二",C6/12*2*F11,IF(F10="押三",C6/12*3*F11,C11*F11))),0)</f>
        <v>10</v>
      </c>
      <c r="D10" s="1551" t="s">
        <v>2857</v>
      </c>
      <c r="E10" s="319" t="s">
        <v>1375</v>
      </c>
      <c r="F10" s="1276" t="s">
        <v>3307</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86660</v>
      </c>
      <c r="D13" s="1241" t="s">
        <v>1380</v>
      </c>
      <c r="E13" s="1241" t="s">
        <v>1381</v>
      </c>
      <c r="F13" s="1242">
        <f ca="1">INDIRECT("'数据-取费表'!y"&amp;$G$1)</f>
        <v>0.98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64250</v>
      </c>
      <c r="D14" s="1530" t="s">
        <v>1383</v>
      </c>
      <c r="E14" s="1527"/>
      <c r="F14" s="325"/>
      <c r="G14" s="1569"/>
      <c r="H14" s="1113" t="s">
        <v>1003</v>
      </c>
      <c r="I14" s="308" t="s">
        <v>1384</v>
      </c>
      <c r="J14" s="24">
        <f ca="1">C29</f>
        <v>88429</v>
      </c>
      <c r="K14" s="15"/>
      <c r="L14" s="916"/>
      <c r="M14" s="917"/>
    </row>
    <row r="15" spans="1:37" s="1582" customFormat="1" ht="18" customHeight="1" thickBot="1">
      <c r="A15" s="1113" t="s">
        <v>1004</v>
      </c>
      <c r="B15" s="308" t="s">
        <v>1385</v>
      </c>
      <c r="C15" s="24">
        <f ca="1">ROUND(C14*F15,0)</f>
        <v>1928</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2101</v>
      </c>
      <c r="K16" s="1247" t="s">
        <v>1390</v>
      </c>
      <c r="L16" s="1248"/>
      <c r="M16" s="1204"/>
    </row>
    <row r="17" spans="1:37" s="1582" customFormat="1" ht="18" customHeight="1">
      <c r="A17" s="1113" t="s">
        <v>1355</v>
      </c>
      <c r="B17" s="308" t="s">
        <v>1391</v>
      </c>
      <c r="C17" s="24">
        <f ca="1">ROUND(F17*(F43+INDIRECT("'数据-取费表'!S"&amp;$G$1))/10000,0)</f>
        <v>3212</v>
      </c>
      <c r="D17" s="308" t="s">
        <v>1392</v>
      </c>
      <c r="E17" s="308" t="s">
        <v>1393</v>
      </c>
      <c r="F17" s="26">
        <f>'数据-取费表'!B35</f>
        <v>200</v>
      </c>
      <c r="G17" s="1581"/>
      <c r="H17" s="1113" t="s">
        <v>1003</v>
      </c>
      <c r="I17" s="308" t="s">
        <v>1394</v>
      </c>
      <c r="J17" s="2535">
        <f ca="1">ROUND(IF(AND(项目基本情况!B11="自然人",项目基本情况!B10="北京市"),J6*M17/(1+'数据-取费表'!C42),J18+J19+J20),0)</f>
        <v>775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964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70354</v>
      </c>
      <c r="D19" s="136" t="s">
        <v>1401</v>
      </c>
      <c r="E19" s="1545"/>
      <c r="F19" s="26"/>
      <c r="G19" s="1569"/>
      <c r="H19" s="1113" t="s">
        <v>1004</v>
      </c>
      <c r="I19" s="308" t="s">
        <v>1402</v>
      </c>
      <c r="J19" s="24">
        <f ca="1">IF(K19="按租金收入计税",ROUND(J6*M19/(1+'数据-取费表'!C42),2),ROUND(C29*M19*0.7,2))</f>
        <v>742.8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1407</v>
      </c>
      <c r="D20" s="329" t="s">
        <v>1405</v>
      </c>
      <c r="E20" s="308" t="s">
        <v>1387</v>
      </c>
      <c r="F20" s="328">
        <f>'数据-取费表'!B37</f>
        <v>0.02</v>
      </c>
      <c r="G20" s="1581"/>
      <c r="H20" s="1113" t="s">
        <v>1354</v>
      </c>
      <c r="I20" s="160" t="s">
        <v>1406</v>
      </c>
      <c r="J20" s="25">
        <f ca="1">ROUND(M20*M21/10000,2)</f>
        <v>31.96</v>
      </c>
      <c r="K20" s="330" t="s">
        <v>1407</v>
      </c>
      <c r="L20" s="308" t="s">
        <v>1408</v>
      </c>
      <c r="M20" s="331">
        <f>'数据-取费表'!B52</f>
        <v>3</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106517.90000000001</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1326.4</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2763</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-2101</v>
      </c>
      <c r="K25" s="1255" t="s">
        <v>1429</v>
      </c>
      <c r="L25" s="1256"/>
      <c r="M25" s="1257"/>
    </row>
    <row r="26" spans="1:37">
      <c r="A26" s="1113" t="s">
        <v>1002</v>
      </c>
      <c r="B26" s="308" t="s">
        <v>1430</v>
      </c>
      <c r="C26" s="24">
        <f ca="1">ROUND((C19+C20)*F26,0)</f>
        <v>7176</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88429</v>
      </c>
      <c r="D29" s="1252"/>
      <c r="E29" s="1250"/>
      <c r="F29" s="1253"/>
      <c r="G29" s="1581"/>
      <c r="H29" s="340" t="s">
        <v>1001</v>
      </c>
      <c r="I29" s="341" t="s">
        <v>1444</v>
      </c>
      <c r="J29" s="342">
        <f ca="1">ROUND(J26/(1+F40)^F41,0)</f>
        <v>0</v>
      </c>
      <c r="K29" s="343" t="s">
        <v>1445</v>
      </c>
      <c r="L29" s="344"/>
      <c r="M29" s="345">
        <f ca="1">INDIRECT("'数据-取费表'!k"&amp;$G$1)</f>
        <v>160556.44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2850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1358</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421.92</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904.11</v>
      </c>
      <c r="D33" s="1555" t="s">
        <v>3308</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31.96</v>
      </c>
      <c r="D34" s="330" t="s">
        <v>1407</v>
      </c>
      <c r="E34" s="308" t="s">
        <v>1408</v>
      </c>
      <c r="F34" s="331">
        <f>'数据-取费表'!B52</f>
        <v>3</v>
      </c>
      <c r="G34" s="1569"/>
      <c r="H34" s="2927"/>
      <c r="I34" s="1583"/>
      <c r="J34" s="1584"/>
      <c r="K34" s="2932"/>
      <c r="L34" s="2933"/>
      <c r="M34" s="2933"/>
    </row>
    <row r="35" spans="1:18" ht="18" customHeight="1">
      <c r="A35" s="1263"/>
      <c r="B35" s="1261"/>
      <c r="C35" s="29"/>
      <c r="D35" s="333"/>
      <c r="E35" s="308" t="s">
        <v>1412</v>
      </c>
      <c r="F35" s="309">
        <f ca="1">INDIRECT("'数据-取费表'!r"&amp;$G$1)</f>
        <v>106517.90000000001</v>
      </c>
      <c r="G35" s="1569"/>
      <c r="H35" s="2927"/>
      <c r="I35" s="1583"/>
      <c r="J35" s="1584"/>
      <c r="K35" s="2931"/>
      <c r="L35" s="2930"/>
      <c r="M35" s="2930"/>
    </row>
    <row r="36" spans="1:18" ht="18" customHeight="1">
      <c r="A36" s="1262" t="s">
        <v>1007</v>
      </c>
      <c r="B36" s="308" t="s">
        <v>1414</v>
      </c>
      <c r="C36" s="24">
        <f ca="1">ROUND(C29*F36,1)</f>
        <v>1326.4</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86.7</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79.2</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5071</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122797</v>
      </c>
      <c r="D40" s="330" t="s">
        <v>1434</v>
      </c>
      <c r="E40" s="308" t="s">
        <v>1435</v>
      </c>
      <c r="F40" s="318">
        <f ca="1">INDIRECT("'数据-取费表'!I"&amp;$G$1)</f>
        <v>0.05</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44.72</v>
      </c>
      <c r="G41" s="1569"/>
      <c r="H41" s="1353"/>
      <c r="I41" s="1583"/>
      <c r="J41" s="1584"/>
      <c r="K41" s="2771"/>
      <c r="L41" s="1353"/>
      <c r="M41" s="1353"/>
    </row>
    <row r="42" spans="1:18" ht="18" customHeight="1">
      <c r="A42" s="314"/>
      <c r="B42" s="315"/>
      <c r="C42" s="316"/>
      <c r="D42" s="333"/>
      <c r="E42" s="308" t="s">
        <v>1442</v>
      </c>
      <c r="F42" s="318">
        <f ca="1">INDIRECT("'数据-取费表'!v"&amp;$G$1)</f>
        <v>0.02</v>
      </c>
      <c r="G42" s="1569"/>
      <c r="H42" s="1353"/>
      <c r="I42" s="1583"/>
      <c r="J42" s="1584"/>
      <c r="K42" s="2771"/>
      <c r="L42" s="1353"/>
      <c r="M42" s="1353"/>
    </row>
    <row r="43" spans="1:18" ht="18" customHeight="1" thickBot="1">
      <c r="A43" s="340" t="s">
        <v>1001</v>
      </c>
      <c r="B43" s="341" t="s">
        <v>1452</v>
      </c>
      <c r="C43" s="342">
        <f ca="1">ROUND(C40*10000/F43,0)</f>
        <v>7648</v>
      </c>
      <c r="D43" s="343" t="s">
        <v>1453</v>
      </c>
      <c r="E43" s="344" t="s">
        <v>1454</v>
      </c>
      <c r="F43" s="345">
        <f ca="1">INDIRECT("'数据-取费表'!k"&amp;$G$1)</f>
        <v>160556.44</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-280235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3310</v>
      </c>
      <c r="K47" s="1601" t="s">
        <v>1492</v>
      </c>
      <c r="L47" s="1602">
        <f ca="1">INDIRECT("'数据-取费表'!d"&amp;$G$1)</f>
        <v>50</v>
      </c>
      <c r="M47" s="1565" t="str">
        <f>IF(ISNUMBER(FIND("住宅",C1)),"住宅","非住宅")</f>
        <v>非住宅</v>
      </c>
      <c r="O47" s="1603" t="s">
        <v>1008</v>
      </c>
      <c r="P47" s="1604" t="s">
        <v>1493</v>
      </c>
      <c r="Q47" s="1605">
        <f ca="1">C40+J29</f>
        <v>122797</v>
      </c>
      <c r="R47" s="1605" t="s">
        <v>1494</v>
      </c>
    </row>
    <row r="48" spans="1:18" s="1569" customFormat="1" ht="28.5" thickBot="1">
      <c r="A48" s="1270" t="s">
        <v>1103</v>
      </c>
      <c r="B48" s="306" t="s">
        <v>1366</v>
      </c>
      <c r="C48" s="1544">
        <f ca="1">C49+C53+C55</f>
        <v>0</v>
      </c>
      <c r="D48" s="1272"/>
      <c r="E48" s="1273"/>
      <c r="F48" s="1093"/>
      <c r="G48" s="731"/>
      <c r="H48" s="732"/>
      <c r="I48" s="1606" t="s">
        <v>1495</v>
      </c>
      <c r="J48" s="1607" t="s">
        <v>3309</v>
      </c>
      <c r="K48" s="1608" t="s">
        <v>1496</v>
      </c>
      <c r="L48" s="1609">
        <f ca="1">INDIRECT("'数据-取费表'!f"&amp;$G$1)</f>
        <v>44.72</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c r="K49" s="1608" t="s">
        <v>1500</v>
      </c>
      <c r="L49" s="1612"/>
      <c r="O49" s="1613" t="s">
        <v>1010</v>
      </c>
      <c r="P49" s="1604" t="s">
        <v>1501</v>
      </c>
      <c r="Q49" s="1605">
        <f ca="1">C29</f>
        <v>88429</v>
      </c>
      <c r="R49" s="1605" t="s">
        <v>1494</v>
      </c>
    </row>
    <row r="50" spans="1:18" s="1569" customFormat="1" ht="13.5" thickBot="1">
      <c r="A50" s="1107"/>
      <c r="B50" s="1110"/>
      <c r="C50" s="1278"/>
      <c r="D50" s="1084"/>
      <c r="E50" s="1187" t="s">
        <v>1371</v>
      </c>
      <c r="F50" s="1188">
        <f ca="1">F7</f>
        <v>160556.44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-47366</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44.72</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44.72</v>
      </c>
      <c r="K53" s="3301" t="s">
        <v>1513</v>
      </c>
      <c r="L53" s="3302"/>
      <c r="O53" s="1603" t="s">
        <v>1014</v>
      </c>
      <c r="P53" s="1604" t="s">
        <v>1514</v>
      </c>
      <c r="Q53" s="1605">
        <f ca="1">Q47+Q48</f>
        <v>122797</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86660</v>
      </c>
      <c r="D56" s="1632"/>
      <c r="E56" s="1633"/>
      <c r="F56" s="1625"/>
      <c r="I56" s="1634" t="s">
        <v>1519</v>
      </c>
      <c r="J56" s="1635" t="s">
        <v>3069</v>
      </c>
      <c r="K56" s="1606" t="s">
        <v>1520</v>
      </c>
      <c r="L56" s="1609" t="str">
        <f ca="1">IF(L48&lt;J51,"——",L48-J53)</f>
        <v>——</v>
      </c>
      <c r="O56" s="1603" t="s">
        <v>1008</v>
      </c>
      <c r="P56" s="1604" t="s">
        <v>1493</v>
      </c>
      <c r="Q56" s="1605">
        <f ca="1">C40+J29</f>
        <v>122797</v>
      </c>
      <c r="R56" s="1605" t="s">
        <v>1494</v>
      </c>
    </row>
    <row r="57" spans="1:18" s="1569" customFormat="1" ht="24.75" thickBot="1">
      <c r="A57" s="1636"/>
      <c r="B57" s="1081" t="s">
        <v>1443</v>
      </c>
      <c r="C57" s="244">
        <f ca="1">C29</f>
        <v>88429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8873</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7460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7428.04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31.96</v>
      </c>
      <c r="D62" s="1096" t="s">
        <v>1462</v>
      </c>
      <c r="E62" s="1081" t="s">
        <v>1463</v>
      </c>
      <c r="F62" s="331">
        <f t="shared" si="0"/>
        <v>3</v>
      </c>
      <c r="I62" s="1647" t="s">
        <v>1535</v>
      </c>
      <c r="J62" s="1648" t="s">
        <v>1536</v>
      </c>
      <c r="K62" s="1648" t="s">
        <v>1537</v>
      </c>
      <c r="L62" s="1648" t="s">
        <v>1538</v>
      </c>
      <c r="M62" s="1649" t="s">
        <v>1539</v>
      </c>
      <c r="O62" s="1603" t="s">
        <v>1014</v>
      </c>
      <c r="P62" s="1604" t="s">
        <v>1540</v>
      </c>
      <c r="Q62" s="1605">
        <f ca="1">Q56+Q57</f>
        <v>122797</v>
      </c>
      <c r="R62" s="1605" t="s">
        <v>1015</v>
      </c>
    </row>
    <row r="63" spans="1:18" s="1569" customFormat="1" ht="13.5" thickBot="1">
      <c r="A63" s="332"/>
      <c r="B63" s="1087"/>
      <c r="C63" s="29"/>
      <c r="D63" s="1097"/>
      <c r="E63" s="1081" t="s">
        <v>1464</v>
      </c>
      <c r="F63" s="309">
        <f t="shared" ca="1" si="0"/>
        <v>106517.90000000001</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1326.4</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86.7</v>
      </c>
      <c r="D65" s="1095" t="s">
        <v>1419</v>
      </c>
      <c r="E65" s="1081" t="s">
        <v>1420</v>
      </c>
      <c r="F65" s="336">
        <f t="shared" ca="1" si="0"/>
        <v>1E-3</v>
      </c>
      <c r="I65" s="1647" t="s">
        <v>1544</v>
      </c>
      <c r="J65" s="1648">
        <v>40</v>
      </c>
      <c r="K65" s="1648">
        <v>30</v>
      </c>
      <c r="L65" s="1648">
        <v>50</v>
      </c>
      <c r="M65" s="1650">
        <v>0.02</v>
      </c>
      <c r="O65" s="1603" t="s">
        <v>1008</v>
      </c>
      <c r="P65" s="1604" t="s">
        <v>1545</v>
      </c>
      <c r="Q65" s="1605">
        <f ca="1">C40+J29</f>
        <v>122797</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-8873</v>
      </c>
      <c r="D67" s="1094" t="s">
        <v>1429</v>
      </c>
      <c r="E67" s="1099"/>
      <c r="F67" s="1100"/>
      <c r="O67" s="1613" t="s">
        <v>1010</v>
      </c>
      <c r="P67" s="1604" t="s">
        <v>1527</v>
      </c>
      <c r="Q67" s="1651">
        <f ca="1">L51</f>
        <v>-47366</v>
      </c>
      <c r="R67" s="1605" t="s">
        <v>1547</v>
      </c>
    </row>
    <row r="68" spans="1:18" s="1569" customFormat="1" ht="16.5" thickBot="1">
      <c r="A68" s="1078" t="s">
        <v>1000</v>
      </c>
      <c r="B68" s="1079" t="s">
        <v>1450</v>
      </c>
      <c r="C68" s="307">
        <f ca="1">ROUND(C67*(1-((1+F70)/(1+F68))^F69)/(F68-F70),0)</f>
        <v>-157438</v>
      </c>
      <c r="D68" s="1096" t="s">
        <v>1434</v>
      </c>
      <c r="E68" s="1081" t="s">
        <v>1435</v>
      </c>
      <c r="F68" s="318">
        <f ca="1">F40</f>
        <v>0.05</v>
      </c>
      <c r="O68" s="1613" t="s">
        <v>1011</v>
      </c>
      <c r="P68" s="1652" t="s">
        <v>1548</v>
      </c>
      <c r="Q68" s="1605">
        <f ca="1">ROUND(Q69-Q70*Q71,0)</f>
        <v>-2295</v>
      </c>
      <c r="R68" s="1605" t="s">
        <v>1019</v>
      </c>
    </row>
    <row r="69" spans="1:18" s="1569" customFormat="1" ht="13.5" thickBot="1">
      <c r="A69" s="1082"/>
      <c r="B69" s="1083"/>
      <c r="C69" s="312"/>
      <c r="D69" s="1101" t="s">
        <v>1438</v>
      </c>
      <c r="E69" s="1081" t="s">
        <v>1439</v>
      </c>
      <c r="F69" s="339">
        <f ca="1">F41</f>
        <v>44.72</v>
      </c>
      <c r="O69" s="1613" t="s">
        <v>1016</v>
      </c>
      <c r="P69" s="1652" t="s">
        <v>1549</v>
      </c>
      <c r="Q69" s="1605">
        <f ca="1">C39</f>
        <v>5071</v>
      </c>
      <c r="R69" s="1605" t="s">
        <v>1494</v>
      </c>
    </row>
    <row r="70" spans="1:18" s="1569" customFormat="1" ht="13.5" thickBot="1">
      <c r="A70" s="1085"/>
      <c r="B70" s="1086"/>
      <c r="C70" s="316"/>
      <c r="D70" s="1097"/>
      <c r="E70" s="1081" t="s">
        <v>1442</v>
      </c>
      <c r="F70" s="1185"/>
      <c r="O70" s="1613" t="s">
        <v>1017</v>
      </c>
      <c r="P70" s="1652" t="s">
        <v>1550</v>
      </c>
      <c r="Q70" s="1605">
        <f ca="1">C13</f>
        <v>86660</v>
      </c>
      <c r="R70" s="1605" t="s">
        <v>1494</v>
      </c>
    </row>
    <row r="71" spans="1:18" s="1569" customFormat="1" ht="13.5" thickBot="1">
      <c r="A71" s="1102" t="s">
        <v>1001</v>
      </c>
      <c r="B71" s="1103" t="s">
        <v>1452</v>
      </c>
      <c r="C71" s="342">
        <f ca="1">ROUND(C68*10000/F71,0)</f>
        <v>-9806</v>
      </c>
      <c r="D71" s="1104" t="s">
        <v>1453</v>
      </c>
      <c r="E71" s="1105" t="s">
        <v>1454</v>
      </c>
      <c r="F71" s="345">
        <f ca="1">F43</f>
        <v>160556.44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7366</v>
      </c>
      <c r="D75" s="1569"/>
      <c r="E75" s="1569"/>
      <c r="F75" s="1569"/>
      <c r="K75" s="1587"/>
      <c r="L75" s="1569"/>
      <c r="O75" s="1603" t="s">
        <v>1014</v>
      </c>
      <c r="P75" s="1604" t="s">
        <v>1514</v>
      </c>
      <c r="Q75" s="1605">
        <f ca="1">Q65+Q66</f>
        <v>122797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-0.45300000000000007</v>
      </c>
    </row>
    <row r="80" spans="1:18">
      <c r="B80" s="346" t="s">
        <v>1476</v>
      </c>
      <c r="C80" s="280">
        <f ca="1">ROUND(C75/C39,3)</f>
        <v>1.4530000000000001</v>
      </c>
    </row>
    <row r="81" spans="2:3">
      <c r="B81" s="276" t="s">
        <v>1477</v>
      </c>
      <c r="C81" s="244"/>
    </row>
    <row r="82" spans="2:3">
      <c r="B82" s="279" t="s">
        <v>1478</v>
      </c>
      <c r="C82" s="281">
        <f ca="1">1-C83</f>
        <v>0.29400000000000004</v>
      </c>
    </row>
    <row r="83" spans="2:3">
      <c r="B83" s="279" t="s">
        <v>1479</v>
      </c>
      <c r="C83" s="280">
        <f ca="1">ROUND(C13/C40,3)</f>
        <v>0.70599999999999996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03" t="s">
        <v>1368</v>
      </c>
      <c r="C6" s="1206">
        <f ca="1">ROUND(F6*F8*F7*(1-F9),0)</f>
        <v>0</v>
      </c>
      <c r="D6" s="160" t="s">
        <v>2846</v>
      </c>
      <c r="E6" s="308" t="s">
        <v>1370</v>
      </c>
      <c r="F6" s="309">
        <f ca="1">INDIRECT("'数据-取费表'!u"&amp;$G$1)</f>
        <v>0</v>
      </c>
      <c r="G6" s="1569"/>
      <c r="H6" s="1201" t="s">
        <v>1003</v>
      </c>
      <c r="I6" s="3303" t="s">
        <v>1368</v>
      </c>
      <c r="J6" s="307">
        <f ca="1">ROUND(M6*M8*M7*(1-M9),0)</f>
        <v>0</v>
      </c>
      <c r="K6" s="1561" t="s">
        <v>2847</v>
      </c>
      <c r="L6" s="308" t="s">
        <v>1370</v>
      </c>
      <c r="M6" s="309">
        <f ca="1">INDIRECT("'数据-取费表'!z"&amp;$G$1)</f>
        <v>0</v>
      </c>
    </row>
    <row r="7" spans="1:37" ht="18" customHeight="1">
      <c r="A7" s="1205"/>
      <c r="B7" s="3304"/>
      <c r="C7" s="1207"/>
      <c r="D7" s="313"/>
      <c r="E7" s="1208" t="s">
        <v>1371</v>
      </c>
      <c r="F7" s="309">
        <f ca="1">IF(INDIRECT("'数据-取费表'!ah"&amp;$G$1)="",INDIRECT("'数据-取费表'!k"&amp;$G$1),INDIRECT("'数据-取费表'!ah"&amp;$G$1))</f>
        <v>0</v>
      </c>
      <c r="G7" s="1569"/>
      <c r="H7" s="310"/>
      <c r="I7" s="3304"/>
      <c r="J7" s="312"/>
      <c r="K7" s="313"/>
      <c r="L7" s="308" t="s">
        <v>1371</v>
      </c>
      <c r="M7" s="309">
        <f ca="1">F7</f>
        <v>0</v>
      </c>
    </row>
    <row r="8" spans="1:37" ht="18" customHeight="1">
      <c r="A8" s="310"/>
      <c r="B8" s="3304"/>
      <c r="C8" s="312"/>
      <c r="D8" s="313"/>
      <c r="E8" s="308" t="s">
        <v>1372</v>
      </c>
      <c r="F8" s="309">
        <f ca="1">INDIRECT("'数据-取费表'!ai"&amp;$G$1)</f>
        <v>0</v>
      </c>
      <c r="G8" s="1569"/>
      <c r="H8" s="310"/>
      <c r="I8" s="3304"/>
      <c r="J8" s="312"/>
      <c r="K8" s="313"/>
      <c r="L8" s="308" t="s">
        <v>1372</v>
      </c>
      <c r="M8" s="309">
        <f ca="1">INDIRECT("'数据-取费表'!ai"&amp;$G$1)</f>
        <v>0</v>
      </c>
    </row>
    <row r="9" spans="1:37" ht="18" customHeight="1">
      <c r="A9" s="310"/>
      <c r="B9" s="3305"/>
      <c r="C9" s="312"/>
      <c r="D9" s="313"/>
      <c r="E9" s="308" t="s">
        <v>1373</v>
      </c>
      <c r="F9" s="318">
        <f ca="1">INDIRECT("'数据-取费表'!w"&amp;$G$1)</f>
        <v>0</v>
      </c>
      <c r="G9" s="1569"/>
      <c r="H9" s="310"/>
      <c r="I9" s="3305"/>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3</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3</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301" t="s">
        <v>1513</v>
      </c>
      <c r="L53" s="3302"/>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3</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2147</v>
      </c>
      <c r="B2" s="2058">
        <f ca="1">SUMIF(B6:B13,"&lt;&gt;#ref!",B6:B13)</f>
        <v>122797</v>
      </c>
      <c r="C2" s="2059" t="s">
        <v>2339</v>
      </c>
      <c r="D2" s="2060" t="s">
        <v>2340</v>
      </c>
      <c r="E2" s="2834">
        <f>SUM(E6:E13)</f>
        <v>160624.58000000002</v>
      </c>
      <c r="F2" s="2937"/>
      <c r="G2" s="1675"/>
      <c r="H2" s="1675"/>
      <c r="I2" s="1675"/>
      <c r="J2" s="1675"/>
      <c r="K2" s="1675"/>
      <c r="L2" s="1675"/>
      <c r="M2" s="1675"/>
      <c r="N2" s="1675"/>
      <c r="O2" s="1675"/>
      <c r="P2" s="1675"/>
      <c r="Q2" s="1675"/>
      <c r="R2" s="1675"/>
      <c r="S2" s="1675"/>
    </row>
    <row r="3" spans="1:22" ht="15.75">
      <c r="A3" s="2057" t="s">
        <v>1360</v>
      </c>
      <c r="B3" s="2828">
        <f ca="1">ROUND(B2*10000/E2,0)</f>
        <v>7645</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306" t="s">
        <v>2342</v>
      </c>
      <c r="C5" s="3307"/>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122797</v>
      </c>
      <c r="C6" s="2059" t="s">
        <v>2339</v>
      </c>
      <c r="D6" s="2939"/>
      <c r="E6" s="2833">
        <f>IF(OR(A6=0,F6="否"),0,'数据-取费表'!K6+'数据-取费表'!S6)</f>
        <v>160624.58000000002</v>
      </c>
      <c r="F6" s="2063" t="s">
        <v>2345</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24" t="s">
        <v>1044</v>
      </c>
      <c r="B1" s="3325"/>
      <c r="C1" s="3326"/>
      <c r="D1" s="3327">
        <f>SUM(I10,I15,I20,I21,I23)</f>
        <v>0</v>
      </c>
      <c r="E1" s="3327"/>
      <c r="F1" s="3327"/>
      <c r="G1" s="3327"/>
      <c r="H1" s="3327"/>
      <c r="I1" s="3328"/>
    </row>
    <row r="2" spans="1:9">
      <c r="A2" s="3314" t="s">
        <v>1045</v>
      </c>
      <c r="B2" s="3315" t="s">
        <v>1046</v>
      </c>
      <c r="C2" s="3315"/>
      <c r="D2" s="1211" t="s">
        <v>1047</v>
      </c>
      <c r="E2" s="1211" t="s">
        <v>1048</v>
      </c>
      <c r="F2" s="1211" t="s">
        <v>1049</v>
      </c>
      <c r="G2" s="1211" t="s">
        <v>1050</v>
      </c>
      <c r="H2" s="1211" t="s">
        <v>1051</v>
      </c>
      <c r="I2" s="1212" t="s">
        <v>1052</v>
      </c>
    </row>
    <row r="3" spans="1:9">
      <c r="A3" s="3314"/>
      <c r="B3" s="3315" t="s">
        <v>1053</v>
      </c>
      <c r="C3" s="3315"/>
      <c r="D3" s="1213"/>
      <c r="E3" s="1211"/>
      <c r="F3" s="1214"/>
      <c r="G3" s="1214"/>
      <c r="H3" s="1215"/>
      <c r="I3" s="1216">
        <f>ROUND(D3*E3*F3*G3*H3/10000,0)</f>
        <v>0</v>
      </c>
    </row>
    <row r="4" spans="1:9">
      <c r="A4" s="3314"/>
      <c r="B4" s="3315" t="s">
        <v>1054</v>
      </c>
      <c r="C4" s="3315"/>
      <c r="D4" s="1213"/>
      <c r="E4" s="1211"/>
      <c r="F4" s="1214"/>
      <c r="G4" s="1214"/>
      <c r="H4" s="1215"/>
      <c r="I4" s="1216">
        <f t="shared" ref="I4:I9" si="0">ROUND(D4*E4*F4*G4*H4/10000,0)</f>
        <v>0</v>
      </c>
    </row>
    <row r="5" spans="1:9">
      <c r="A5" s="3314"/>
      <c r="B5" s="3315" t="s">
        <v>1055</v>
      </c>
      <c r="C5" s="3315"/>
      <c r="D5" s="1213"/>
      <c r="E5" s="1211"/>
      <c r="F5" s="1214"/>
      <c r="G5" s="1214"/>
      <c r="H5" s="1215"/>
      <c r="I5" s="1216">
        <f t="shared" si="0"/>
        <v>0</v>
      </c>
    </row>
    <row r="6" spans="1:9">
      <c r="A6" s="3314"/>
      <c r="B6" s="3315" t="s">
        <v>1056</v>
      </c>
      <c r="C6" s="3315"/>
      <c r="D6" s="1213"/>
      <c r="E6" s="1211"/>
      <c r="F6" s="1214"/>
      <c r="G6" s="1214"/>
      <c r="H6" s="1215"/>
      <c r="I6" s="1216">
        <f t="shared" si="0"/>
        <v>0</v>
      </c>
    </row>
    <row r="7" spans="1:9">
      <c r="A7" s="3314"/>
      <c r="B7" s="3315" t="s">
        <v>1057</v>
      </c>
      <c r="C7" s="3315"/>
      <c r="D7" s="1213"/>
      <c r="E7" s="1211"/>
      <c r="F7" s="1214"/>
      <c r="G7" s="1214"/>
      <c r="H7" s="1215"/>
      <c r="I7" s="1216">
        <f t="shared" si="0"/>
        <v>0</v>
      </c>
    </row>
    <row r="8" spans="1:9">
      <c r="A8" s="3314"/>
      <c r="B8" s="3315" t="s">
        <v>1058</v>
      </c>
      <c r="C8" s="3315"/>
      <c r="D8" s="1213"/>
      <c r="E8" s="1211"/>
      <c r="F8" s="1214"/>
      <c r="G8" s="1214"/>
      <c r="H8" s="1215"/>
      <c r="I8" s="1216">
        <f t="shared" si="0"/>
        <v>0</v>
      </c>
    </row>
    <row r="9" spans="1:9">
      <c r="A9" s="3314"/>
      <c r="B9" s="3315" t="s">
        <v>1059</v>
      </c>
      <c r="C9" s="3315"/>
      <c r="D9" s="1213"/>
      <c r="E9" s="1211"/>
      <c r="F9" s="1214"/>
      <c r="G9" s="1214"/>
      <c r="H9" s="1215"/>
      <c r="I9" s="1216">
        <f t="shared" si="0"/>
        <v>0</v>
      </c>
    </row>
    <row r="10" spans="1:9">
      <c r="A10" s="3314"/>
      <c r="B10" s="3316" t="s">
        <v>1060</v>
      </c>
      <c r="C10" s="3316"/>
      <c r="D10" s="1217"/>
      <c r="E10" s="1217" t="e">
        <f>ROUND(D1*10000/D10/H9,0)</f>
        <v>#DIV/0!</v>
      </c>
      <c r="F10" s="1218"/>
      <c r="G10" s="1218"/>
      <c r="H10" s="1219"/>
      <c r="I10" s="1220">
        <f>SUM(I3:I9)</f>
        <v>0</v>
      </c>
    </row>
    <row r="11" spans="1:9" ht="14.25">
      <c r="A11" s="3314" t="s">
        <v>1061</v>
      </c>
      <c r="B11" s="3315" t="s">
        <v>1062</v>
      </c>
      <c r="C11" s="3315"/>
      <c r="D11" s="1213" t="s">
        <v>1063</v>
      </c>
      <c r="E11" s="1213" t="s">
        <v>1064</v>
      </c>
      <c r="F11" s="1214" t="s">
        <v>1065</v>
      </c>
      <c r="G11" s="1214" t="s">
        <v>1051</v>
      </c>
      <c r="H11" s="1221" t="s">
        <v>1066</v>
      </c>
      <c r="I11" s="1212" t="s">
        <v>1052</v>
      </c>
    </row>
    <row r="12" spans="1:9">
      <c r="A12" s="3314"/>
      <c r="B12" s="3315" t="s">
        <v>1067</v>
      </c>
      <c r="C12" s="3315"/>
      <c r="D12" s="1213"/>
      <c r="E12" s="1213"/>
      <c r="F12" s="1214"/>
      <c r="G12" s="1215"/>
      <c r="H12" s="1222"/>
      <c r="I12" s="1212">
        <f>ROUND(D12*E12*F12*G12/10000,0)</f>
        <v>0</v>
      </c>
    </row>
    <row r="13" spans="1:9">
      <c r="A13" s="3314"/>
      <c r="B13" s="3315" t="s">
        <v>1068</v>
      </c>
      <c r="C13" s="3315"/>
      <c r="D13" s="1213"/>
      <c r="E13" s="1213"/>
      <c r="F13" s="1214"/>
      <c r="G13" s="1215"/>
      <c r="H13" s="1222"/>
      <c r="I13" s="1212">
        <f>ROUND(D13*E13*F13*G13/10000,0)</f>
        <v>0</v>
      </c>
    </row>
    <row r="14" spans="1:9">
      <c r="A14" s="3314"/>
      <c r="B14" s="3315" t="s">
        <v>1069</v>
      </c>
      <c r="C14" s="3315"/>
      <c r="D14" s="1213"/>
      <c r="E14" s="1213"/>
      <c r="F14" s="1214"/>
      <c r="G14" s="1215"/>
      <c r="H14" s="1222"/>
      <c r="I14" s="1212">
        <f>ROUND(D14*E14*F14*G14/10000,0)</f>
        <v>0</v>
      </c>
    </row>
    <row r="15" spans="1:9">
      <c r="A15" s="3314"/>
      <c r="B15" s="3316" t="s">
        <v>1060</v>
      </c>
      <c r="C15" s="3316"/>
      <c r="D15" s="1217"/>
      <c r="E15" s="1217">
        <f>SUM(E12:E14)</f>
        <v>0</v>
      </c>
      <c r="F15" s="1218"/>
      <c r="G15" s="1215"/>
      <c r="H15" s="1222"/>
      <c r="I15" s="1223">
        <f>SUM(I12:I14)</f>
        <v>0</v>
      </c>
    </row>
    <row r="16" spans="1:9" ht="24">
      <c r="A16" s="3314" t="s">
        <v>1070</v>
      </c>
      <c r="B16" s="3315" t="s">
        <v>1071</v>
      </c>
      <c r="C16" s="3315"/>
      <c r="D16" s="1213" t="s">
        <v>1047</v>
      </c>
      <c r="E16" s="1224" t="s">
        <v>1072</v>
      </c>
      <c r="F16" s="1214" t="s">
        <v>1073</v>
      </c>
      <c r="G16" s="1215" t="s">
        <v>1051</v>
      </c>
      <c r="H16" s="1221" t="s">
        <v>1066</v>
      </c>
      <c r="I16" s="1212" t="s">
        <v>1052</v>
      </c>
    </row>
    <row r="17" spans="1:9" ht="14.25">
      <c r="A17" s="3314"/>
      <c r="B17" s="3315" t="s">
        <v>1074</v>
      </c>
      <c r="C17" s="3315"/>
      <c r="D17" s="1213"/>
      <c r="E17" s="1213"/>
      <c r="F17" s="1214"/>
      <c r="G17" s="1215"/>
      <c r="H17" s="1225"/>
      <c r="I17" s="1226">
        <f>ROUND(D17*E17*F17*G17/10000,0)</f>
        <v>0</v>
      </c>
    </row>
    <row r="18" spans="1:9" ht="14.25">
      <c r="A18" s="3314"/>
      <c r="B18" s="3315" t="s">
        <v>1075</v>
      </c>
      <c r="C18" s="3315"/>
      <c r="D18" s="1213"/>
      <c r="E18" s="1213"/>
      <c r="F18" s="1214"/>
      <c r="G18" s="1215"/>
      <c r="H18" s="1225"/>
      <c r="I18" s="1226">
        <f>ROUND(D18*E18*F18*G18/10000,0)</f>
        <v>0</v>
      </c>
    </row>
    <row r="19" spans="1:9" ht="14.25">
      <c r="A19" s="3314"/>
      <c r="B19" s="3315" t="s">
        <v>1076</v>
      </c>
      <c r="C19" s="3315"/>
      <c r="D19" s="1213"/>
      <c r="E19" s="1213"/>
      <c r="F19" s="1214"/>
      <c r="G19" s="1215"/>
      <c r="H19" s="1225"/>
      <c r="I19" s="1226">
        <f>ROUND(D19*E19*F19*G19/10000,0)</f>
        <v>0</v>
      </c>
    </row>
    <row r="20" spans="1:9">
      <c r="A20" s="3314"/>
      <c r="B20" s="3316" t="s">
        <v>1060</v>
      </c>
      <c r="C20" s="3316"/>
      <c r="D20" s="1217">
        <f>SUM(D17:D19)</f>
        <v>0</v>
      </c>
      <c r="E20" s="1217"/>
      <c r="F20" s="1218"/>
      <c r="G20" s="1215"/>
      <c r="H20" s="1222"/>
      <c r="I20" s="1223">
        <f>SUM(I17:I19)</f>
        <v>0</v>
      </c>
    </row>
    <row r="21" spans="1:9">
      <c r="A21" s="3314" t="s">
        <v>1077</v>
      </c>
      <c r="B21" s="3317"/>
      <c r="C21" s="3317"/>
      <c r="D21" s="3317"/>
      <c r="E21" s="3317"/>
      <c r="F21" s="3317"/>
      <c r="G21" s="3317"/>
      <c r="H21" s="1503">
        <v>0.1</v>
      </c>
      <c r="I21" s="1220">
        <f>ROUND(I10*H21,0)</f>
        <v>0</v>
      </c>
    </row>
    <row r="22" spans="1:9" ht="14.25">
      <c r="A22" s="3318" t="s">
        <v>1078</v>
      </c>
      <c r="B22" s="3319"/>
      <c r="C22" s="3320"/>
      <c r="D22" s="1227" t="s">
        <v>1079</v>
      </c>
      <c r="E22" s="1227" t="s">
        <v>1080</v>
      </c>
      <c r="F22" s="1228" t="s">
        <v>1081</v>
      </c>
      <c r="G22" s="1228" t="s">
        <v>1082</v>
      </c>
      <c r="H22" s="1221" t="s">
        <v>1083</v>
      </c>
      <c r="I22" s="1212" t="s">
        <v>1084</v>
      </c>
    </row>
    <row r="23" spans="1:9" ht="14.25" thickBot="1">
      <c r="A23" s="3321"/>
      <c r="B23" s="3322"/>
      <c r="C23" s="3323"/>
      <c r="D23" s="1229"/>
      <c r="E23" s="1229"/>
      <c r="F23" s="1229"/>
      <c r="G23" s="1230"/>
      <c r="H23" s="1231"/>
      <c r="I23" s="1232">
        <f>ROUND(E23*D23*F23*(1-G23)/10000,0)</f>
        <v>0</v>
      </c>
    </row>
    <row r="26" spans="1:9">
      <c r="A26" s="1233" t="s">
        <v>1085</v>
      </c>
      <c r="B26" s="1233"/>
      <c r="C26" s="1233"/>
      <c r="D26" s="1233"/>
      <c r="E26" s="3311">
        <f>C27-C30-C31-C32</f>
        <v>0</v>
      </c>
      <c r="F26" s="3311"/>
      <c r="G26" s="3311"/>
      <c r="H26" s="1500" t="s">
        <v>1306</v>
      </c>
    </row>
    <row r="27" spans="1:9">
      <c r="A27" s="1234">
        <v>1</v>
      </c>
      <c r="B27" s="1235" t="s">
        <v>1086</v>
      </c>
      <c r="C27" s="1235">
        <f>C28+C29</f>
        <v>0</v>
      </c>
      <c r="D27" s="1235"/>
      <c r="E27" s="3312"/>
      <c r="F27" s="3312"/>
      <c r="G27" s="3312"/>
    </row>
    <row r="28" spans="1:9">
      <c r="A28" s="1236" t="s">
        <v>1087</v>
      </c>
      <c r="B28" s="1235" t="s">
        <v>1088</v>
      </c>
      <c r="C28" s="1235"/>
      <c r="D28" s="1235"/>
      <c r="E28" s="3312"/>
      <c r="F28" s="3312"/>
      <c r="G28" s="331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3"/>
      <c r="F32" s="3313"/>
      <c r="G32" s="3313"/>
    </row>
    <row r="33" spans="1:7" hidden="1">
      <c r="A33" s="3308" t="s">
        <v>1097</v>
      </c>
      <c r="B33" s="3309"/>
      <c r="C33" s="3309"/>
      <c r="D33" s="3310"/>
      <c r="E33" s="3311"/>
      <c r="F33" s="3311"/>
      <c r="G33" s="3311"/>
    </row>
    <row r="34" spans="1:7" hidden="1">
      <c r="A34" s="1238">
        <v>1</v>
      </c>
      <c r="B34" s="1235" t="s">
        <v>1098</v>
      </c>
      <c r="C34" s="1235"/>
      <c r="D34" s="1235"/>
      <c r="E34" s="3312"/>
      <c r="F34" s="3312"/>
      <c r="G34" s="3312"/>
    </row>
    <row r="35" spans="1:7" hidden="1">
      <c r="A35" s="1238">
        <v>2</v>
      </c>
      <c r="B35" s="1235" t="s">
        <v>1099</v>
      </c>
      <c r="C35" s="1235"/>
      <c r="D35" s="1235"/>
      <c r="E35" s="3312"/>
      <c r="F35" s="3312"/>
      <c r="G35" s="3312"/>
    </row>
    <row r="36" spans="1:7" hidden="1">
      <c r="A36" s="1238">
        <v>3</v>
      </c>
      <c r="B36" s="1235" t="s">
        <v>1100</v>
      </c>
      <c r="C36" s="1235"/>
      <c r="D36" s="1235"/>
      <c r="E36" s="3312"/>
      <c r="F36" s="3312"/>
      <c r="G36" s="3312"/>
    </row>
    <row r="37" spans="1:7" hidden="1">
      <c r="A37" s="1238">
        <v>4</v>
      </c>
      <c r="B37" s="1235" t="s">
        <v>1101</v>
      </c>
      <c r="C37" s="1235"/>
      <c r="D37" s="1235"/>
      <c r="E37" s="3312"/>
      <c r="F37" s="3312"/>
      <c r="G37" s="3312"/>
    </row>
    <row r="38" spans="1:7" hidden="1">
      <c r="A38" s="3308" t="s">
        <v>1102</v>
      </c>
      <c r="B38" s="3309"/>
      <c r="C38" s="3309"/>
      <c r="D38" s="3310"/>
      <c r="E38" s="3311"/>
      <c r="F38" s="3311"/>
      <c r="G38" s="33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c r="E1" s="2545"/>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160624.58000000002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347" t="s">
        <v>2356</v>
      </c>
      <c r="D4" s="3348"/>
      <c r="E4" s="3349" t="s">
        <v>2357</v>
      </c>
      <c r="F4" s="3350"/>
      <c r="G4" s="3347" t="s">
        <v>2358</v>
      </c>
      <c r="H4" s="3348"/>
      <c r="I4" s="3347" t="s">
        <v>2359</v>
      </c>
      <c r="J4" s="3348"/>
      <c r="K4" s="2076" t="s">
        <v>2360</v>
      </c>
      <c r="L4" s="2945"/>
      <c r="M4" s="2946"/>
      <c r="N4" s="2946"/>
      <c r="O4" s="2946"/>
      <c r="P4" s="3351" t="s">
        <v>2361</v>
      </c>
      <c r="Q4" s="3352"/>
      <c r="R4" s="3357" t="s">
        <v>2357</v>
      </c>
      <c r="S4" s="3358"/>
      <c r="T4" s="3357" t="s">
        <v>2358</v>
      </c>
      <c r="U4" s="3358"/>
      <c r="V4" s="3363" t="s">
        <v>2359</v>
      </c>
      <c r="W4" s="3363"/>
      <c r="X4" s="1540"/>
      <c r="Y4" s="3357" t="s">
        <v>2361</v>
      </c>
      <c r="Z4" s="3358"/>
      <c r="AA4" s="3344" t="s">
        <v>2357</v>
      </c>
      <c r="AB4" s="3344" t="s">
        <v>2358</v>
      </c>
      <c r="AC4" s="3344" t="s">
        <v>2359</v>
      </c>
    </row>
    <row r="5" spans="1:29" ht="15">
      <c r="A5" s="364"/>
      <c r="B5" s="365"/>
      <c r="C5" s="3366" t="s">
        <v>2362</v>
      </c>
      <c r="D5" s="3367"/>
      <c r="E5" s="3373" t="s">
        <v>2363</v>
      </c>
      <c r="F5" s="3374"/>
      <c r="G5" s="3366" t="s">
        <v>2364</v>
      </c>
      <c r="H5" s="3367"/>
      <c r="I5" s="3366" t="s">
        <v>2365</v>
      </c>
      <c r="J5" s="3367"/>
      <c r="K5" s="2077"/>
      <c r="L5" s="2945"/>
      <c r="M5" s="2946"/>
      <c r="N5" s="2946"/>
      <c r="O5" s="2946"/>
      <c r="P5" s="3353"/>
      <c r="Q5" s="3354"/>
      <c r="R5" s="3359"/>
      <c r="S5" s="3360"/>
      <c r="T5" s="3359"/>
      <c r="U5" s="3360"/>
      <c r="V5" s="3363"/>
      <c r="W5" s="3363"/>
      <c r="X5" s="1540"/>
      <c r="Y5" s="3359"/>
      <c r="Z5" s="3360"/>
      <c r="AA5" s="3345"/>
      <c r="AB5" s="3345"/>
      <c r="AC5" s="3345"/>
    </row>
    <row r="6" spans="1:29" ht="15.75" thickBot="1">
      <c r="A6" s="366"/>
      <c r="B6" s="367"/>
      <c r="C6" s="3364" t="s">
        <v>2366</v>
      </c>
      <c r="D6" s="3365"/>
      <c r="E6" s="3371" t="s">
        <v>2366</v>
      </c>
      <c r="F6" s="3372"/>
      <c r="G6" s="3364" t="s">
        <v>2366</v>
      </c>
      <c r="H6" s="3365"/>
      <c r="I6" s="3364" t="s">
        <v>2366</v>
      </c>
      <c r="J6" s="3365"/>
      <c r="K6" s="2077" t="s">
        <v>2367</v>
      </c>
      <c r="L6" s="2945"/>
      <c r="M6" s="2946"/>
      <c r="N6" s="2946"/>
      <c r="O6" s="2946"/>
      <c r="P6" s="3355"/>
      <c r="Q6" s="3356"/>
      <c r="R6" s="3359"/>
      <c r="S6" s="3360"/>
      <c r="T6" s="3361"/>
      <c r="U6" s="3362"/>
      <c r="V6" s="3363"/>
      <c r="W6" s="3363"/>
      <c r="X6" s="1540"/>
      <c r="Y6" s="3361"/>
      <c r="Z6" s="3362"/>
      <c r="AA6" s="3346"/>
      <c r="AB6" s="3346"/>
      <c r="AC6" s="3346"/>
    </row>
    <row r="7" spans="1:29" s="113" customFormat="1" ht="15.75" thickBot="1">
      <c r="A7" s="368" t="s">
        <v>2368</v>
      </c>
      <c r="B7" s="369"/>
      <c r="C7" s="370">
        <f>'数据-取费表'!B2</f>
        <v>44249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68" t="s">
        <v>2369</v>
      </c>
      <c r="Q7" s="3370"/>
      <c r="R7" s="710" t="s">
        <v>23</v>
      </c>
      <c r="S7" s="711">
        <f t="shared" ref="S7:S15" si="0">F7</f>
        <v>0</v>
      </c>
      <c r="T7" s="710" t="s">
        <v>23</v>
      </c>
      <c r="U7" s="711">
        <f t="shared" ref="U7:U15" si="1">H7</f>
        <v>0</v>
      </c>
      <c r="V7" s="710" t="s">
        <v>23</v>
      </c>
      <c r="W7" s="711">
        <f t="shared" ref="W7:W15" si="2">J7</f>
        <v>0</v>
      </c>
      <c r="X7" s="712"/>
      <c r="Y7" s="3368" t="s">
        <v>2369</v>
      </c>
      <c r="Z7" s="336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68" t="s">
        <v>2372</v>
      </c>
      <c r="Q8" s="3369"/>
      <c r="R8" s="710" t="s">
        <v>23</v>
      </c>
      <c r="S8" s="711">
        <f t="shared" si="0"/>
        <v>0</v>
      </c>
      <c r="T8" s="710" t="s">
        <v>23</v>
      </c>
      <c r="U8" s="711">
        <f t="shared" si="1"/>
        <v>0</v>
      </c>
      <c r="V8" s="710" t="s">
        <v>23</v>
      </c>
      <c r="W8" s="711">
        <f t="shared" si="2"/>
        <v>0</v>
      </c>
      <c r="X8" s="712"/>
      <c r="Y8" s="3368" t="s">
        <v>2372</v>
      </c>
      <c r="Z8" s="336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43"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43"/>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43"/>
      <c r="Q11" s="1528" t="str">
        <f t="shared" si="6"/>
        <v>容积率</v>
      </c>
      <c r="R11" s="710" t="s">
        <v>21</v>
      </c>
      <c r="S11" s="711" t="e">
        <f t="shared" si="0"/>
        <v>#N/A</v>
      </c>
      <c r="T11" s="710" t="s">
        <v>21</v>
      </c>
      <c r="U11" s="711" t="e">
        <f t="shared" si="1"/>
        <v>#N/A</v>
      </c>
      <c r="V11" s="710" t="s">
        <v>21</v>
      </c>
      <c r="W11" s="711" t="e">
        <f t="shared" si="2"/>
        <v>#N/A</v>
      </c>
      <c r="X11" s="712"/>
      <c r="Y11" s="3202"/>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43"/>
      <c r="Q12" s="1528">
        <f t="shared" si="6"/>
        <v>111</v>
      </c>
      <c r="R12" s="710" t="s">
        <v>21</v>
      </c>
      <c r="S12" s="711">
        <f t="shared" si="0"/>
        <v>100</v>
      </c>
      <c r="T12" s="710" t="s">
        <v>21</v>
      </c>
      <c r="U12" s="711">
        <f t="shared" si="1"/>
        <v>100</v>
      </c>
      <c r="V12" s="710" t="s">
        <v>21</v>
      </c>
      <c r="W12" s="711">
        <f t="shared" si="2"/>
        <v>100</v>
      </c>
      <c r="X12" s="712"/>
      <c r="Y12" s="320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43"/>
      <c r="Q13" s="1528">
        <f t="shared" si="6"/>
        <v>111</v>
      </c>
      <c r="R13" s="710" t="s">
        <v>21</v>
      </c>
      <c r="S13" s="711">
        <f t="shared" si="0"/>
        <v>100</v>
      </c>
      <c r="T13" s="710" t="s">
        <v>21</v>
      </c>
      <c r="U13" s="711">
        <f t="shared" si="1"/>
        <v>100</v>
      </c>
      <c r="V13" s="710" t="s">
        <v>21</v>
      </c>
      <c r="W13" s="711">
        <f t="shared" si="2"/>
        <v>100</v>
      </c>
      <c r="X13" s="712"/>
      <c r="Y13" s="3202"/>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43"/>
      <c r="Q14" s="1528">
        <f t="shared" si="6"/>
        <v>111</v>
      </c>
      <c r="R14" s="710" t="s">
        <v>21</v>
      </c>
      <c r="S14" s="711">
        <f t="shared" si="0"/>
        <v>100</v>
      </c>
      <c r="T14" s="710" t="s">
        <v>21</v>
      </c>
      <c r="U14" s="711">
        <f t="shared" si="1"/>
        <v>100</v>
      </c>
      <c r="V14" s="710" t="s">
        <v>21</v>
      </c>
      <c r="W14" s="711">
        <f t="shared" si="2"/>
        <v>100</v>
      </c>
      <c r="X14" s="712"/>
      <c r="Y14" s="3202"/>
      <c r="Z14" s="55">
        <f t="shared" si="7"/>
        <v>111</v>
      </c>
      <c r="AA14" s="713">
        <f t="shared" si="3"/>
        <v>1</v>
      </c>
      <c r="AB14" s="713">
        <f t="shared" si="4"/>
        <v>1</v>
      </c>
      <c r="AC14" s="713">
        <f t="shared" si="5"/>
        <v>1</v>
      </c>
    </row>
    <row r="15" spans="1:29" ht="99.75">
      <c r="A15" s="399" t="s">
        <v>2379</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41" t="s">
        <v>2380</v>
      </c>
      <c r="Q15" s="1537" t="str">
        <f t="shared" si="6"/>
        <v>居住社区成熟度</v>
      </c>
      <c r="R15" s="714" t="s">
        <v>21</v>
      </c>
      <c r="S15" s="715">
        <f t="shared" si="0"/>
        <v>100</v>
      </c>
      <c r="T15" s="714" t="s">
        <v>21</v>
      </c>
      <c r="U15" s="715">
        <f t="shared" si="1"/>
        <v>100</v>
      </c>
      <c r="V15" s="714" t="s">
        <v>21</v>
      </c>
      <c r="W15" s="715">
        <f t="shared" si="2"/>
        <v>100</v>
      </c>
      <c r="X15" s="1540"/>
      <c r="Y15" s="3334"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42"/>
      <c r="Q16" s="1537"/>
      <c r="R16" s="714"/>
      <c r="S16" s="715"/>
      <c r="T16" s="714"/>
      <c r="U16" s="715"/>
      <c r="V16" s="714"/>
      <c r="W16" s="715"/>
      <c r="X16" s="1540"/>
      <c r="Y16" s="333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42"/>
      <c r="Q17" s="1537" t="str">
        <f>B17</f>
        <v>交通便捷度</v>
      </c>
      <c r="R17" s="714" t="s">
        <v>21</v>
      </c>
      <c r="S17" s="715">
        <f>F17</f>
        <v>100</v>
      </c>
      <c r="T17" s="714" t="s">
        <v>21</v>
      </c>
      <c r="U17" s="715">
        <f>H17</f>
        <v>100</v>
      </c>
      <c r="V17" s="714" t="s">
        <v>21</v>
      </c>
      <c r="W17" s="715">
        <f>J17</f>
        <v>100</v>
      </c>
      <c r="X17" s="1540"/>
      <c r="Y17" s="333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42"/>
      <c r="Q18" s="1537"/>
      <c r="R18" s="714"/>
      <c r="S18" s="715"/>
      <c r="T18" s="714"/>
      <c r="U18" s="715"/>
      <c r="V18" s="714"/>
      <c r="W18" s="715"/>
      <c r="X18" s="1540"/>
      <c r="Y18" s="3335"/>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42"/>
      <c r="Q19" s="1537" t="str">
        <f>B19</f>
        <v>公共配套设施</v>
      </c>
      <c r="R19" s="714" t="s">
        <v>21</v>
      </c>
      <c r="S19" s="715">
        <f>F19</f>
        <v>100</v>
      </c>
      <c r="T19" s="714" t="s">
        <v>21</v>
      </c>
      <c r="U19" s="715">
        <f>H19</f>
        <v>100</v>
      </c>
      <c r="V19" s="714" t="s">
        <v>21</v>
      </c>
      <c r="W19" s="715">
        <f>J19</f>
        <v>100</v>
      </c>
      <c r="X19" s="1540"/>
      <c r="Y19" s="333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42"/>
      <c r="Q20" s="1537"/>
      <c r="R20" s="714"/>
      <c r="S20" s="715"/>
      <c r="T20" s="714"/>
      <c r="U20" s="715"/>
      <c r="V20" s="714"/>
      <c r="W20" s="715"/>
      <c r="X20" s="1540"/>
      <c r="Y20" s="3335"/>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42"/>
      <c r="Q21" s="1537" t="str">
        <f>B21</f>
        <v>基础设施水平</v>
      </c>
      <c r="R21" s="714" t="s">
        <v>17</v>
      </c>
      <c r="S21" s="715">
        <f>F21</f>
        <v>100</v>
      </c>
      <c r="T21" s="714" t="s">
        <v>17</v>
      </c>
      <c r="U21" s="715">
        <f>H21</f>
        <v>100</v>
      </c>
      <c r="V21" s="714" t="s">
        <v>17</v>
      </c>
      <c r="W21" s="715">
        <f>J21</f>
        <v>100</v>
      </c>
      <c r="X21" s="1540"/>
      <c r="Y21" s="333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42"/>
      <c r="Q22" s="1537"/>
      <c r="R22" s="714"/>
      <c r="S22" s="715"/>
      <c r="T22" s="714"/>
      <c r="U22" s="715"/>
      <c r="V22" s="714"/>
      <c r="W22" s="715"/>
      <c r="X22" s="1540"/>
      <c r="Y22" s="3335"/>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42"/>
      <c r="Q23" s="1537" t="str">
        <f>B23</f>
        <v>自然及人文环境</v>
      </c>
      <c r="R23" s="714" t="s">
        <v>21</v>
      </c>
      <c r="S23" s="715">
        <f>F23</f>
        <v>100</v>
      </c>
      <c r="T23" s="714" t="s">
        <v>21</v>
      </c>
      <c r="U23" s="715">
        <f>H23</f>
        <v>100</v>
      </c>
      <c r="V23" s="714" t="s">
        <v>21</v>
      </c>
      <c r="W23" s="715">
        <f>J23</f>
        <v>100</v>
      </c>
      <c r="X23" s="1540"/>
      <c r="Y23" s="333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42"/>
      <c r="Q24" s="1537"/>
      <c r="R24" s="714"/>
      <c r="S24" s="715"/>
      <c r="T24" s="714"/>
      <c r="U24" s="715"/>
      <c r="V24" s="714"/>
      <c r="W24" s="715"/>
      <c r="X24" s="1540"/>
      <c r="Y24" s="3335"/>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4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35"/>
      <c r="Z25" s="1541" t="str">
        <f>Q25</f>
        <v>楼层-1</v>
      </c>
      <c r="AA25" s="1538">
        <f t="shared" ref="AA25:AA46" si="15">D25/F25</f>
        <v>1</v>
      </c>
      <c r="AB25" s="1538">
        <f t="shared" ref="AB25:AB46" si="16">D25/H25</f>
        <v>1</v>
      </c>
      <c r="AC25" s="1538">
        <f t="shared" ref="AC25:AC46" si="17">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42"/>
      <c r="Q26" s="1537" t="str">
        <f t="shared" si="11"/>
        <v>朝向</v>
      </c>
      <c r="R26" s="714" t="s">
        <v>21</v>
      </c>
      <c r="S26" s="715">
        <f t="shared" si="12"/>
        <v>100</v>
      </c>
      <c r="T26" s="714" t="s">
        <v>21</v>
      </c>
      <c r="U26" s="715">
        <f t="shared" si="13"/>
        <v>100</v>
      </c>
      <c r="V26" s="714" t="s">
        <v>21</v>
      </c>
      <c r="W26" s="715">
        <f t="shared" si="14"/>
        <v>100</v>
      </c>
      <c r="X26" s="1540"/>
      <c r="Y26" s="3335"/>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42"/>
      <c r="Q27" s="1528">
        <f t="shared" si="11"/>
        <v>111</v>
      </c>
      <c r="R27" s="710" t="s">
        <v>21</v>
      </c>
      <c r="S27" s="711">
        <f t="shared" si="12"/>
        <v>100</v>
      </c>
      <c r="T27" s="710" t="s">
        <v>21</v>
      </c>
      <c r="U27" s="711">
        <f t="shared" si="13"/>
        <v>100</v>
      </c>
      <c r="V27" s="710" t="s">
        <v>21</v>
      </c>
      <c r="W27" s="711">
        <f t="shared" si="14"/>
        <v>100</v>
      </c>
      <c r="X27" s="712"/>
      <c r="Y27" s="3335"/>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42"/>
      <c r="Q28" s="1537">
        <f t="shared" si="11"/>
        <v>111</v>
      </c>
      <c r="R28" s="714" t="s">
        <v>21</v>
      </c>
      <c r="S28" s="715">
        <f t="shared" si="12"/>
        <v>100</v>
      </c>
      <c r="T28" s="714" t="s">
        <v>21</v>
      </c>
      <c r="U28" s="715">
        <f t="shared" si="13"/>
        <v>100</v>
      </c>
      <c r="V28" s="714" t="s">
        <v>21</v>
      </c>
      <c r="W28" s="715">
        <f t="shared" si="14"/>
        <v>100</v>
      </c>
      <c r="X28" s="1540"/>
      <c r="Y28" s="3335"/>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42"/>
      <c r="Q29" s="1537">
        <f t="shared" si="11"/>
        <v>111</v>
      </c>
      <c r="R29" s="714" t="s">
        <v>21</v>
      </c>
      <c r="S29" s="715">
        <f t="shared" si="12"/>
        <v>100</v>
      </c>
      <c r="T29" s="714" t="s">
        <v>21</v>
      </c>
      <c r="U29" s="715">
        <f t="shared" si="13"/>
        <v>100</v>
      </c>
      <c r="V29" s="714" t="s">
        <v>21</v>
      </c>
      <c r="W29" s="715">
        <f t="shared" si="14"/>
        <v>100</v>
      </c>
      <c r="X29" s="1540"/>
      <c r="Y29" s="3335"/>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42"/>
      <c r="Q30" s="1537">
        <f t="shared" si="11"/>
        <v>111</v>
      </c>
      <c r="R30" s="714" t="s">
        <v>21</v>
      </c>
      <c r="S30" s="715">
        <f t="shared" si="12"/>
        <v>100</v>
      </c>
      <c r="T30" s="714" t="s">
        <v>21</v>
      </c>
      <c r="U30" s="715">
        <f t="shared" si="13"/>
        <v>100</v>
      </c>
      <c r="V30" s="714" t="s">
        <v>21</v>
      </c>
      <c r="W30" s="715">
        <f t="shared" si="14"/>
        <v>100</v>
      </c>
      <c r="X30" s="1540"/>
      <c r="Y30" s="3335"/>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42"/>
      <c r="Q31" s="1537">
        <f t="shared" si="11"/>
        <v>111</v>
      </c>
      <c r="R31" s="714" t="s">
        <v>21</v>
      </c>
      <c r="S31" s="715">
        <f t="shared" si="12"/>
        <v>100</v>
      </c>
      <c r="T31" s="714" t="s">
        <v>21</v>
      </c>
      <c r="U31" s="715">
        <f t="shared" si="13"/>
        <v>100</v>
      </c>
      <c r="V31" s="714" t="s">
        <v>21</v>
      </c>
      <c r="W31" s="715">
        <f t="shared" si="14"/>
        <v>100</v>
      </c>
      <c r="X31" s="1540"/>
      <c r="Y31" s="3335"/>
      <c r="Z31" s="1541">
        <f t="shared" si="18"/>
        <v>111</v>
      </c>
      <c r="AA31" s="1538">
        <f t="shared" si="15"/>
        <v>1</v>
      </c>
      <c r="AB31" s="1538">
        <f t="shared" si="16"/>
        <v>1</v>
      </c>
      <c r="AC31" s="1538">
        <f t="shared" si="17"/>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36" t="s">
        <v>2385</v>
      </c>
      <c r="Q32" s="1537" t="str">
        <f t="shared" si="11"/>
        <v>建筑类型</v>
      </c>
      <c r="R32" s="714" t="s">
        <v>21</v>
      </c>
      <c r="S32" s="715">
        <f t="shared" si="12"/>
        <v>100</v>
      </c>
      <c r="T32" s="714" t="s">
        <v>21</v>
      </c>
      <c r="U32" s="715">
        <f t="shared" si="13"/>
        <v>100</v>
      </c>
      <c r="V32" s="714" t="s">
        <v>21</v>
      </c>
      <c r="W32" s="715">
        <f t="shared" si="14"/>
        <v>100</v>
      </c>
      <c r="X32" s="1540"/>
      <c r="Y32" s="3339" t="s">
        <v>2385</v>
      </c>
      <c r="Z32" s="1541" t="str">
        <f t="shared" si="18"/>
        <v>建筑类型</v>
      </c>
      <c r="AA32" s="1538">
        <f t="shared" si="15"/>
        <v>1</v>
      </c>
      <c r="AB32" s="1538">
        <f t="shared" si="16"/>
        <v>1</v>
      </c>
      <c r="AC32" s="1538">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37"/>
      <c r="Q33" s="716" t="str">
        <f t="shared" si="11"/>
        <v>项目建筑规模</v>
      </c>
      <c r="R33" s="717" t="s">
        <v>21</v>
      </c>
      <c r="S33" s="718" t="e">
        <f t="shared" si="12"/>
        <v>#N/A</v>
      </c>
      <c r="T33" s="717" t="s">
        <v>21</v>
      </c>
      <c r="U33" s="718" t="e">
        <f t="shared" si="13"/>
        <v>#N/A</v>
      </c>
      <c r="V33" s="717" t="s">
        <v>21</v>
      </c>
      <c r="W33" s="718" t="e">
        <f t="shared" si="14"/>
        <v>#N/A</v>
      </c>
      <c r="X33" s="719"/>
      <c r="Y33" s="3339"/>
      <c r="Z33" s="720" t="str">
        <f t="shared" si="18"/>
        <v>项目建筑规模</v>
      </c>
      <c r="AA33" s="1538" t="e">
        <f t="shared" si="15"/>
        <v>#N/A</v>
      </c>
      <c r="AB33" s="1538" t="e">
        <f t="shared" si="16"/>
        <v>#N/A</v>
      </c>
      <c r="AC33" s="1538" t="e">
        <f t="shared" si="17"/>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37"/>
      <c r="Q34" s="1537" t="str">
        <f t="shared" si="11"/>
        <v>建筑结构</v>
      </c>
      <c r="R34" s="714" t="s">
        <v>21</v>
      </c>
      <c r="S34" s="715">
        <f t="shared" si="12"/>
        <v>100</v>
      </c>
      <c r="T34" s="714" t="s">
        <v>21</v>
      </c>
      <c r="U34" s="715">
        <f t="shared" si="13"/>
        <v>100</v>
      </c>
      <c r="V34" s="714" t="s">
        <v>21</v>
      </c>
      <c r="W34" s="715">
        <f t="shared" si="14"/>
        <v>100</v>
      </c>
      <c r="X34" s="1540"/>
      <c r="Y34" s="3339"/>
      <c r="Z34" s="1541" t="str">
        <f t="shared" si="18"/>
        <v>建筑结构</v>
      </c>
      <c r="AA34" s="1538">
        <f t="shared" si="15"/>
        <v>1</v>
      </c>
      <c r="AB34" s="1538">
        <f t="shared" si="16"/>
        <v>1</v>
      </c>
      <c r="AC34" s="1538">
        <f t="shared" si="17"/>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37"/>
      <c r="Q35" s="1537" t="str">
        <f t="shared" si="11"/>
        <v>建筑品质</v>
      </c>
      <c r="R35" s="714" t="s">
        <v>21</v>
      </c>
      <c r="S35" s="715">
        <f t="shared" si="12"/>
        <v>100</v>
      </c>
      <c r="T35" s="714" t="s">
        <v>21</v>
      </c>
      <c r="U35" s="715">
        <f t="shared" si="13"/>
        <v>100</v>
      </c>
      <c r="V35" s="714" t="s">
        <v>21</v>
      </c>
      <c r="W35" s="715">
        <f t="shared" si="14"/>
        <v>100</v>
      </c>
      <c r="X35" s="1540"/>
      <c r="Y35" s="3339"/>
      <c r="Z35" s="1541" t="str">
        <f t="shared" si="18"/>
        <v>建筑品质</v>
      </c>
      <c r="AA35" s="1538">
        <f t="shared" si="15"/>
        <v>1</v>
      </c>
      <c r="AB35" s="1538">
        <f t="shared" si="16"/>
        <v>1</v>
      </c>
      <c r="AC35" s="1538">
        <f t="shared" si="17"/>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37"/>
      <c r="Q36" s="1537" t="str">
        <f t="shared" si="11"/>
        <v>公共部分装修</v>
      </c>
      <c r="R36" s="714" t="s">
        <v>21</v>
      </c>
      <c r="S36" s="715">
        <f t="shared" si="12"/>
        <v>100</v>
      </c>
      <c r="T36" s="714" t="s">
        <v>21</v>
      </c>
      <c r="U36" s="715">
        <f t="shared" si="13"/>
        <v>100</v>
      </c>
      <c r="V36" s="714" t="s">
        <v>21</v>
      </c>
      <c r="W36" s="715">
        <f t="shared" si="14"/>
        <v>100</v>
      </c>
      <c r="X36" s="1540"/>
      <c r="Y36" s="3339"/>
      <c r="Z36" s="1541" t="str">
        <f t="shared" si="18"/>
        <v>公共部分装修</v>
      </c>
      <c r="AA36" s="1538">
        <f t="shared" si="15"/>
        <v>1</v>
      </c>
      <c r="AB36" s="1538">
        <f t="shared" si="16"/>
        <v>1</v>
      </c>
      <c r="AC36" s="1538">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37"/>
      <c r="Q37" s="1528" t="str">
        <f t="shared" si="11"/>
        <v>成新度</v>
      </c>
      <c r="R37" s="710" t="s">
        <v>21</v>
      </c>
      <c r="S37" s="711" t="e">
        <f t="shared" si="12"/>
        <v>#N/A</v>
      </c>
      <c r="T37" s="710" t="s">
        <v>21</v>
      </c>
      <c r="U37" s="711" t="e">
        <f t="shared" si="13"/>
        <v>#N/A</v>
      </c>
      <c r="V37" s="710" t="s">
        <v>21</v>
      </c>
      <c r="W37" s="711" t="e">
        <f t="shared" si="14"/>
        <v>#N/A</v>
      </c>
      <c r="X37" s="712"/>
      <c r="Y37" s="3339"/>
      <c r="Z37" s="55" t="str">
        <f t="shared" si="18"/>
        <v>成新度</v>
      </c>
      <c r="AA37" s="713" t="e">
        <f t="shared" si="15"/>
        <v>#N/A</v>
      </c>
      <c r="AB37" s="713" t="e">
        <f t="shared" si="16"/>
        <v>#N/A</v>
      </c>
      <c r="AC37" s="713" t="e">
        <f t="shared" si="17"/>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37" t="s">
        <v>2385</v>
      </c>
      <c r="Q38" s="1537" t="str">
        <f t="shared" si="11"/>
        <v>物业管理</v>
      </c>
      <c r="R38" s="714" t="s">
        <v>21</v>
      </c>
      <c r="S38" s="715">
        <f t="shared" si="12"/>
        <v>100</v>
      </c>
      <c r="T38" s="714" t="s">
        <v>21</v>
      </c>
      <c r="U38" s="715">
        <f t="shared" si="13"/>
        <v>100</v>
      </c>
      <c r="V38" s="714" t="s">
        <v>21</v>
      </c>
      <c r="W38" s="715">
        <f t="shared" si="14"/>
        <v>100</v>
      </c>
      <c r="X38" s="1540"/>
      <c r="Y38" s="3339" t="s">
        <v>2385</v>
      </c>
      <c r="Z38" s="1541" t="str">
        <f t="shared" si="18"/>
        <v>物业管理</v>
      </c>
      <c r="AA38" s="1538">
        <f t="shared" si="15"/>
        <v>1</v>
      </c>
      <c r="AB38" s="1538">
        <f t="shared" si="16"/>
        <v>1</v>
      </c>
      <c r="AC38" s="1538">
        <f t="shared" si="17"/>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37"/>
      <c r="Q39" s="1537" t="str">
        <f t="shared" si="11"/>
        <v>市政基础设施</v>
      </c>
      <c r="R39" s="714" t="s">
        <v>21</v>
      </c>
      <c r="S39" s="715">
        <f t="shared" si="12"/>
        <v>100</v>
      </c>
      <c r="T39" s="714" t="s">
        <v>21</v>
      </c>
      <c r="U39" s="715">
        <f t="shared" si="13"/>
        <v>100</v>
      </c>
      <c r="V39" s="714" t="s">
        <v>21</v>
      </c>
      <c r="W39" s="715">
        <f t="shared" si="14"/>
        <v>100</v>
      </c>
      <c r="X39" s="1540"/>
      <c r="Y39" s="3339"/>
      <c r="Z39" s="1541" t="str">
        <f t="shared" si="18"/>
        <v>市政基础设施</v>
      </c>
      <c r="AA39" s="1538">
        <f t="shared" si="15"/>
        <v>1</v>
      </c>
      <c r="AB39" s="1538">
        <f t="shared" si="16"/>
        <v>1</v>
      </c>
      <c r="AC39" s="1538">
        <f t="shared" si="17"/>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37"/>
      <c r="Q40" s="1537" t="str">
        <f t="shared" si="11"/>
        <v>房型</v>
      </c>
      <c r="R40" s="714" t="s">
        <v>21</v>
      </c>
      <c r="S40" s="715">
        <f t="shared" si="12"/>
        <v>100</v>
      </c>
      <c r="T40" s="714" t="s">
        <v>21</v>
      </c>
      <c r="U40" s="715">
        <f t="shared" si="13"/>
        <v>100</v>
      </c>
      <c r="V40" s="714" t="s">
        <v>21</v>
      </c>
      <c r="W40" s="715">
        <f t="shared" si="14"/>
        <v>100</v>
      </c>
      <c r="X40" s="1540"/>
      <c r="Y40" s="3339"/>
      <c r="Z40" s="1541" t="str">
        <f t="shared" si="18"/>
        <v>房型</v>
      </c>
      <c r="AA40" s="1538">
        <f t="shared" si="15"/>
        <v>1</v>
      </c>
      <c r="AB40" s="1538">
        <f t="shared" si="16"/>
        <v>1</v>
      </c>
      <c r="AC40" s="1538">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37"/>
      <c r="Q41" s="716" t="str">
        <f t="shared" si="11"/>
        <v>单套/主力户型建筑面积</v>
      </c>
      <c r="R41" s="717" t="s">
        <v>21</v>
      </c>
      <c r="S41" s="718">
        <f t="shared" si="12"/>
        <v>100</v>
      </c>
      <c r="T41" s="717" t="s">
        <v>21</v>
      </c>
      <c r="U41" s="718">
        <f t="shared" si="13"/>
        <v>100</v>
      </c>
      <c r="V41" s="717" t="s">
        <v>21</v>
      </c>
      <c r="W41" s="718">
        <f t="shared" si="14"/>
        <v>100</v>
      </c>
      <c r="X41" s="719"/>
      <c r="Y41" s="3339"/>
      <c r="Z41" s="720" t="str">
        <f t="shared" si="18"/>
        <v>单套/主力户型建筑面积</v>
      </c>
      <c r="AA41" s="1538">
        <f t="shared" si="15"/>
        <v>1</v>
      </c>
      <c r="AB41" s="1538">
        <f t="shared" si="16"/>
        <v>1</v>
      </c>
      <c r="AC41" s="1538">
        <f t="shared" si="17"/>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37"/>
      <c r="Q42" s="1537" t="str">
        <f t="shared" si="11"/>
        <v>内部装修</v>
      </c>
      <c r="R42" s="714" t="s">
        <v>21</v>
      </c>
      <c r="S42" s="715">
        <f t="shared" si="12"/>
        <v>100</v>
      </c>
      <c r="T42" s="714" t="s">
        <v>21</v>
      </c>
      <c r="U42" s="715">
        <f t="shared" si="13"/>
        <v>100</v>
      </c>
      <c r="V42" s="714" t="s">
        <v>21</v>
      </c>
      <c r="W42" s="715">
        <f t="shared" si="14"/>
        <v>100</v>
      </c>
      <c r="X42" s="1540"/>
      <c r="Y42" s="3339"/>
      <c r="Z42" s="1541" t="str">
        <f t="shared" si="18"/>
        <v>内部装修</v>
      </c>
      <c r="AA42" s="1538">
        <f t="shared" si="15"/>
        <v>1</v>
      </c>
      <c r="AB42" s="1538">
        <f t="shared" si="16"/>
        <v>1</v>
      </c>
      <c r="AC42" s="1538">
        <f t="shared" si="17"/>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37"/>
      <c r="Q43" s="1537" t="str">
        <f t="shared" si="11"/>
        <v>内部装修维护情况</v>
      </c>
      <c r="R43" s="714" t="s">
        <v>21</v>
      </c>
      <c r="S43" s="715">
        <f t="shared" si="12"/>
        <v>100</v>
      </c>
      <c r="T43" s="714" t="s">
        <v>21</v>
      </c>
      <c r="U43" s="715">
        <f t="shared" si="13"/>
        <v>100</v>
      </c>
      <c r="V43" s="714" t="s">
        <v>21</v>
      </c>
      <c r="W43" s="715">
        <f t="shared" si="14"/>
        <v>100</v>
      </c>
      <c r="X43" s="1540"/>
      <c r="Y43" s="333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37"/>
      <c r="Q44" s="1528">
        <f t="shared" si="11"/>
        <v>111</v>
      </c>
      <c r="R44" s="710" t="s">
        <v>21</v>
      </c>
      <c r="S44" s="711">
        <f t="shared" si="12"/>
        <v>100</v>
      </c>
      <c r="T44" s="710" t="s">
        <v>21</v>
      </c>
      <c r="U44" s="711">
        <f t="shared" si="13"/>
        <v>100</v>
      </c>
      <c r="V44" s="710" t="s">
        <v>21</v>
      </c>
      <c r="W44" s="711">
        <f t="shared" si="14"/>
        <v>100</v>
      </c>
      <c r="X44" s="712"/>
      <c r="Y44" s="333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37"/>
      <c r="Q45" s="1537">
        <f t="shared" si="11"/>
        <v>111</v>
      </c>
      <c r="R45" s="714" t="s">
        <v>21</v>
      </c>
      <c r="S45" s="715">
        <f t="shared" si="12"/>
        <v>100</v>
      </c>
      <c r="T45" s="714" t="s">
        <v>21</v>
      </c>
      <c r="U45" s="715">
        <f t="shared" si="13"/>
        <v>100</v>
      </c>
      <c r="V45" s="714" t="s">
        <v>21</v>
      </c>
      <c r="W45" s="715">
        <f t="shared" si="14"/>
        <v>100</v>
      </c>
      <c r="X45" s="1540"/>
      <c r="Y45" s="3339"/>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38"/>
      <c r="Q46" s="1537">
        <f t="shared" si="11"/>
        <v>111</v>
      </c>
      <c r="R46" s="714" t="s">
        <v>20</v>
      </c>
      <c r="S46" s="715">
        <f t="shared" si="12"/>
        <v>100</v>
      </c>
      <c r="T46" s="714" t="s">
        <v>20</v>
      </c>
      <c r="U46" s="715">
        <f t="shared" si="13"/>
        <v>100</v>
      </c>
      <c r="V46" s="714" t="s">
        <v>20</v>
      </c>
      <c r="W46" s="715">
        <f t="shared" si="14"/>
        <v>100</v>
      </c>
      <c r="X46" s="1540"/>
      <c r="Y46" s="3340"/>
      <c r="Z46" s="1541">
        <f t="shared" si="18"/>
        <v>111</v>
      </c>
      <c r="AA46" s="1538">
        <f t="shared" si="15"/>
        <v>1</v>
      </c>
      <c r="AB46" s="1538">
        <f t="shared" si="16"/>
        <v>1</v>
      </c>
      <c r="AC46" s="1538">
        <f t="shared" si="17"/>
        <v>1</v>
      </c>
    </row>
    <row r="47" spans="1:29" ht="15">
      <c r="A47" s="438" t="s">
        <v>2397</v>
      </c>
      <c r="B47" s="439"/>
      <c r="C47" s="1316" t="s">
        <v>19</v>
      </c>
      <c r="D47" s="1317"/>
      <c r="E47" s="1318"/>
      <c r="F47" s="1319"/>
      <c r="G47" s="1320"/>
      <c r="H47" s="1321"/>
      <c r="I47" s="1318"/>
      <c r="J47" s="1321"/>
      <c r="K47" s="2101"/>
      <c r="L47" s="2954"/>
      <c r="M47" s="2955"/>
      <c r="N47" s="2946"/>
      <c r="O47" s="2955"/>
      <c r="P47" s="3332" t="str">
        <f>A47</f>
        <v>成交单价（元/平方米）</v>
      </c>
      <c r="Q47" s="3332"/>
      <c r="R47" s="3333">
        <f>E47</f>
        <v>0</v>
      </c>
      <c r="S47" s="3333"/>
      <c r="T47" s="3333">
        <f>G47</f>
        <v>0</v>
      </c>
      <c r="U47" s="3333"/>
      <c r="V47" s="3333">
        <f>I47</f>
        <v>0</v>
      </c>
      <c r="W47" s="3333"/>
      <c r="X47" s="699"/>
      <c r="Y47" s="721"/>
      <c r="Z47" s="699"/>
      <c r="AA47" s="699"/>
      <c r="AB47" s="699"/>
      <c r="AC47" s="699"/>
    </row>
    <row r="48" spans="1:29" ht="15.7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4"/>
      <c r="F1" s="2066"/>
      <c r="G1" s="1403" t="s">
        <v>2463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2149</v>
      </c>
      <c r="B3" s="566" t="e">
        <f ca="1">IF(C2="——",C49,ROUND(B2*10000/D3,0))</f>
        <v>#DIV/0!</v>
      </c>
      <c r="C3" s="360" t="s">
        <v>2464</v>
      </c>
      <c r="D3" s="359">
        <f>IF(D1="",'数据-汇总表'!E3,SUMIF('数据-汇总表'!$C19:$C33,D1,'数据-汇总表'!$E19:$E33))</f>
        <v>160624.58000000002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347" t="s">
        <v>2466</v>
      </c>
      <c r="D4" s="3348"/>
      <c r="E4" s="3349" t="s">
        <v>2467</v>
      </c>
      <c r="F4" s="3350"/>
      <c r="G4" s="3347" t="s">
        <v>2468</v>
      </c>
      <c r="H4" s="3348"/>
      <c r="I4" s="3347" t="s">
        <v>2469</v>
      </c>
      <c r="J4" s="3348"/>
      <c r="K4" s="567" t="s">
        <v>2470</v>
      </c>
      <c r="L4" s="2945"/>
      <c r="M4" s="2946"/>
      <c r="N4" s="2946"/>
      <c r="O4" s="2946"/>
      <c r="P4" s="3351" t="s">
        <v>2471</v>
      </c>
      <c r="Q4" s="3352"/>
      <c r="R4" s="3357" t="s">
        <v>2467</v>
      </c>
      <c r="S4" s="3358"/>
      <c r="T4" s="3357" t="s">
        <v>2468</v>
      </c>
      <c r="U4" s="3358"/>
      <c r="V4" s="3363" t="s">
        <v>2469</v>
      </c>
      <c r="W4" s="3363"/>
      <c r="X4" s="1540"/>
      <c r="Y4" s="3357" t="s">
        <v>2471</v>
      </c>
      <c r="Z4" s="3358"/>
      <c r="AA4" s="3344" t="s">
        <v>2467</v>
      </c>
      <c r="AB4" s="3363" t="s">
        <v>2468</v>
      </c>
      <c r="AC4" s="3344" t="s">
        <v>2469</v>
      </c>
    </row>
    <row r="5" spans="1:29" ht="15">
      <c r="A5" s="364"/>
      <c r="B5" s="365"/>
      <c r="C5" s="3366" t="s">
        <v>2362</v>
      </c>
      <c r="D5" s="3367"/>
      <c r="E5" s="3373" t="s">
        <v>2363</v>
      </c>
      <c r="F5" s="3374"/>
      <c r="G5" s="3366" t="s">
        <v>2364</v>
      </c>
      <c r="H5" s="3367"/>
      <c r="I5" s="3366" t="s">
        <v>2365</v>
      </c>
      <c r="J5" s="3367"/>
      <c r="K5" s="567"/>
      <c r="L5" s="2945"/>
      <c r="M5" s="2946"/>
      <c r="N5" s="2946"/>
      <c r="O5" s="2946"/>
      <c r="P5" s="3353"/>
      <c r="Q5" s="3354"/>
      <c r="R5" s="3359"/>
      <c r="S5" s="3360"/>
      <c r="T5" s="3359"/>
      <c r="U5" s="3360"/>
      <c r="V5" s="3363"/>
      <c r="W5" s="3363"/>
      <c r="X5" s="1540"/>
      <c r="Y5" s="3359"/>
      <c r="Z5" s="3360"/>
      <c r="AA5" s="3345"/>
      <c r="AB5" s="3363"/>
      <c r="AC5" s="3345"/>
    </row>
    <row r="6" spans="1:29" ht="15.75" thickBot="1">
      <c r="A6" s="366"/>
      <c r="B6" s="367"/>
      <c r="C6" s="3364" t="s">
        <v>2366</v>
      </c>
      <c r="D6" s="3365"/>
      <c r="E6" s="3371" t="s">
        <v>2366</v>
      </c>
      <c r="F6" s="3372"/>
      <c r="G6" s="3364" t="s">
        <v>2366</v>
      </c>
      <c r="H6" s="3365"/>
      <c r="I6" s="3364" t="s">
        <v>2366</v>
      </c>
      <c r="J6" s="3365"/>
      <c r="K6" s="567" t="s">
        <v>2367</v>
      </c>
      <c r="L6" s="2945"/>
      <c r="M6" s="2946"/>
      <c r="N6" s="2946"/>
      <c r="O6" s="2946"/>
      <c r="P6" s="3355"/>
      <c r="Q6" s="3356"/>
      <c r="R6" s="3359"/>
      <c r="S6" s="3360"/>
      <c r="T6" s="3361"/>
      <c r="U6" s="3362"/>
      <c r="V6" s="3363"/>
      <c r="W6" s="3363"/>
      <c r="X6" s="1540"/>
      <c r="Y6" s="3361"/>
      <c r="Z6" s="3362"/>
      <c r="AA6" s="3346"/>
      <c r="AB6" s="3363"/>
      <c r="AC6" s="3346"/>
    </row>
    <row r="7" spans="1:29" s="113" customFormat="1" ht="15.75" thickBot="1">
      <c r="A7" s="368" t="s">
        <v>2368</v>
      </c>
      <c r="B7" s="369"/>
      <c r="C7" s="370">
        <f>'数据-取费表'!B2</f>
        <v>44249</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68" t="s">
        <v>2369</v>
      </c>
      <c r="Q7" s="3370"/>
      <c r="R7" s="710" t="s">
        <v>17</v>
      </c>
      <c r="S7" s="711">
        <f t="shared" ref="S7:S15" si="0">F7</f>
        <v>0</v>
      </c>
      <c r="T7" s="710" t="s">
        <v>17</v>
      </c>
      <c r="U7" s="711">
        <f t="shared" ref="U7:U15" si="1">H7</f>
        <v>0</v>
      </c>
      <c r="V7" s="710" t="s">
        <v>17</v>
      </c>
      <c r="W7" s="711">
        <f t="shared" ref="W7:W15" si="2">J7</f>
        <v>0</v>
      </c>
      <c r="X7" s="712"/>
      <c r="Y7" s="3368" t="s">
        <v>2369</v>
      </c>
      <c r="Z7" s="336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68" t="s">
        <v>2372</v>
      </c>
      <c r="Q8" s="3369"/>
      <c r="R8" s="710" t="s">
        <v>17</v>
      </c>
      <c r="S8" s="711">
        <f t="shared" si="0"/>
        <v>0</v>
      </c>
      <c r="T8" s="710" t="s">
        <v>17</v>
      </c>
      <c r="U8" s="711">
        <f t="shared" si="1"/>
        <v>0</v>
      </c>
      <c r="V8" s="710" t="s">
        <v>17</v>
      </c>
      <c r="W8" s="711">
        <f t="shared" si="2"/>
        <v>0</v>
      </c>
      <c r="X8" s="712"/>
      <c r="Y8" s="3368" t="s">
        <v>2372</v>
      </c>
      <c r="Z8" s="336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43"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43"/>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43"/>
      <c r="Q11" s="1528" t="str">
        <f t="shared" si="6"/>
        <v>容积率</v>
      </c>
      <c r="R11" s="710" t="s">
        <v>17</v>
      </c>
      <c r="S11" s="711" t="e">
        <f t="shared" si="0"/>
        <v>#N/A</v>
      </c>
      <c r="T11" s="710" t="s">
        <v>17</v>
      </c>
      <c r="U11" s="711" t="e">
        <f t="shared" si="1"/>
        <v>#N/A</v>
      </c>
      <c r="V11" s="710" t="s">
        <v>17</v>
      </c>
      <c r="W11" s="711" t="e">
        <f t="shared" si="2"/>
        <v>#N/A</v>
      </c>
      <c r="X11" s="712"/>
      <c r="Y11" s="320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43"/>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43"/>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43"/>
      <c r="Q14" s="1528">
        <f t="shared" si="6"/>
        <v>111</v>
      </c>
      <c r="R14" s="710" t="s">
        <v>17</v>
      </c>
      <c r="S14" s="711">
        <f t="shared" si="0"/>
        <v>100</v>
      </c>
      <c r="T14" s="710" t="s">
        <v>17</v>
      </c>
      <c r="U14" s="711">
        <f t="shared" si="1"/>
        <v>100</v>
      </c>
      <c r="V14" s="710" t="s">
        <v>17</v>
      </c>
      <c r="W14" s="711">
        <f t="shared" si="2"/>
        <v>100</v>
      </c>
      <c r="X14" s="712"/>
      <c r="Y14" s="3202"/>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41" t="s">
        <v>2380</v>
      </c>
      <c r="Q15" s="1537" t="str">
        <f t="shared" si="6"/>
        <v>商业繁华度</v>
      </c>
      <c r="R15" s="714" t="s">
        <v>17</v>
      </c>
      <c r="S15" s="715">
        <f t="shared" si="0"/>
        <v>100</v>
      </c>
      <c r="T15" s="714" t="s">
        <v>17</v>
      </c>
      <c r="U15" s="715">
        <f t="shared" si="1"/>
        <v>100</v>
      </c>
      <c r="V15" s="714" t="s">
        <v>17</v>
      </c>
      <c r="W15" s="715">
        <f t="shared" si="2"/>
        <v>100</v>
      </c>
      <c r="X15" s="1540"/>
      <c r="Y15" s="3334"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42"/>
      <c r="Q16" s="1537"/>
      <c r="R16" s="714"/>
      <c r="S16" s="715"/>
      <c r="T16" s="714"/>
      <c r="U16" s="715"/>
      <c r="V16" s="714"/>
      <c r="W16" s="715"/>
      <c r="X16" s="1540"/>
      <c r="Y16" s="333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42"/>
      <c r="Q17" s="1537" t="str">
        <f>B17</f>
        <v>交通便捷度</v>
      </c>
      <c r="R17" s="714" t="s">
        <v>17</v>
      </c>
      <c r="S17" s="715">
        <f>F17</f>
        <v>100</v>
      </c>
      <c r="T17" s="714" t="s">
        <v>17</v>
      </c>
      <c r="U17" s="715">
        <f>H17</f>
        <v>100</v>
      </c>
      <c r="V17" s="714" t="s">
        <v>17</v>
      </c>
      <c r="W17" s="715">
        <f>J17</f>
        <v>100</v>
      </c>
      <c r="X17" s="1540"/>
      <c r="Y17" s="333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42"/>
      <c r="Q18" s="1537"/>
      <c r="R18" s="714"/>
      <c r="S18" s="715"/>
      <c r="T18" s="714"/>
      <c r="U18" s="715"/>
      <c r="V18" s="714"/>
      <c r="W18" s="715"/>
      <c r="X18" s="1540"/>
      <c r="Y18" s="3335"/>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42"/>
      <c r="Q19" s="1537" t="str">
        <f>B19</f>
        <v>公共配套设施</v>
      </c>
      <c r="R19" s="714" t="s">
        <v>17</v>
      </c>
      <c r="S19" s="715">
        <f>F19</f>
        <v>100</v>
      </c>
      <c r="T19" s="714" t="s">
        <v>17</v>
      </c>
      <c r="U19" s="715">
        <f>H19</f>
        <v>100</v>
      </c>
      <c r="V19" s="714" t="s">
        <v>17</v>
      </c>
      <c r="W19" s="715">
        <f>J19</f>
        <v>100</v>
      </c>
      <c r="X19" s="1540"/>
      <c r="Y19" s="333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42"/>
      <c r="Q20" s="1537"/>
      <c r="R20" s="714"/>
      <c r="S20" s="715"/>
      <c r="T20" s="714"/>
      <c r="U20" s="715"/>
      <c r="V20" s="714"/>
      <c r="W20" s="715"/>
      <c r="X20" s="1540"/>
      <c r="Y20" s="3335"/>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42"/>
      <c r="Q21" s="1537" t="str">
        <f>B21</f>
        <v>基础设施水平</v>
      </c>
      <c r="R21" s="714" t="s">
        <v>17</v>
      </c>
      <c r="S21" s="715">
        <f>F21</f>
        <v>100</v>
      </c>
      <c r="T21" s="714" t="s">
        <v>17</v>
      </c>
      <c r="U21" s="715">
        <f>H21</f>
        <v>100</v>
      </c>
      <c r="V21" s="714" t="s">
        <v>17</v>
      </c>
      <c r="W21" s="715">
        <f>J21</f>
        <v>100</v>
      </c>
      <c r="X21" s="1540"/>
      <c r="Y21" s="333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42"/>
      <c r="Q22" s="1537"/>
      <c r="R22" s="714"/>
      <c r="S22" s="715"/>
      <c r="T22" s="714"/>
      <c r="U22" s="715"/>
      <c r="V22" s="714"/>
      <c r="W22" s="715"/>
      <c r="X22" s="1540"/>
      <c r="Y22" s="3335"/>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42"/>
      <c r="Q23" s="1537" t="str">
        <f>B23</f>
        <v>自然及人文环境</v>
      </c>
      <c r="R23" s="714" t="s">
        <v>17</v>
      </c>
      <c r="S23" s="715">
        <f>F23</f>
        <v>100</v>
      </c>
      <c r="T23" s="714" t="s">
        <v>17</v>
      </c>
      <c r="U23" s="715">
        <f>H23</f>
        <v>100</v>
      </c>
      <c r="V23" s="714" t="s">
        <v>17</v>
      </c>
      <c r="W23" s="715">
        <f>J23</f>
        <v>100</v>
      </c>
      <c r="X23" s="1540"/>
      <c r="Y23" s="333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42"/>
      <c r="Q24" s="1537"/>
      <c r="R24" s="714"/>
      <c r="S24" s="715"/>
      <c r="T24" s="714"/>
      <c r="U24" s="715"/>
      <c r="V24" s="714"/>
      <c r="W24" s="715"/>
      <c r="X24" s="1540"/>
      <c r="Y24" s="3335"/>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42"/>
      <c r="Q25" s="1537" t="str">
        <f t="shared" ref="Q25:Q46" si="11">B25</f>
        <v>临街状况</v>
      </c>
      <c r="R25" s="714" t="s">
        <v>17</v>
      </c>
      <c r="S25" s="715">
        <f>F25</f>
        <v>100</v>
      </c>
      <c r="T25" s="714" t="s">
        <v>17</v>
      </c>
      <c r="U25" s="715">
        <f>H25</f>
        <v>100</v>
      </c>
      <c r="V25" s="714" t="s">
        <v>17</v>
      </c>
      <c r="W25" s="715">
        <f>J25</f>
        <v>100</v>
      </c>
      <c r="X25" s="1540"/>
      <c r="Y25" s="3335"/>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42"/>
      <c r="Q26" s="1537" t="str">
        <f t="shared" si="11"/>
        <v>平面位置/可视性</v>
      </c>
      <c r="R26" s="714" t="s">
        <v>17</v>
      </c>
      <c r="S26" s="715">
        <f>F26</f>
        <v>100</v>
      </c>
      <c r="T26" s="714" t="s">
        <v>17</v>
      </c>
      <c r="U26" s="715">
        <f>H26</f>
        <v>100</v>
      </c>
      <c r="V26" s="714" t="s">
        <v>17</v>
      </c>
      <c r="W26" s="715">
        <f>J26</f>
        <v>100</v>
      </c>
      <c r="X26" s="1540"/>
      <c r="Y26" s="3335"/>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42"/>
      <c r="Q27" s="1528" t="str">
        <f t="shared" si="11"/>
        <v>人流量</v>
      </c>
      <c r="R27" s="710" t="s">
        <v>17</v>
      </c>
      <c r="S27" s="711">
        <f>F27</f>
        <v>100</v>
      </c>
      <c r="T27" s="710" t="s">
        <v>17</v>
      </c>
      <c r="U27" s="711">
        <f>H27</f>
        <v>100</v>
      </c>
      <c r="V27" s="710" t="s">
        <v>17</v>
      </c>
      <c r="W27" s="711">
        <f>J27</f>
        <v>100</v>
      </c>
      <c r="X27" s="712"/>
      <c r="Y27" s="3335"/>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4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3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42"/>
      <c r="Q29" s="1537">
        <f t="shared" si="11"/>
        <v>111</v>
      </c>
      <c r="R29" s="714" t="s">
        <v>17</v>
      </c>
      <c r="S29" s="715">
        <f t="shared" si="12"/>
        <v>100</v>
      </c>
      <c r="T29" s="714" t="s">
        <v>17</v>
      </c>
      <c r="U29" s="715">
        <f t="shared" si="13"/>
        <v>100</v>
      </c>
      <c r="V29" s="714" t="s">
        <v>17</v>
      </c>
      <c r="W29" s="715">
        <f t="shared" si="14"/>
        <v>100</v>
      </c>
      <c r="X29" s="1540"/>
      <c r="Y29" s="333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42"/>
      <c r="Q30" s="1537">
        <f t="shared" si="11"/>
        <v>111</v>
      </c>
      <c r="R30" s="714" t="s">
        <v>17</v>
      </c>
      <c r="S30" s="715">
        <f t="shared" si="12"/>
        <v>100</v>
      </c>
      <c r="T30" s="714" t="s">
        <v>17</v>
      </c>
      <c r="U30" s="715">
        <f t="shared" si="13"/>
        <v>100</v>
      </c>
      <c r="V30" s="714" t="s">
        <v>17</v>
      </c>
      <c r="W30" s="715">
        <f t="shared" si="14"/>
        <v>100</v>
      </c>
      <c r="X30" s="1540"/>
      <c r="Y30" s="333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42"/>
      <c r="Q31" s="1537">
        <f t="shared" si="11"/>
        <v>111</v>
      </c>
      <c r="R31" s="714" t="s">
        <v>17</v>
      </c>
      <c r="S31" s="715">
        <f t="shared" si="12"/>
        <v>100</v>
      </c>
      <c r="T31" s="714" t="s">
        <v>17</v>
      </c>
      <c r="U31" s="715">
        <f t="shared" si="13"/>
        <v>100</v>
      </c>
      <c r="V31" s="714" t="s">
        <v>17</v>
      </c>
      <c r="W31" s="715">
        <f t="shared" si="14"/>
        <v>100</v>
      </c>
      <c r="X31" s="1540"/>
      <c r="Y31" s="3335"/>
      <c r="Z31" s="1541">
        <f t="shared" si="15"/>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36" t="s">
        <v>2385</v>
      </c>
      <c r="Q32" s="1537" t="str">
        <f t="shared" si="11"/>
        <v>商业类型</v>
      </c>
      <c r="R32" s="714" t="s">
        <v>17</v>
      </c>
      <c r="S32" s="715">
        <f t="shared" si="12"/>
        <v>100</v>
      </c>
      <c r="T32" s="714" t="s">
        <v>17</v>
      </c>
      <c r="U32" s="715">
        <f t="shared" si="13"/>
        <v>100</v>
      </c>
      <c r="V32" s="714" t="s">
        <v>17</v>
      </c>
      <c r="W32" s="715">
        <f t="shared" si="14"/>
        <v>100</v>
      </c>
      <c r="X32" s="1540"/>
      <c r="Y32" s="3339"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37"/>
      <c r="Q33" s="716" t="str">
        <f t="shared" si="11"/>
        <v>项目建筑规模</v>
      </c>
      <c r="R33" s="717" t="s">
        <v>17</v>
      </c>
      <c r="S33" s="718" t="e">
        <f t="shared" si="12"/>
        <v>#N/A</v>
      </c>
      <c r="T33" s="717" t="s">
        <v>17</v>
      </c>
      <c r="U33" s="718" t="e">
        <f t="shared" si="13"/>
        <v>#N/A</v>
      </c>
      <c r="V33" s="717" t="s">
        <v>17</v>
      </c>
      <c r="W33" s="718" t="e">
        <f t="shared" si="14"/>
        <v>#N/A</v>
      </c>
      <c r="X33" s="719"/>
      <c r="Y33" s="3339"/>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37"/>
      <c r="Q34" s="1537" t="str">
        <f t="shared" si="11"/>
        <v>建筑结构</v>
      </c>
      <c r="R34" s="714" t="s">
        <v>17</v>
      </c>
      <c r="S34" s="715">
        <f t="shared" si="12"/>
        <v>100</v>
      </c>
      <c r="T34" s="714" t="s">
        <v>17</v>
      </c>
      <c r="U34" s="715">
        <f t="shared" si="13"/>
        <v>100</v>
      </c>
      <c r="V34" s="714" t="s">
        <v>17</v>
      </c>
      <c r="W34" s="715">
        <f t="shared" si="14"/>
        <v>100</v>
      </c>
      <c r="X34" s="1540"/>
      <c r="Y34" s="3339"/>
      <c r="Z34" s="1541" t="str">
        <f t="shared" si="15"/>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37"/>
      <c r="Q35" s="1537" t="str">
        <f t="shared" si="11"/>
        <v>公共部分装修</v>
      </c>
      <c r="R35" s="714" t="s">
        <v>17</v>
      </c>
      <c r="S35" s="715">
        <f t="shared" si="12"/>
        <v>100</v>
      </c>
      <c r="T35" s="714" t="s">
        <v>17</v>
      </c>
      <c r="U35" s="715">
        <f t="shared" si="13"/>
        <v>100</v>
      </c>
      <c r="V35" s="714" t="s">
        <v>17</v>
      </c>
      <c r="W35" s="715">
        <f t="shared" si="14"/>
        <v>100</v>
      </c>
      <c r="X35" s="1540"/>
      <c r="Y35" s="3339"/>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37"/>
      <c r="Q36" s="1537" t="str">
        <f t="shared" si="11"/>
        <v>成新度</v>
      </c>
      <c r="R36" s="714" t="s">
        <v>17</v>
      </c>
      <c r="S36" s="715" t="e">
        <f t="shared" si="12"/>
        <v>#N/A</v>
      </c>
      <c r="T36" s="714" t="s">
        <v>17</v>
      </c>
      <c r="U36" s="715" t="e">
        <f t="shared" si="13"/>
        <v>#N/A</v>
      </c>
      <c r="V36" s="714" t="s">
        <v>17</v>
      </c>
      <c r="W36" s="715" t="e">
        <f t="shared" si="14"/>
        <v>#N/A</v>
      </c>
      <c r="X36" s="1540"/>
      <c r="Y36" s="3339"/>
      <c r="Z36" s="1541" t="str">
        <f t="shared" si="15"/>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37"/>
      <c r="Q37" s="1528" t="str">
        <f t="shared" si="11"/>
        <v>市政基础设施</v>
      </c>
      <c r="R37" s="710" t="s">
        <v>17</v>
      </c>
      <c r="S37" s="711">
        <f t="shared" si="12"/>
        <v>100</v>
      </c>
      <c r="T37" s="710" t="s">
        <v>17</v>
      </c>
      <c r="U37" s="711">
        <f t="shared" si="13"/>
        <v>100</v>
      </c>
      <c r="V37" s="710" t="s">
        <v>17</v>
      </c>
      <c r="W37" s="711">
        <f t="shared" si="14"/>
        <v>100</v>
      </c>
      <c r="X37" s="712"/>
      <c r="Y37" s="3339"/>
      <c r="Z37" s="55" t="str">
        <f t="shared" si="15"/>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37" t="s">
        <v>2385</v>
      </c>
      <c r="Q38" s="1537" t="str">
        <f t="shared" si="11"/>
        <v>业态</v>
      </c>
      <c r="R38" s="714" t="s">
        <v>17</v>
      </c>
      <c r="S38" s="715">
        <f t="shared" si="12"/>
        <v>100</v>
      </c>
      <c r="T38" s="714" t="s">
        <v>17</v>
      </c>
      <c r="U38" s="715">
        <f t="shared" si="13"/>
        <v>100</v>
      </c>
      <c r="V38" s="714" t="s">
        <v>17</v>
      </c>
      <c r="W38" s="715">
        <f t="shared" si="14"/>
        <v>100</v>
      </c>
      <c r="X38" s="1540"/>
      <c r="Y38" s="3339" t="s">
        <v>2385</v>
      </c>
      <c r="Z38" s="1541" t="str">
        <f t="shared" si="15"/>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37"/>
      <c r="Q39" s="1537" t="str">
        <f t="shared" si="11"/>
        <v>层高</v>
      </c>
      <c r="R39" s="714" t="s">
        <v>17</v>
      </c>
      <c r="S39" s="715">
        <f t="shared" si="12"/>
        <v>100</v>
      </c>
      <c r="T39" s="714" t="s">
        <v>17</v>
      </c>
      <c r="U39" s="715">
        <f t="shared" si="13"/>
        <v>100</v>
      </c>
      <c r="V39" s="714" t="s">
        <v>17</v>
      </c>
      <c r="W39" s="715">
        <f t="shared" si="14"/>
        <v>100</v>
      </c>
      <c r="X39" s="1540"/>
      <c r="Y39" s="3339"/>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37"/>
      <c r="Q40" s="1537" t="str">
        <f t="shared" si="11"/>
        <v>单套建筑面积</v>
      </c>
      <c r="R40" s="714" t="s">
        <v>17</v>
      </c>
      <c r="S40" s="715">
        <f t="shared" si="12"/>
        <v>100</v>
      </c>
      <c r="T40" s="714" t="s">
        <v>17</v>
      </c>
      <c r="U40" s="715">
        <f t="shared" si="13"/>
        <v>100</v>
      </c>
      <c r="V40" s="714" t="s">
        <v>17</v>
      </c>
      <c r="W40" s="715">
        <f t="shared" si="14"/>
        <v>100</v>
      </c>
      <c r="X40" s="1540"/>
      <c r="Y40" s="3339"/>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37"/>
      <c r="Q41" s="716" t="str">
        <f t="shared" si="11"/>
        <v>进深比</v>
      </c>
      <c r="R41" s="717" t="s">
        <v>17</v>
      </c>
      <c r="S41" s="718">
        <f t="shared" si="12"/>
        <v>100</v>
      </c>
      <c r="T41" s="717" t="s">
        <v>17</v>
      </c>
      <c r="U41" s="718">
        <f t="shared" si="13"/>
        <v>100</v>
      </c>
      <c r="V41" s="717" t="s">
        <v>17</v>
      </c>
      <c r="W41" s="718">
        <f t="shared" si="14"/>
        <v>100</v>
      </c>
      <c r="X41" s="719"/>
      <c r="Y41" s="3339"/>
      <c r="Z41" s="720" t="str">
        <f t="shared" si="15"/>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37"/>
      <c r="Q42" s="1537" t="str">
        <f t="shared" si="11"/>
        <v>内部装修</v>
      </c>
      <c r="R42" s="714" t="s">
        <v>17</v>
      </c>
      <c r="S42" s="715">
        <f t="shared" si="12"/>
        <v>100</v>
      </c>
      <c r="T42" s="714" t="s">
        <v>17</v>
      </c>
      <c r="U42" s="715">
        <f t="shared" si="13"/>
        <v>100</v>
      </c>
      <c r="V42" s="714" t="s">
        <v>17</v>
      </c>
      <c r="W42" s="715">
        <f t="shared" si="14"/>
        <v>100</v>
      </c>
      <c r="X42" s="1540"/>
      <c r="Y42" s="3339"/>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37"/>
      <c r="Q43" s="1537" t="str">
        <f t="shared" si="11"/>
        <v>内部装修维护情况</v>
      </c>
      <c r="R43" s="714" t="s">
        <v>17</v>
      </c>
      <c r="S43" s="715">
        <f t="shared" si="12"/>
        <v>100</v>
      </c>
      <c r="T43" s="714" t="s">
        <v>17</v>
      </c>
      <c r="U43" s="715">
        <f t="shared" si="13"/>
        <v>100</v>
      </c>
      <c r="V43" s="714" t="s">
        <v>17</v>
      </c>
      <c r="W43" s="715">
        <f t="shared" si="14"/>
        <v>100</v>
      </c>
      <c r="X43" s="1540"/>
      <c r="Y43" s="333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37"/>
      <c r="Q44" s="1528">
        <f t="shared" si="11"/>
        <v>111</v>
      </c>
      <c r="R44" s="710" t="s">
        <v>17</v>
      </c>
      <c r="S44" s="711">
        <f t="shared" si="12"/>
        <v>100</v>
      </c>
      <c r="T44" s="710" t="s">
        <v>17</v>
      </c>
      <c r="U44" s="711">
        <f t="shared" si="13"/>
        <v>100</v>
      </c>
      <c r="V44" s="710" t="s">
        <v>17</v>
      </c>
      <c r="W44" s="711">
        <f t="shared" si="14"/>
        <v>100</v>
      </c>
      <c r="X44" s="712"/>
      <c r="Y44" s="333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37"/>
      <c r="Q45" s="1537">
        <f t="shared" si="11"/>
        <v>111</v>
      </c>
      <c r="R45" s="714" t="s">
        <v>17</v>
      </c>
      <c r="S45" s="715">
        <f t="shared" si="12"/>
        <v>100</v>
      </c>
      <c r="T45" s="714" t="s">
        <v>17</v>
      </c>
      <c r="U45" s="715">
        <f t="shared" si="13"/>
        <v>100</v>
      </c>
      <c r="V45" s="714" t="s">
        <v>17</v>
      </c>
      <c r="W45" s="715">
        <f t="shared" si="14"/>
        <v>100</v>
      </c>
      <c r="X45" s="1540"/>
      <c r="Y45" s="3339"/>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38"/>
      <c r="Q46" s="1537">
        <f t="shared" si="11"/>
        <v>111</v>
      </c>
      <c r="R46" s="714" t="s">
        <v>17</v>
      </c>
      <c r="S46" s="715">
        <f t="shared" si="12"/>
        <v>100</v>
      </c>
      <c r="T46" s="714" t="s">
        <v>17</v>
      </c>
      <c r="U46" s="715">
        <f t="shared" si="13"/>
        <v>100</v>
      </c>
      <c r="V46" s="714" t="s">
        <v>17</v>
      </c>
      <c r="W46" s="715">
        <f t="shared" si="14"/>
        <v>100</v>
      </c>
      <c r="X46" s="1540"/>
      <c r="Y46" s="3340"/>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32" t="str">
        <f>A47</f>
        <v>成交单价（元/平方米）</v>
      </c>
      <c r="Q47" s="3332"/>
      <c r="R47" s="3363">
        <f>E47</f>
        <v>0</v>
      </c>
      <c r="S47" s="3363"/>
      <c r="T47" s="3363">
        <f>G47</f>
        <v>0</v>
      </c>
      <c r="U47" s="3363"/>
      <c r="V47" s="3363">
        <f>I47</f>
        <v>0</v>
      </c>
      <c r="W47" s="3363"/>
      <c r="X47" s="699"/>
      <c r="Y47" s="721"/>
      <c r="Z47" s="699"/>
      <c r="AA47" s="699"/>
      <c r="AB47" s="699"/>
      <c r="AC47" s="699"/>
    </row>
    <row r="48" spans="1:29" ht="15.7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160624.58000000002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347" t="s">
        <v>2466</v>
      </c>
      <c r="D4" s="3348"/>
      <c r="E4" s="3349" t="s">
        <v>2467</v>
      </c>
      <c r="F4" s="3350"/>
      <c r="G4" s="3347" t="s">
        <v>2468</v>
      </c>
      <c r="H4" s="3348"/>
      <c r="I4" s="3347" t="s">
        <v>2469</v>
      </c>
      <c r="J4" s="3348"/>
      <c r="K4" s="567" t="s">
        <v>2470</v>
      </c>
      <c r="L4" s="2945"/>
      <c r="M4" s="2946"/>
      <c r="N4" s="2946"/>
      <c r="O4" s="2946"/>
      <c r="P4" s="3381" t="s">
        <v>2471</v>
      </c>
      <c r="Q4" s="3382"/>
      <c r="R4" s="3385" t="s">
        <v>2467</v>
      </c>
      <c r="S4" s="3386"/>
      <c r="T4" s="3385" t="s">
        <v>2468</v>
      </c>
      <c r="U4" s="3386"/>
      <c r="V4" s="3387" t="s">
        <v>2469</v>
      </c>
      <c r="W4" s="3387"/>
      <c r="X4" s="2145"/>
      <c r="Y4" s="3385" t="s">
        <v>2471</v>
      </c>
      <c r="Z4" s="3386"/>
      <c r="AA4" s="3389" t="s">
        <v>2467</v>
      </c>
      <c r="AB4" s="3389" t="s">
        <v>2468</v>
      </c>
      <c r="AC4" s="3378" t="s">
        <v>2469</v>
      </c>
    </row>
    <row r="5" spans="1:29" ht="15">
      <c r="A5" s="364"/>
      <c r="B5" s="365"/>
      <c r="C5" s="3366" t="s">
        <v>2362</v>
      </c>
      <c r="D5" s="3367"/>
      <c r="E5" s="3373" t="s">
        <v>2363</v>
      </c>
      <c r="F5" s="3374"/>
      <c r="G5" s="3366" t="s">
        <v>2364</v>
      </c>
      <c r="H5" s="3367"/>
      <c r="I5" s="3366" t="s">
        <v>2365</v>
      </c>
      <c r="J5" s="3367"/>
      <c r="K5" s="567"/>
      <c r="L5" s="2945"/>
      <c r="M5" s="2946"/>
      <c r="N5" s="2946"/>
      <c r="O5" s="2946"/>
      <c r="P5" s="3383"/>
      <c r="Q5" s="3354"/>
      <c r="R5" s="3359"/>
      <c r="S5" s="3360"/>
      <c r="T5" s="3359"/>
      <c r="U5" s="3360"/>
      <c r="V5" s="3363"/>
      <c r="W5" s="3363"/>
      <c r="X5" s="1540"/>
      <c r="Y5" s="3359"/>
      <c r="Z5" s="3360"/>
      <c r="AA5" s="3345"/>
      <c r="AB5" s="3345"/>
      <c r="AC5" s="3379"/>
    </row>
    <row r="6" spans="1:29" ht="15.75" thickBot="1">
      <c r="A6" s="366"/>
      <c r="B6" s="367"/>
      <c r="C6" s="3364" t="s">
        <v>2366</v>
      </c>
      <c r="D6" s="3365"/>
      <c r="E6" s="3371" t="s">
        <v>2366</v>
      </c>
      <c r="F6" s="3372"/>
      <c r="G6" s="3364" t="s">
        <v>2366</v>
      </c>
      <c r="H6" s="3365"/>
      <c r="I6" s="3364" t="s">
        <v>2366</v>
      </c>
      <c r="J6" s="3365"/>
      <c r="K6" s="567" t="s">
        <v>2367</v>
      </c>
      <c r="L6" s="2945"/>
      <c r="M6" s="2946"/>
      <c r="N6" s="2946"/>
      <c r="O6" s="2946"/>
      <c r="P6" s="3384"/>
      <c r="Q6" s="3356"/>
      <c r="R6" s="3359"/>
      <c r="S6" s="3360"/>
      <c r="T6" s="3361"/>
      <c r="U6" s="3362"/>
      <c r="V6" s="3363"/>
      <c r="W6" s="3363"/>
      <c r="X6" s="1540"/>
      <c r="Y6" s="3361"/>
      <c r="Z6" s="3362"/>
      <c r="AA6" s="3346"/>
      <c r="AB6" s="3346"/>
      <c r="AC6" s="3380"/>
    </row>
    <row r="7" spans="1:29" s="113" customFormat="1" ht="15.75" thickBot="1">
      <c r="A7" s="368" t="s">
        <v>2368</v>
      </c>
      <c r="B7" s="369"/>
      <c r="C7" s="370">
        <f>'数据-取费表'!B2</f>
        <v>44249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8" t="s">
        <v>2369</v>
      </c>
      <c r="Q7" s="3370"/>
      <c r="R7" s="710" t="s">
        <v>17</v>
      </c>
      <c r="S7" s="711">
        <f t="shared" ref="S7:S15" si="0">F7</f>
        <v>0</v>
      </c>
      <c r="T7" s="710" t="s">
        <v>17</v>
      </c>
      <c r="U7" s="711">
        <f t="shared" ref="U7:U15" si="1">H7</f>
        <v>0</v>
      </c>
      <c r="V7" s="710" t="s">
        <v>17</v>
      </c>
      <c r="W7" s="711">
        <f t="shared" ref="W7:W15" si="2">J7</f>
        <v>0</v>
      </c>
      <c r="X7" s="712"/>
      <c r="Y7" s="3368" t="s">
        <v>2369</v>
      </c>
      <c r="Z7" s="336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8" t="s">
        <v>2372</v>
      </c>
      <c r="Q8" s="3369"/>
      <c r="R8" s="710" t="s">
        <v>17</v>
      </c>
      <c r="S8" s="711">
        <f t="shared" si="0"/>
        <v>0</v>
      </c>
      <c r="T8" s="710" t="s">
        <v>17</v>
      </c>
      <c r="U8" s="711">
        <f t="shared" si="1"/>
        <v>0</v>
      </c>
      <c r="V8" s="710" t="s">
        <v>17</v>
      </c>
      <c r="W8" s="711">
        <f t="shared" si="2"/>
        <v>0</v>
      </c>
      <c r="X8" s="712"/>
      <c r="Y8" s="3368" t="s">
        <v>2372</v>
      </c>
      <c r="Z8" s="336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43"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43"/>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43"/>
      <c r="Q11" s="1528" t="str">
        <f t="shared" si="6"/>
        <v>容积率</v>
      </c>
      <c r="R11" s="710" t="s">
        <v>17</v>
      </c>
      <c r="S11" s="711" t="e">
        <f t="shared" si="0"/>
        <v>#N/A</v>
      </c>
      <c r="T11" s="710" t="s">
        <v>17</v>
      </c>
      <c r="U11" s="711" t="e">
        <f t="shared" si="1"/>
        <v>#N/A</v>
      </c>
      <c r="V11" s="710" t="s">
        <v>17</v>
      </c>
      <c r="W11" s="711" t="e">
        <f t="shared" si="2"/>
        <v>#N/A</v>
      </c>
      <c r="X11" s="712"/>
      <c r="Y11" s="3202"/>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43"/>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43"/>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43"/>
      <c r="Q14" s="1528">
        <f t="shared" si="6"/>
        <v>111</v>
      </c>
      <c r="R14" s="710" t="s">
        <v>17</v>
      </c>
      <c r="S14" s="711">
        <f t="shared" si="0"/>
        <v>100</v>
      </c>
      <c r="T14" s="710" t="s">
        <v>17</v>
      </c>
      <c r="U14" s="711">
        <f t="shared" si="1"/>
        <v>100</v>
      </c>
      <c r="V14" s="710" t="s">
        <v>17</v>
      </c>
      <c r="W14" s="711">
        <f t="shared" si="2"/>
        <v>100</v>
      </c>
      <c r="X14" s="712"/>
      <c r="Y14" s="3202"/>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41" t="s">
        <v>2380</v>
      </c>
      <c r="Q15" s="1537" t="str">
        <f t="shared" si="6"/>
        <v>办公集聚程度</v>
      </c>
      <c r="R15" s="714" t="s">
        <v>17</v>
      </c>
      <c r="S15" s="715">
        <f t="shared" si="0"/>
        <v>100</v>
      </c>
      <c r="T15" s="714" t="s">
        <v>17</v>
      </c>
      <c r="U15" s="715">
        <f t="shared" si="1"/>
        <v>100</v>
      </c>
      <c r="V15" s="714" t="s">
        <v>17</v>
      </c>
      <c r="W15" s="715">
        <f t="shared" si="2"/>
        <v>100</v>
      </c>
      <c r="X15" s="1540"/>
      <c r="Y15" s="3334"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42"/>
      <c r="Q16" s="1537"/>
      <c r="R16" s="714"/>
      <c r="S16" s="715"/>
      <c r="T16" s="714"/>
      <c r="U16" s="715"/>
      <c r="V16" s="714"/>
      <c r="W16" s="715"/>
      <c r="X16" s="1540"/>
      <c r="Y16" s="3335"/>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42"/>
      <c r="Q17" s="1537" t="str">
        <f>B17</f>
        <v>交通便捷度</v>
      </c>
      <c r="R17" s="714" t="s">
        <v>17</v>
      </c>
      <c r="S17" s="715">
        <f>F17</f>
        <v>100</v>
      </c>
      <c r="T17" s="714" t="s">
        <v>17</v>
      </c>
      <c r="U17" s="715">
        <f>H17</f>
        <v>100</v>
      </c>
      <c r="V17" s="714" t="s">
        <v>17</v>
      </c>
      <c r="W17" s="715">
        <f>J17</f>
        <v>100</v>
      </c>
      <c r="X17" s="1540"/>
      <c r="Y17" s="333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42"/>
      <c r="Q18" s="1537"/>
      <c r="R18" s="714"/>
      <c r="S18" s="715"/>
      <c r="T18" s="714"/>
      <c r="U18" s="715"/>
      <c r="V18" s="714"/>
      <c r="W18" s="715"/>
      <c r="X18" s="1540"/>
      <c r="Y18" s="3335"/>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42"/>
      <c r="Q19" s="1537" t="str">
        <f>B19</f>
        <v>公共配套设施</v>
      </c>
      <c r="R19" s="714" t="s">
        <v>17</v>
      </c>
      <c r="S19" s="715">
        <f>F19</f>
        <v>100</v>
      </c>
      <c r="T19" s="714" t="s">
        <v>17</v>
      </c>
      <c r="U19" s="715">
        <f>H19</f>
        <v>100</v>
      </c>
      <c r="V19" s="714" t="s">
        <v>17</v>
      </c>
      <c r="W19" s="715">
        <f>J19</f>
        <v>100</v>
      </c>
      <c r="X19" s="1540"/>
      <c r="Y19" s="333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42"/>
      <c r="Q20" s="1537"/>
      <c r="R20" s="714"/>
      <c r="S20" s="715"/>
      <c r="T20" s="714"/>
      <c r="U20" s="715"/>
      <c r="V20" s="714"/>
      <c r="W20" s="715"/>
      <c r="X20" s="1540"/>
      <c r="Y20" s="3335"/>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42"/>
      <c r="Q21" s="1537" t="str">
        <f>B21</f>
        <v>基础设施水平</v>
      </c>
      <c r="R21" s="714" t="s">
        <v>17</v>
      </c>
      <c r="S21" s="715">
        <f>F21</f>
        <v>100</v>
      </c>
      <c r="T21" s="714" t="s">
        <v>17</v>
      </c>
      <c r="U21" s="715">
        <f>H21</f>
        <v>100</v>
      </c>
      <c r="V21" s="714" t="s">
        <v>17</v>
      </c>
      <c r="W21" s="715">
        <f>J21</f>
        <v>100</v>
      </c>
      <c r="X21" s="1540"/>
      <c r="Y21" s="3335"/>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42"/>
      <c r="Q22" s="1537"/>
      <c r="R22" s="714"/>
      <c r="S22" s="715"/>
      <c r="T22" s="714"/>
      <c r="U22" s="715"/>
      <c r="V22" s="714"/>
      <c r="W22" s="715"/>
      <c r="X22" s="1540"/>
      <c r="Y22" s="3335"/>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42"/>
      <c r="Q23" s="1537" t="str">
        <f>B23</f>
        <v>环境质量</v>
      </c>
      <c r="R23" s="714" t="s">
        <v>17</v>
      </c>
      <c r="S23" s="715">
        <f>F23</f>
        <v>100</v>
      </c>
      <c r="T23" s="714" t="s">
        <v>17</v>
      </c>
      <c r="U23" s="715">
        <f>H23</f>
        <v>100</v>
      </c>
      <c r="V23" s="714" t="s">
        <v>17</v>
      </c>
      <c r="W23" s="715">
        <f>J23</f>
        <v>100</v>
      </c>
      <c r="X23" s="1540"/>
      <c r="Y23" s="333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42"/>
      <c r="Q24" s="1537"/>
      <c r="R24" s="714"/>
      <c r="S24" s="715"/>
      <c r="T24" s="714"/>
      <c r="U24" s="715"/>
      <c r="V24" s="714"/>
      <c r="W24" s="715"/>
      <c r="X24" s="1540"/>
      <c r="Y24" s="3335"/>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42"/>
      <c r="Q25" s="1537" t="str">
        <f>B25</f>
        <v>毗邻道路的类型与等级</v>
      </c>
      <c r="R25" s="714" t="s">
        <v>17</v>
      </c>
      <c r="S25" s="715">
        <f>F25</f>
        <v>100</v>
      </c>
      <c r="T25" s="714" t="s">
        <v>17</v>
      </c>
      <c r="U25" s="715">
        <f>H25</f>
        <v>100</v>
      </c>
      <c r="V25" s="714" t="s">
        <v>17</v>
      </c>
      <c r="W25" s="715">
        <f>J25</f>
        <v>100</v>
      </c>
      <c r="X25" s="1540"/>
      <c r="Y25" s="333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42"/>
      <c r="Q26" s="1537"/>
      <c r="R26" s="714"/>
      <c r="S26" s="715"/>
      <c r="T26" s="714"/>
      <c r="U26" s="715"/>
      <c r="V26" s="714"/>
      <c r="W26" s="715"/>
      <c r="X26" s="1540"/>
      <c r="Y26" s="3335"/>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42"/>
      <c r="Q27" s="1537" t="str">
        <f t="shared" ref="Q27:Q47" si="11">B27</f>
        <v>楼层</v>
      </c>
      <c r="R27" s="714" t="s">
        <v>17</v>
      </c>
      <c r="S27" s="715">
        <f>F27</f>
        <v>100</v>
      </c>
      <c r="T27" s="714" t="s">
        <v>17</v>
      </c>
      <c r="U27" s="715">
        <f>H27</f>
        <v>100</v>
      </c>
      <c r="V27" s="714" t="s">
        <v>17</v>
      </c>
      <c r="W27" s="715">
        <f>J27</f>
        <v>100</v>
      </c>
      <c r="X27" s="1540"/>
      <c r="Y27" s="3335"/>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42"/>
      <c r="Q28" s="1528" t="str">
        <f t="shared" si="11"/>
        <v>朝向</v>
      </c>
      <c r="R28" s="710" t="s">
        <v>17</v>
      </c>
      <c r="S28" s="711">
        <f>F28</f>
        <v>100</v>
      </c>
      <c r="T28" s="710" t="s">
        <v>17</v>
      </c>
      <c r="U28" s="711">
        <f>H28</f>
        <v>100</v>
      </c>
      <c r="V28" s="710" t="s">
        <v>17</v>
      </c>
      <c r="W28" s="711">
        <f>J28</f>
        <v>100</v>
      </c>
      <c r="X28" s="712"/>
      <c r="Y28" s="333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42"/>
      <c r="Q29" s="1537">
        <f t="shared" si="11"/>
        <v>111</v>
      </c>
      <c r="R29" s="714" t="s">
        <v>17</v>
      </c>
      <c r="S29" s="715">
        <f t="shared" ref="S29:S47" si="12">F29</f>
        <v>100</v>
      </c>
      <c r="T29" s="714" t="s">
        <v>17</v>
      </c>
      <c r="U29" s="715">
        <f t="shared" ref="U29:U47" si="13">H29</f>
        <v>100</v>
      </c>
      <c r="V29" s="714" t="s">
        <v>17</v>
      </c>
      <c r="W29" s="715">
        <f t="shared" ref="W29:W47" si="14">J29</f>
        <v>100</v>
      </c>
      <c r="X29" s="1540"/>
      <c r="Y29" s="3335"/>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42"/>
      <c r="Q30" s="1537">
        <f t="shared" si="11"/>
        <v>111</v>
      </c>
      <c r="R30" s="714" t="s">
        <v>17</v>
      </c>
      <c r="S30" s="715">
        <f t="shared" si="12"/>
        <v>100</v>
      </c>
      <c r="T30" s="714" t="s">
        <v>17</v>
      </c>
      <c r="U30" s="715">
        <f t="shared" si="13"/>
        <v>100</v>
      </c>
      <c r="V30" s="714" t="s">
        <v>17</v>
      </c>
      <c r="W30" s="715">
        <f t="shared" si="14"/>
        <v>100</v>
      </c>
      <c r="X30" s="1540"/>
      <c r="Y30" s="3335"/>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42"/>
      <c r="Q31" s="1537">
        <f t="shared" si="11"/>
        <v>111</v>
      </c>
      <c r="R31" s="714" t="s">
        <v>17</v>
      </c>
      <c r="S31" s="715">
        <f t="shared" si="12"/>
        <v>100</v>
      </c>
      <c r="T31" s="714" t="s">
        <v>17</v>
      </c>
      <c r="U31" s="715">
        <f t="shared" si="13"/>
        <v>100</v>
      </c>
      <c r="V31" s="714" t="s">
        <v>17</v>
      </c>
      <c r="W31" s="715">
        <f t="shared" si="14"/>
        <v>100</v>
      </c>
      <c r="X31" s="1540"/>
      <c r="Y31" s="3335"/>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42"/>
      <c r="Q32" s="1537">
        <f t="shared" si="11"/>
        <v>111</v>
      </c>
      <c r="R32" s="714" t="s">
        <v>17</v>
      </c>
      <c r="S32" s="715">
        <f t="shared" si="12"/>
        <v>100</v>
      </c>
      <c r="T32" s="714" t="s">
        <v>17</v>
      </c>
      <c r="U32" s="715">
        <f t="shared" si="13"/>
        <v>100</v>
      </c>
      <c r="V32" s="714" t="s">
        <v>17</v>
      </c>
      <c r="W32" s="715">
        <f t="shared" si="14"/>
        <v>100</v>
      </c>
      <c r="X32" s="1540"/>
      <c r="Y32" s="3335"/>
      <c r="Z32" s="1541">
        <f t="shared" si="15"/>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36" t="s">
        <v>2385</v>
      </c>
      <c r="Q33" s="1537" t="str">
        <f t="shared" si="11"/>
        <v>建筑类型</v>
      </c>
      <c r="R33" s="714" t="s">
        <v>17</v>
      </c>
      <c r="S33" s="715">
        <f t="shared" si="12"/>
        <v>100</v>
      </c>
      <c r="T33" s="714" t="s">
        <v>17</v>
      </c>
      <c r="U33" s="715">
        <f t="shared" si="13"/>
        <v>100</v>
      </c>
      <c r="V33" s="714" t="s">
        <v>17</v>
      </c>
      <c r="W33" s="715">
        <f t="shared" si="14"/>
        <v>100</v>
      </c>
      <c r="X33" s="1540"/>
      <c r="Y33" s="3339"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37"/>
      <c r="Q34" s="716" t="str">
        <f t="shared" si="11"/>
        <v>项目建筑规模</v>
      </c>
      <c r="R34" s="717" t="s">
        <v>17</v>
      </c>
      <c r="S34" s="718" t="e">
        <f t="shared" si="12"/>
        <v>#N/A</v>
      </c>
      <c r="T34" s="717" t="s">
        <v>17</v>
      </c>
      <c r="U34" s="718" t="e">
        <f t="shared" si="13"/>
        <v>#N/A</v>
      </c>
      <c r="V34" s="717" t="s">
        <v>17</v>
      </c>
      <c r="W34" s="718" t="e">
        <f t="shared" si="14"/>
        <v>#N/A</v>
      </c>
      <c r="X34" s="719"/>
      <c r="Y34" s="3339"/>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37"/>
      <c r="Q35" s="1537" t="str">
        <f t="shared" si="11"/>
        <v>建筑结构</v>
      </c>
      <c r="R35" s="714" t="s">
        <v>17</v>
      </c>
      <c r="S35" s="715">
        <f t="shared" si="12"/>
        <v>100</v>
      </c>
      <c r="T35" s="714" t="s">
        <v>17</v>
      </c>
      <c r="U35" s="715">
        <f t="shared" si="13"/>
        <v>100</v>
      </c>
      <c r="V35" s="714" t="s">
        <v>17</v>
      </c>
      <c r="W35" s="715">
        <f t="shared" si="14"/>
        <v>100</v>
      </c>
      <c r="X35" s="1540"/>
      <c r="Y35" s="3339"/>
      <c r="Z35" s="1541" t="str">
        <f t="shared" si="15"/>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37"/>
      <c r="Q36" s="1537" t="str">
        <f t="shared" si="11"/>
        <v>公共部分装修</v>
      </c>
      <c r="R36" s="714" t="s">
        <v>17</v>
      </c>
      <c r="S36" s="715">
        <f t="shared" si="12"/>
        <v>100</v>
      </c>
      <c r="T36" s="714" t="s">
        <v>17</v>
      </c>
      <c r="U36" s="715">
        <f t="shared" si="13"/>
        <v>100</v>
      </c>
      <c r="V36" s="714" t="s">
        <v>17</v>
      </c>
      <c r="W36" s="715">
        <f t="shared" si="14"/>
        <v>100</v>
      </c>
      <c r="X36" s="1540"/>
      <c r="Y36" s="3339"/>
      <c r="Z36" s="1541" t="str">
        <f t="shared" si="15"/>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37"/>
      <c r="Q37" s="1537" t="str">
        <f t="shared" si="11"/>
        <v>成新度</v>
      </c>
      <c r="R37" s="714" t="s">
        <v>17</v>
      </c>
      <c r="S37" s="715" t="e">
        <f t="shared" si="12"/>
        <v>#N/A</v>
      </c>
      <c r="T37" s="714" t="s">
        <v>17</v>
      </c>
      <c r="U37" s="715" t="e">
        <f t="shared" si="13"/>
        <v>#N/A</v>
      </c>
      <c r="V37" s="714" t="s">
        <v>17</v>
      </c>
      <c r="W37" s="715" t="e">
        <f t="shared" si="14"/>
        <v>#N/A</v>
      </c>
      <c r="X37" s="1540"/>
      <c r="Y37" s="3339"/>
      <c r="Z37" s="1541" t="str">
        <f t="shared" si="15"/>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37"/>
      <c r="Q38" s="1528" t="str">
        <f t="shared" si="11"/>
        <v>写字楼等级</v>
      </c>
      <c r="R38" s="710" t="s">
        <v>17</v>
      </c>
      <c r="S38" s="711">
        <f t="shared" si="12"/>
        <v>100</v>
      </c>
      <c r="T38" s="710" t="s">
        <v>17</v>
      </c>
      <c r="U38" s="711">
        <f t="shared" si="13"/>
        <v>100</v>
      </c>
      <c r="V38" s="710" t="s">
        <v>17</v>
      </c>
      <c r="W38" s="711">
        <f t="shared" si="14"/>
        <v>100</v>
      </c>
      <c r="X38" s="712"/>
      <c r="Y38" s="3339"/>
      <c r="Z38" s="55" t="str">
        <f t="shared" si="15"/>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37" t="s">
        <v>2385</v>
      </c>
      <c r="Q39" s="1537" t="str">
        <f t="shared" si="11"/>
        <v>物业管理</v>
      </c>
      <c r="R39" s="714" t="s">
        <v>17</v>
      </c>
      <c r="S39" s="715">
        <f t="shared" si="12"/>
        <v>100</v>
      </c>
      <c r="T39" s="714" t="s">
        <v>17</v>
      </c>
      <c r="U39" s="715">
        <f t="shared" si="13"/>
        <v>100</v>
      </c>
      <c r="V39" s="714" t="s">
        <v>17</v>
      </c>
      <c r="W39" s="715">
        <f t="shared" si="14"/>
        <v>100</v>
      </c>
      <c r="X39" s="1540"/>
      <c r="Y39" s="3339" t="s">
        <v>2385</v>
      </c>
      <c r="Z39" s="1541" t="str">
        <f t="shared" si="15"/>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37"/>
      <c r="Q40" s="1537" t="str">
        <f t="shared" si="11"/>
        <v>市政基础设施</v>
      </c>
      <c r="R40" s="714" t="s">
        <v>17</v>
      </c>
      <c r="S40" s="715">
        <f t="shared" si="12"/>
        <v>100</v>
      </c>
      <c r="T40" s="714" t="s">
        <v>17</v>
      </c>
      <c r="U40" s="715">
        <f t="shared" si="13"/>
        <v>100</v>
      </c>
      <c r="V40" s="714" t="s">
        <v>17</v>
      </c>
      <c r="W40" s="715">
        <f t="shared" si="14"/>
        <v>100</v>
      </c>
      <c r="X40" s="1540"/>
      <c r="Y40" s="3339"/>
      <c r="Z40" s="1541" t="str">
        <f t="shared" si="15"/>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37"/>
      <c r="Q41" s="1537" t="str">
        <f t="shared" si="11"/>
        <v>层高</v>
      </c>
      <c r="R41" s="714" t="s">
        <v>17</v>
      </c>
      <c r="S41" s="715">
        <f t="shared" si="12"/>
        <v>100</v>
      </c>
      <c r="T41" s="714" t="s">
        <v>17</v>
      </c>
      <c r="U41" s="715">
        <f t="shared" si="13"/>
        <v>100</v>
      </c>
      <c r="V41" s="714" t="s">
        <v>17</v>
      </c>
      <c r="W41" s="715">
        <f t="shared" si="14"/>
        <v>100</v>
      </c>
      <c r="X41" s="1540"/>
      <c r="Y41" s="3339"/>
      <c r="Z41" s="1541" t="str">
        <f t="shared" si="15"/>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37"/>
      <c r="Q42" s="716" t="str">
        <f t="shared" si="11"/>
        <v>单套建筑面积</v>
      </c>
      <c r="R42" s="717" t="s">
        <v>17</v>
      </c>
      <c r="S42" s="718">
        <f t="shared" si="12"/>
        <v>100</v>
      </c>
      <c r="T42" s="717" t="s">
        <v>17</v>
      </c>
      <c r="U42" s="718">
        <f t="shared" si="13"/>
        <v>100</v>
      </c>
      <c r="V42" s="717" t="s">
        <v>17</v>
      </c>
      <c r="W42" s="718">
        <f t="shared" si="14"/>
        <v>100</v>
      </c>
      <c r="X42" s="719"/>
      <c r="Y42" s="3339"/>
      <c r="Z42" s="720" t="str">
        <f t="shared" si="15"/>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37"/>
      <c r="Q43" s="1537" t="str">
        <f t="shared" si="11"/>
        <v>内部装修</v>
      </c>
      <c r="R43" s="714" t="s">
        <v>17</v>
      </c>
      <c r="S43" s="715">
        <f t="shared" si="12"/>
        <v>100</v>
      </c>
      <c r="T43" s="714" t="s">
        <v>17</v>
      </c>
      <c r="U43" s="715">
        <f t="shared" si="13"/>
        <v>100</v>
      </c>
      <c r="V43" s="714" t="s">
        <v>17</v>
      </c>
      <c r="W43" s="715">
        <f t="shared" si="14"/>
        <v>100</v>
      </c>
      <c r="X43" s="1540"/>
      <c r="Y43" s="3339"/>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37"/>
      <c r="Q44" s="1537" t="str">
        <f t="shared" si="11"/>
        <v>内部装修维护情况</v>
      </c>
      <c r="R44" s="714" t="s">
        <v>17</v>
      </c>
      <c r="S44" s="715">
        <f t="shared" si="12"/>
        <v>100</v>
      </c>
      <c r="T44" s="714" t="s">
        <v>17</v>
      </c>
      <c r="U44" s="715">
        <f t="shared" si="13"/>
        <v>100</v>
      </c>
      <c r="V44" s="714" t="s">
        <v>17</v>
      </c>
      <c r="W44" s="715">
        <f t="shared" si="14"/>
        <v>100</v>
      </c>
      <c r="X44" s="1540"/>
      <c r="Y44" s="3339"/>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37"/>
      <c r="Q45" s="1528">
        <f t="shared" si="11"/>
        <v>111</v>
      </c>
      <c r="R45" s="710" t="s">
        <v>17</v>
      </c>
      <c r="S45" s="711">
        <f t="shared" si="12"/>
        <v>100</v>
      </c>
      <c r="T45" s="710" t="s">
        <v>17</v>
      </c>
      <c r="U45" s="711">
        <f t="shared" si="13"/>
        <v>100</v>
      </c>
      <c r="V45" s="710" t="s">
        <v>17</v>
      </c>
      <c r="W45" s="711">
        <f t="shared" si="14"/>
        <v>100</v>
      </c>
      <c r="X45" s="712"/>
      <c r="Y45" s="3339"/>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37"/>
      <c r="Q46" s="1537">
        <f t="shared" si="11"/>
        <v>111</v>
      </c>
      <c r="R46" s="714" t="s">
        <v>17</v>
      </c>
      <c r="S46" s="715">
        <f t="shared" si="12"/>
        <v>100</v>
      </c>
      <c r="T46" s="714" t="s">
        <v>17</v>
      </c>
      <c r="U46" s="715">
        <f t="shared" si="13"/>
        <v>100</v>
      </c>
      <c r="V46" s="714" t="s">
        <v>17</v>
      </c>
      <c r="W46" s="715">
        <f t="shared" si="14"/>
        <v>100</v>
      </c>
      <c r="X46" s="1540"/>
      <c r="Y46" s="3339"/>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38"/>
      <c r="Q47" s="1537">
        <f t="shared" si="11"/>
        <v>111</v>
      </c>
      <c r="R47" s="714" t="s">
        <v>17</v>
      </c>
      <c r="S47" s="715">
        <f t="shared" si="12"/>
        <v>100</v>
      </c>
      <c r="T47" s="714" t="s">
        <v>17</v>
      </c>
      <c r="U47" s="715">
        <f t="shared" si="13"/>
        <v>100</v>
      </c>
      <c r="V47" s="714" t="s">
        <v>17</v>
      </c>
      <c r="W47" s="715">
        <f t="shared" si="14"/>
        <v>100</v>
      </c>
      <c r="X47" s="1540"/>
      <c r="Y47" s="3340"/>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343" t="str">
        <f>A48</f>
        <v>成交单价（元/平方米）</v>
      </c>
      <c r="Q48" s="3332"/>
      <c r="R48" s="3333">
        <f>E48</f>
        <v>0</v>
      </c>
      <c r="S48" s="3333"/>
      <c r="T48" s="3333">
        <f>G48</f>
        <v>0</v>
      </c>
      <c r="U48" s="3333"/>
      <c r="V48" s="3333">
        <f>I48</f>
        <v>0</v>
      </c>
      <c r="W48" s="3333"/>
      <c r="X48" s="405"/>
      <c r="Y48" s="721"/>
      <c r="Z48" s="405"/>
      <c r="AA48" s="405"/>
      <c r="AB48" s="405"/>
      <c r="AC48" s="586"/>
    </row>
    <row r="49" spans="1:29" ht="15.7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43" t="str">
        <f>A49</f>
        <v>比较价值（元/平方米）</v>
      </c>
      <c r="Q49" s="3332"/>
      <c r="R49" s="3333" t="e">
        <f>IF(F1="售价",ROUND(PRODUCT(R48,AA7:AA47),0),ROUND(PRODUCT(R48,AA7:AA47),1))</f>
        <v>#DIV/0!</v>
      </c>
      <c r="S49" s="3333"/>
      <c r="T49" s="3333" t="e">
        <f>IF(F1="售价",ROUND(PRODUCT(T48,AB7:AB47),0),ROUND(PRODUCT(T48,AB7:AB47),1))</f>
        <v>#DIV/0!</v>
      </c>
      <c r="U49" s="3333"/>
      <c r="V49" s="3333" t="e">
        <f>IF(F1="售价",ROUND(PRODUCT(V48,AC7:AC47),0),ROUND(PRODUCT(V48,AC7:AC47),1))</f>
        <v>#DIV/0!</v>
      </c>
      <c r="W49" s="3333"/>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375" t="str">
        <f>A50</f>
        <v>估价对象XX用房的比较价值（楼面单价，元/平方米）</v>
      </c>
      <c r="Q50" s="3376"/>
      <c r="R50" s="3377" t="e">
        <f>IF(F1="售价",ROUND(IF(D49="简单平均",AVERAGE(R49:V49),R49*F49+T49*H49+V49*J49),0),ROUND(IF(D49="简单平均",AVERAGE(R49:V49),R49*F49+T49*H49+V49*J49),1))</f>
        <v>#DIV/0!</v>
      </c>
      <c r="S50" s="3377"/>
      <c r="T50" s="3377"/>
      <c r="U50" s="3377"/>
      <c r="V50" s="3377"/>
      <c r="W50" s="3377"/>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47" t="s">
        <v>2466</v>
      </c>
      <c r="D4" s="3348"/>
      <c r="E4" s="3349" t="s">
        <v>2467</v>
      </c>
      <c r="F4" s="3350"/>
      <c r="G4" s="3347" t="s">
        <v>2468</v>
      </c>
      <c r="H4" s="3348"/>
      <c r="I4" s="3347" t="s">
        <v>2469</v>
      </c>
      <c r="J4" s="3348"/>
      <c r="K4" s="567" t="s">
        <v>2470</v>
      </c>
      <c r="L4" s="1044"/>
      <c r="M4" s="1045"/>
      <c r="N4" s="1045"/>
      <c r="O4" s="1045"/>
      <c r="P4" s="3351" t="s">
        <v>2471</v>
      </c>
      <c r="Q4" s="3352"/>
      <c r="R4" s="3357" t="s">
        <v>2467</v>
      </c>
      <c r="S4" s="3358"/>
      <c r="T4" s="3357" t="s">
        <v>2468</v>
      </c>
      <c r="U4" s="3358"/>
      <c r="V4" s="3363" t="s">
        <v>2469</v>
      </c>
      <c r="W4" s="3363"/>
      <c r="X4" s="1540"/>
      <c r="Y4" s="3357" t="s">
        <v>2471</v>
      </c>
      <c r="Z4" s="3358"/>
      <c r="AA4" s="3344" t="s">
        <v>2467</v>
      </c>
      <c r="AB4" s="3345" t="s">
        <v>2468</v>
      </c>
      <c r="AC4" s="3344" t="s">
        <v>2469</v>
      </c>
    </row>
    <row r="5" spans="1:29" ht="15">
      <c r="A5" s="364"/>
      <c r="B5" s="365"/>
      <c r="C5" s="3366" t="s">
        <v>2362</v>
      </c>
      <c r="D5" s="3367"/>
      <c r="E5" s="3373" t="s">
        <v>2363</v>
      </c>
      <c r="F5" s="3374"/>
      <c r="G5" s="3366" t="s">
        <v>2364</v>
      </c>
      <c r="H5" s="3367"/>
      <c r="I5" s="3366" t="s">
        <v>2365</v>
      </c>
      <c r="J5" s="3367"/>
      <c r="K5" s="567"/>
      <c r="L5" s="1044"/>
      <c r="M5" s="1045"/>
      <c r="N5" s="1045"/>
      <c r="O5" s="1045"/>
      <c r="P5" s="3353"/>
      <c r="Q5" s="3354"/>
      <c r="R5" s="3359"/>
      <c r="S5" s="3360"/>
      <c r="T5" s="3359"/>
      <c r="U5" s="3360"/>
      <c r="V5" s="3363"/>
      <c r="W5" s="3363"/>
      <c r="X5" s="1540"/>
      <c r="Y5" s="3359"/>
      <c r="Z5" s="3360"/>
      <c r="AA5" s="3345"/>
      <c r="AB5" s="3345"/>
      <c r="AC5" s="3345"/>
    </row>
    <row r="6" spans="1:29" ht="15.75" thickBot="1">
      <c r="A6" s="366"/>
      <c r="B6" s="367"/>
      <c r="C6" s="3364" t="s">
        <v>2366</v>
      </c>
      <c r="D6" s="3365"/>
      <c r="E6" s="3371" t="s">
        <v>2366</v>
      </c>
      <c r="F6" s="3372"/>
      <c r="G6" s="3364" t="s">
        <v>2366</v>
      </c>
      <c r="H6" s="3365"/>
      <c r="I6" s="3364" t="s">
        <v>2366</v>
      </c>
      <c r="J6" s="3365"/>
      <c r="K6" s="567" t="s">
        <v>2367</v>
      </c>
      <c r="L6" s="1044"/>
      <c r="M6" s="1045"/>
      <c r="N6" s="1045"/>
      <c r="O6" s="1045"/>
      <c r="P6" s="3355"/>
      <c r="Q6" s="3356"/>
      <c r="R6" s="3359"/>
      <c r="S6" s="3360"/>
      <c r="T6" s="3361"/>
      <c r="U6" s="3362"/>
      <c r="V6" s="3363"/>
      <c r="W6" s="3363"/>
      <c r="X6" s="1540"/>
      <c r="Y6" s="3361"/>
      <c r="Z6" s="3362"/>
      <c r="AA6" s="3346"/>
      <c r="AB6" s="3346"/>
      <c r="AC6" s="3346"/>
    </row>
    <row r="7" spans="1:29" s="113" customFormat="1" ht="15.75" thickBot="1">
      <c r="A7" s="368" t="s">
        <v>2368</v>
      </c>
      <c r="B7" s="369"/>
      <c r="C7" s="370">
        <f>'数据-取费表'!B2</f>
        <v>44249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8" t="s">
        <v>2369</v>
      </c>
      <c r="Q7" s="3370"/>
      <c r="R7" s="710" t="s">
        <v>17</v>
      </c>
      <c r="S7" s="711">
        <f t="shared" ref="S7:S15" si="0">F7</f>
        <v>0</v>
      </c>
      <c r="T7" s="710" t="s">
        <v>17</v>
      </c>
      <c r="U7" s="711">
        <f t="shared" ref="U7:U15" si="1">H7</f>
        <v>0</v>
      </c>
      <c r="V7" s="710" t="s">
        <v>17</v>
      </c>
      <c r="W7" s="711">
        <f t="shared" ref="W7:W15" si="2">J7</f>
        <v>0</v>
      </c>
      <c r="X7" s="712"/>
      <c r="Y7" s="3368" t="s">
        <v>2369</v>
      </c>
      <c r="Z7" s="336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8" t="s">
        <v>2372</v>
      </c>
      <c r="Q8" s="3369"/>
      <c r="R8" s="710" t="s">
        <v>17</v>
      </c>
      <c r="S8" s="711">
        <f t="shared" si="0"/>
        <v>0</v>
      </c>
      <c r="T8" s="710" t="s">
        <v>17</v>
      </c>
      <c r="U8" s="711">
        <f t="shared" si="1"/>
        <v>0</v>
      </c>
      <c r="V8" s="710" t="s">
        <v>17</v>
      </c>
      <c r="W8" s="711">
        <f t="shared" si="2"/>
        <v>0</v>
      </c>
      <c r="X8" s="712"/>
      <c r="Y8" s="3368" t="s">
        <v>2372</v>
      </c>
      <c r="Z8" s="336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2"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2"/>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2"/>
      <c r="Q11" s="1528" t="str">
        <f t="shared" si="6"/>
        <v>容积率</v>
      </c>
      <c r="R11" s="710" t="s">
        <v>17</v>
      </c>
      <c r="S11" s="711" t="e">
        <f t="shared" si="0"/>
        <v>#N/A</v>
      </c>
      <c r="T11" s="710" t="s">
        <v>17</v>
      </c>
      <c r="U11" s="711" t="e">
        <f t="shared" si="1"/>
        <v>#N/A</v>
      </c>
      <c r="V11" s="710" t="s">
        <v>17</v>
      </c>
      <c r="W11" s="711" t="e">
        <f t="shared" si="2"/>
        <v>#N/A</v>
      </c>
      <c r="X11" s="712"/>
      <c r="Y11" s="3202"/>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32"/>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32"/>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32"/>
      <c r="Q14" s="1528">
        <f t="shared" si="6"/>
        <v>111</v>
      </c>
      <c r="R14" s="710" t="s">
        <v>17</v>
      </c>
      <c r="S14" s="711">
        <f t="shared" si="0"/>
        <v>100</v>
      </c>
      <c r="T14" s="710" t="s">
        <v>17</v>
      </c>
      <c r="U14" s="711">
        <f t="shared" si="1"/>
        <v>100</v>
      </c>
      <c r="V14" s="710" t="s">
        <v>17</v>
      </c>
      <c r="W14" s="711">
        <f t="shared" si="2"/>
        <v>100</v>
      </c>
      <c r="X14" s="712"/>
      <c r="Y14" s="3202"/>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4" t="s">
        <v>2380</v>
      </c>
      <c r="Q15" s="1537" t="str">
        <f t="shared" si="6"/>
        <v>产业集聚程度</v>
      </c>
      <c r="R15" s="714" t="s">
        <v>17</v>
      </c>
      <c r="S15" s="715">
        <f t="shared" si="0"/>
        <v>100</v>
      </c>
      <c r="T15" s="714" t="s">
        <v>17</v>
      </c>
      <c r="U15" s="715">
        <f t="shared" si="1"/>
        <v>100</v>
      </c>
      <c r="V15" s="714" t="s">
        <v>17</v>
      </c>
      <c r="W15" s="715">
        <f t="shared" si="2"/>
        <v>100</v>
      </c>
      <c r="X15" s="1540"/>
      <c r="Y15" s="3334"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35"/>
      <c r="Q16" s="1537"/>
      <c r="R16" s="714"/>
      <c r="S16" s="715"/>
      <c r="T16" s="714"/>
      <c r="U16" s="715"/>
      <c r="V16" s="714"/>
      <c r="W16" s="715"/>
      <c r="X16" s="1540"/>
      <c r="Y16" s="3335"/>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5"/>
      <c r="Q17" s="1537" t="str">
        <f>B17</f>
        <v>交通便捷度</v>
      </c>
      <c r="R17" s="714" t="s">
        <v>17</v>
      </c>
      <c r="S17" s="715">
        <f>F17</f>
        <v>100</v>
      </c>
      <c r="T17" s="714" t="s">
        <v>17</v>
      </c>
      <c r="U17" s="715">
        <f>H17</f>
        <v>100</v>
      </c>
      <c r="V17" s="714" t="s">
        <v>17</v>
      </c>
      <c r="W17" s="715">
        <f>J17</f>
        <v>100</v>
      </c>
      <c r="X17" s="1540"/>
      <c r="Y17" s="333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35"/>
      <c r="Q18" s="1537"/>
      <c r="R18" s="714"/>
      <c r="S18" s="715"/>
      <c r="T18" s="714"/>
      <c r="U18" s="715"/>
      <c r="V18" s="714"/>
      <c r="W18" s="715"/>
      <c r="X18" s="1540"/>
      <c r="Y18" s="3335"/>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5"/>
      <c r="Q19" s="1537" t="str">
        <f>B19</f>
        <v>公共配套设施</v>
      </c>
      <c r="R19" s="714" t="s">
        <v>17</v>
      </c>
      <c r="S19" s="715">
        <f>F19</f>
        <v>100</v>
      </c>
      <c r="T19" s="714" t="s">
        <v>17</v>
      </c>
      <c r="U19" s="715">
        <f>H19</f>
        <v>100</v>
      </c>
      <c r="V19" s="714" t="s">
        <v>17</v>
      </c>
      <c r="W19" s="715">
        <f>J19</f>
        <v>100</v>
      </c>
      <c r="X19" s="1540"/>
      <c r="Y19" s="333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35"/>
      <c r="Q20" s="1537"/>
      <c r="R20" s="714"/>
      <c r="S20" s="715"/>
      <c r="T20" s="714"/>
      <c r="U20" s="715"/>
      <c r="V20" s="714"/>
      <c r="W20" s="715"/>
      <c r="X20" s="1540"/>
      <c r="Y20" s="3335"/>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5"/>
      <c r="Q21" s="1537" t="str">
        <f>B21</f>
        <v>基础设施水平</v>
      </c>
      <c r="R21" s="714" t="s">
        <v>17</v>
      </c>
      <c r="S21" s="715">
        <f>F21</f>
        <v>100</v>
      </c>
      <c r="T21" s="714" t="s">
        <v>17</v>
      </c>
      <c r="U21" s="715">
        <f>H21</f>
        <v>100</v>
      </c>
      <c r="V21" s="714" t="s">
        <v>17</v>
      </c>
      <c r="W21" s="715">
        <f>J21</f>
        <v>100</v>
      </c>
      <c r="X21" s="1540"/>
      <c r="Y21" s="333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35"/>
      <c r="Q22" s="1537"/>
      <c r="R22" s="714"/>
      <c r="S22" s="715"/>
      <c r="T22" s="714"/>
      <c r="U22" s="715"/>
      <c r="V22" s="714"/>
      <c r="W22" s="715"/>
      <c r="X22" s="1540"/>
      <c r="Y22" s="3335"/>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5"/>
      <c r="Q23" s="1537" t="str">
        <f>B23</f>
        <v>环境质量</v>
      </c>
      <c r="R23" s="714" t="s">
        <v>17</v>
      </c>
      <c r="S23" s="715">
        <f>F23</f>
        <v>100</v>
      </c>
      <c r="T23" s="714" t="s">
        <v>17</v>
      </c>
      <c r="U23" s="715">
        <f>H23</f>
        <v>100</v>
      </c>
      <c r="V23" s="714" t="s">
        <v>17</v>
      </c>
      <c r="W23" s="715">
        <f>J23</f>
        <v>100</v>
      </c>
      <c r="X23" s="1540"/>
      <c r="Y23" s="333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35"/>
      <c r="Q24" s="1537"/>
      <c r="R24" s="714"/>
      <c r="S24" s="715"/>
      <c r="T24" s="714"/>
      <c r="U24" s="715"/>
      <c r="V24" s="714"/>
      <c r="W24" s="715"/>
      <c r="X24" s="1540"/>
      <c r="Y24" s="333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5"/>
      <c r="Q25" s="1537">
        <f>B25</f>
        <v>111</v>
      </c>
      <c r="R25" s="714" t="s">
        <v>17</v>
      </c>
      <c r="S25" s="715">
        <f>F25</f>
        <v>100</v>
      </c>
      <c r="T25" s="714" t="s">
        <v>17</v>
      </c>
      <c r="U25" s="715">
        <f>H25</f>
        <v>100</v>
      </c>
      <c r="V25" s="714" t="s">
        <v>17</v>
      </c>
      <c r="W25" s="715">
        <f>J25</f>
        <v>100</v>
      </c>
      <c r="X25" s="1540"/>
      <c r="Y25" s="333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5"/>
      <c r="Q26" s="1537">
        <f t="shared" ref="Q26:Q40" si="11">B26</f>
        <v>111</v>
      </c>
      <c r="R26" s="714" t="s">
        <v>17</v>
      </c>
      <c r="S26" s="715">
        <f>F26</f>
        <v>100</v>
      </c>
      <c r="T26" s="714" t="s">
        <v>17</v>
      </c>
      <c r="U26" s="715">
        <f>H26</f>
        <v>100</v>
      </c>
      <c r="V26" s="714" t="s">
        <v>17</v>
      </c>
      <c r="W26" s="715">
        <f>J26</f>
        <v>100</v>
      </c>
      <c r="X26" s="1540"/>
      <c r="Y26" s="333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5"/>
      <c r="Q27" s="1528">
        <f t="shared" si="11"/>
        <v>111</v>
      </c>
      <c r="R27" s="710" t="s">
        <v>17</v>
      </c>
      <c r="S27" s="711">
        <f>F27</f>
        <v>100</v>
      </c>
      <c r="T27" s="710" t="s">
        <v>17</v>
      </c>
      <c r="U27" s="711">
        <f>H27</f>
        <v>100</v>
      </c>
      <c r="V27" s="710" t="s">
        <v>17</v>
      </c>
      <c r="W27" s="711">
        <f>J27</f>
        <v>100</v>
      </c>
      <c r="X27" s="712"/>
      <c r="Y27" s="333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5"/>
      <c r="Q28" s="1537">
        <f t="shared" si="11"/>
        <v>111</v>
      </c>
      <c r="R28" s="714" t="s">
        <v>17</v>
      </c>
      <c r="S28" s="715">
        <f t="shared" ref="S28:S40" si="12">F28</f>
        <v>100</v>
      </c>
      <c r="T28" s="714" t="s">
        <v>17</v>
      </c>
      <c r="U28" s="715">
        <f t="shared" ref="U28:U40" si="13">H28</f>
        <v>100</v>
      </c>
      <c r="V28" s="714" t="s">
        <v>17</v>
      </c>
      <c r="W28" s="715">
        <f t="shared" ref="W28:W40" si="14">J28</f>
        <v>100</v>
      </c>
      <c r="X28" s="1540"/>
      <c r="Y28" s="3335"/>
      <c r="Z28" s="1541">
        <f t="shared" ref="Z28:Z40" si="15">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90" t="s">
        <v>2385</v>
      </c>
      <c r="Q29" s="1537" t="str">
        <f t="shared" si="11"/>
        <v>建筑类型</v>
      </c>
      <c r="R29" s="714" t="s">
        <v>17</v>
      </c>
      <c r="S29" s="715">
        <f t="shared" si="12"/>
        <v>100</v>
      </c>
      <c r="T29" s="714" t="s">
        <v>17</v>
      </c>
      <c r="U29" s="715">
        <f t="shared" si="13"/>
        <v>100</v>
      </c>
      <c r="V29" s="714" t="s">
        <v>17</v>
      </c>
      <c r="W29" s="715">
        <f t="shared" si="14"/>
        <v>100</v>
      </c>
      <c r="X29" s="1540"/>
      <c r="Y29" s="3339"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9"/>
      <c r="Q30" s="716" t="str">
        <f t="shared" si="11"/>
        <v>项目建筑规模</v>
      </c>
      <c r="R30" s="717" t="s">
        <v>17</v>
      </c>
      <c r="S30" s="718" t="e">
        <f t="shared" si="12"/>
        <v>#N/A</v>
      </c>
      <c r="T30" s="717" t="s">
        <v>17</v>
      </c>
      <c r="U30" s="718" t="e">
        <f t="shared" si="13"/>
        <v>#N/A</v>
      </c>
      <c r="V30" s="717" t="s">
        <v>17</v>
      </c>
      <c r="W30" s="718" t="e">
        <f t="shared" si="14"/>
        <v>#N/A</v>
      </c>
      <c r="X30" s="719"/>
      <c r="Y30" s="3339"/>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9"/>
      <c r="Q31" s="1537" t="str">
        <f t="shared" si="11"/>
        <v>建筑结构</v>
      </c>
      <c r="R31" s="714" t="s">
        <v>17</v>
      </c>
      <c r="S31" s="715">
        <f t="shared" si="12"/>
        <v>100</v>
      </c>
      <c r="T31" s="714" t="s">
        <v>17</v>
      </c>
      <c r="U31" s="715">
        <f t="shared" si="13"/>
        <v>100</v>
      </c>
      <c r="V31" s="714" t="s">
        <v>17</v>
      </c>
      <c r="W31" s="715">
        <f t="shared" si="14"/>
        <v>100</v>
      </c>
      <c r="X31" s="1540"/>
      <c r="Y31" s="3339"/>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9"/>
      <c r="Q32" s="1537" t="str">
        <f t="shared" si="11"/>
        <v>公共部分装修</v>
      </c>
      <c r="R32" s="714" t="s">
        <v>17</v>
      </c>
      <c r="S32" s="715">
        <f t="shared" si="12"/>
        <v>100</v>
      </c>
      <c r="T32" s="714" t="s">
        <v>17</v>
      </c>
      <c r="U32" s="715">
        <f t="shared" si="13"/>
        <v>100</v>
      </c>
      <c r="V32" s="714" t="s">
        <v>17</v>
      </c>
      <c r="W32" s="715">
        <f t="shared" si="14"/>
        <v>100</v>
      </c>
      <c r="X32" s="1540"/>
      <c r="Y32" s="3339"/>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9"/>
      <c r="Q33" s="1537" t="str">
        <f t="shared" si="11"/>
        <v>成新度</v>
      </c>
      <c r="R33" s="714" t="s">
        <v>17</v>
      </c>
      <c r="S33" s="715" t="e">
        <f t="shared" si="12"/>
        <v>#N/A</v>
      </c>
      <c r="T33" s="714" t="s">
        <v>17</v>
      </c>
      <c r="U33" s="715" t="e">
        <f t="shared" si="13"/>
        <v>#N/A</v>
      </c>
      <c r="V33" s="714" t="s">
        <v>17</v>
      </c>
      <c r="W33" s="715" t="e">
        <f t="shared" si="14"/>
        <v>#N/A</v>
      </c>
      <c r="X33" s="1540"/>
      <c r="Y33" s="3339"/>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9"/>
      <c r="Q34" s="1528" t="str">
        <f t="shared" si="11"/>
        <v>物业管理</v>
      </c>
      <c r="R34" s="710" t="s">
        <v>17</v>
      </c>
      <c r="S34" s="711">
        <f t="shared" si="12"/>
        <v>100</v>
      </c>
      <c r="T34" s="710" t="s">
        <v>17</v>
      </c>
      <c r="U34" s="711">
        <f t="shared" si="13"/>
        <v>100</v>
      </c>
      <c r="V34" s="710" t="s">
        <v>17</v>
      </c>
      <c r="W34" s="711">
        <f t="shared" si="14"/>
        <v>100</v>
      </c>
      <c r="X34" s="712"/>
      <c r="Y34" s="3339"/>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9" t="s">
        <v>2385</v>
      </c>
      <c r="Q35" s="1537" t="str">
        <f t="shared" si="11"/>
        <v>市政基础设施</v>
      </c>
      <c r="R35" s="714" t="s">
        <v>17</v>
      </c>
      <c r="S35" s="715">
        <f t="shared" si="12"/>
        <v>100</v>
      </c>
      <c r="T35" s="714" t="s">
        <v>17</v>
      </c>
      <c r="U35" s="715">
        <f t="shared" si="13"/>
        <v>100</v>
      </c>
      <c r="V35" s="714" t="s">
        <v>17</v>
      </c>
      <c r="W35" s="715">
        <f t="shared" si="14"/>
        <v>100</v>
      </c>
      <c r="X35" s="1540"/>
      <c r="Y35" s="3339"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9"/>
      <c r="Q36" s="1537" t="str">
        <f t="shared" si="11"/>
        <v>内部装修</v>
      </c>
      <c r="R36" s="714" t="s">
        <v>17</v>
      </c>
      <c r="S36" s="715">
        <f t="shared" si="12"/>
        <v>100</v>
      </c>
      <c r="T36" s="714" t="s">
        <v>17</v>
      </c>
      <c r="U36" s="715">
        <f t="shared" si="13"/>
        <v>100</v>
      </c>
      <c r="V36" s="714" t="s">
        <v>17</v>
      </c>
      <c r="W36" s="715">
        <f t="shared" si="14"/>
        <v>100</v>
      </c>
      <c r="X36" s="1540"/>
      <c r="Y36" s="3339"/>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9"/>
      <c r="Q37" s="1537" t="str">
        <f t="shared" si="11"/>
        <v>内部装修状况</v>
      </c>
      <c r="R37" s="714" t="s">
        <v>17</v>
      </c>
      <c r="S37" s="715">
        <f t="shared" si="12"/>
        <v>100</v>
      </c>
      <c r="T37" s="714" t="s">
        <v>17</v>
      </c>
      <c r="U37" s="715">
        <f t="shared" si="13"/>
        <v>100</v>
      </c>
      <c r="V37" s="714" t="s">
        <v>17</v>
      </c>
      <c r="W37" s="715">
        <f t="shared" si="14"/>
        <v>100</v>
      </c>
      <c r="X37" s="1540"/>
      <c r="Y37" s="333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9"/>
      <c r="Q38" s="716">
        <f t="shared" si="11"/>
        <v>111</v>
      </c>
      <c r="R38" s="717" t="s">
        <v>17</v>
      </c>
      <c r="S38" s="718">
        <f t="shared" si="12"/>
        <v>100</v>
      </c>
      <c r="T38" s="717" t="s">
        <v>17</v>
      </c>
      <c r="U38" s="718">
        <f t="shared" si="13"/>
        <v>100</v>
      </c>
      <c r="V38" s="717" t="s">
        <v>17</v>
      </c>
      <c r="W38" s="718">
        <f t="shared" si="14"/>
        <v>100</v>
      </c>
      <c r="X38" s="719"/>
      <c r="Y38" s="333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9"/>
      <c r="Q39" s="1537">
        <f t="shared" si="11"/>
        <v>111</v>
      </c>
      <c r="R39" s="714" t="s">
        <v>17</v>
      </c>
      <c r="S39" s="715">
        <f t="shared" si="12"/>
        <v>100</v>
      </c>
      <c r="T39" s="714" t="s">
        <v>17</v>
      </c>
      <c r="U39" s="715">
        <f t="shared" si="13"/>
        <v>100</v>
      </c>
      <c r="V39" s="714" t="s">
        <v>17</v>
      </c>
      <c r="W39" s="715">
        <f t="shared" si="14"/>
        <v>100</v>
      </c>
      <c r="X39" s="1540"/>
      <c r="Y39" s="3339"/>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0"/>
      <c r="Q40" s="1537">
        <f t="shared" si="11"/>
        <v>111</v>
      </c>
      <c r="R40" s="714" t="s">
        <v>17</v>
      </c>
      <c r="S40" s="715">
        <f t="shared" si="12"/>
        <v>100</v>
      </c>
      <c r="T40" s="714" t="s">
        <v>17</v>
      </c>
      <c r="U40" s="715">
        <f t="shared" si="13"/>
        <v>100</v>
      </c>
      <c r="V40" s="714" t="s">
        <v>17</v>
      </c>
      <c r="W40" s="715">
        <f t="shared" si="14"/>
        <v>100</v>
      </c>
      <c r="X40" s="1540"/>
      <c r="Y40" s="3340"/>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32" t="str">
        <f>A41</f>
        <v>成交单价（元/平方米）</v>
      </c>
      <c r="Q41" s="3332"/>
      <c r="R41" s="3333">
        <f>E41</f>
        <v>0</v>
      </c>
      <c r="S41" s="3333"/>
      <c r="T41" s="3333">
        <f>G41</f>
        <v>0</v>
      </c>
      <c r="U41" s="3333"/>
      <c r="V41" s="3333">
        <f>I41</f>
        <v>0</v>
      </c>
      <c r="W41" s="3333"/>
      <c r="X41" s="699"/>
      <c r="Y41" s="721"/>
      <c r="Z41" s="699"/>
      <c r="AA41" s="699"/>
      <c r="AB41" s="699"/>
      <c r="AC41" s="699"/>
    </row>
    <row r="42" spans="1:29" ht="15.7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32" t="str">
        <f>A42</f>
        <v>比较价值（元/平方米）</v>
      </c>
      <c r="Q42" s="3332"/>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29" t="str">
        <f>A43</f>
        <v>估价对象XX用房的比较价值（楼面单价，元/平方米）</v>
      </c>
      <c r="Q43" s="3330"/>
      <c r="R43" s="3331" t="e">
        <f>IF(F1="售价",ROUND(IF(D42="简单平均",AVERAGE(R42:V42),R42*F42+T42*H42+V42*J42),0),ROUND(IF(D42="简单平均",AVERAGE(R42:V42),R42*F42+T42*H42+V42*J42),1))</f>
        <v>#DIV/0!</v>
      </c>
      <c r="S43" s="3331"/>
      <c r="T43" s="3331"/>
      <c r="U43" s="3331"/>
      <c r="V43" s="3331"/>
      <c r="W43" s="3331"/>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2021年2月22日（评估专业人员实地查勘之日）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1574</v>
      </c>
    </row>
    <row r="24" spans="1:1" ht="18">
      <c r="A24" s="1673" t="str">
        <f>"本次评估采用的主估价方法为"&amp;结果表!K4&amp;"和"&amp;结果表!L4&amp;"。"</f>
        <v>本次评估采用的主估价方法为收益法和成本法。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347" t="s">
        <v>2466</v>
      </c>
      <c r="D4" s="3348"/>
      <c r="E4" s="3349" t="s">
        <v>2467</v>
      </c>
      <c r="F4" s="3350"/>
      <c r="G4" s="3347" t="s">
        <v>2468</v>
      </c>
      <c r="H4" s="3348"/>
      <c r="I4" s="3347" t="s">
        <v>2469</v>
      </c>
      <c r="J4" s="3348"/>
      <c r="K4" s="567" t="s">
        <v>2470</v>
      </c>
      <c r="L4" s="2945"/>
      <c r="M4" s="2946"/>
      <c r="N4" s="2946"/>
      <c r="O4" s="2946"/>
      <c r="P4" s="3351" t="s">
        <v>2471</v>
      </c>
      <c r="Q4" s="3352"/>
      <c r="R4" s="3357" t="s">
        <v>2467</v>
      </c>
      <c r="S4" s="3358"/>
      <c r="T4" s="3357" t="s">
        <v>2468</v>
      </c>
      <c r="U4" s="3358"/>
      <c r="V4" s="3363" t="s">
        <v>2469</v>
      </c>
      <c r="W4" s="3363"/>
      <c r="X4" s="1540"/>
      <c r="Y4" s="3357" t="s">
        <v>2471</v>
      </c>
      <c r="Z4" s="3358"/>
      <c r="AA4" s="3344" t="s">
        <v>2467</v>
      </c>
      <c r="AB4" s="3345" t="s">
        <v>2468</v>
      </c>
      <c r="AC4" s="3344" t="s">
        <v>2469</v>
      </c>
    </row>
    <row r="5" spans="1:29" ht="15">
      <c r="A5" s="364"/>
      <c r="B5" s="365"/>
      <c r="C5" s="3366" t="s">
        <v>2362</v>
      </c>
      <c r="D5" s="3367"/>
      <c r="E5" s="3373" t="s">
        <v>2363</v>
      </c>
      <c r="F5" s="3374"/>
      <c r="G5" s="3366" t="s">
        <v>2364</v>
      </c>
      <c r="H5" s="3367"/>
      <c r="I5" s="3366" t="s">
        <v>2365</v>
      </c>
      <c r="J5" s="3367"/>
      <c r="K5" s="567"/>
      <c r="L5" s="2945"/>
      <c r="M5" s="2946"/>
      <c r="N5" s="2946"/>
      <c r="O5" s="2946"/>
      <c r="P5" s="3353"/>
      <c r="Q5" s="3354"/>
      <c r="R5" s="3359"/>
      <c r="S5" s="3360"/>
      <c r="T5" s="3359"/>
      <c r="U5" s="3360"/>
      <c r="V5" s="3363"/>
      <c r="W5" s="3363"/>
      <c r="X5" s="1540"/>
      <c r="Y5" s="3359"/>
      <c r="Z5" s="3360"/>
      <c r="AA5" s="3345"/>
      <c r="AB5" s="3345"/>
      <c r="AC5" s="3345"/>
    </row>
    <row r="6" spans="1:29" ht="15.75" thickBot="1">
      <c r="A6" s="366"/>
      <c r="B6" s="367"/>
      <c r="C6" s="3364" t="s">
        <v>2366</v>
      </c>
      <c r="D6" s="3365"/>
      <c r="E6" s="3371" t="s">
        <v>2366</v>
      </c>
      <c r="F6" s="3372"/>
      <c r="G6" s="3364" t="s">
        <v>2366</v>
      </c>
      <c r="H6" s="3365"/>
      <c r="I6" s="3364" t="s">
        <v>2366</v>
      </c>
      <c r="J6" s="3365"/>
      <c r="K6" s="567" t="s">
        <v>2367</v>
      </c>
      <c r="L6" s="2945"/>
      <c r="M6" s="2946"/>
      <c r="N6" s="2946"/>
      <c r="O6" s="2946"/>
      <c r="P6" s="3355"/>
      <c r="Q6" s="3356"/>
      <c r="R6" s="3359"/>
      <c r="S6" s="3360"/>
      <c r="T6" s="3361"/>
      <c r="U6" s="3362"/>
      <c r="V6" s="3363"/>
      <c r="W6" s="3363"/>
      <c r="X6" s="1540"/>
      <c r="Y6" s="3361"/>
      <c r="Z6" s="3362"/>
      <c r="AA6" s="3346"/>
      <c r="AB6" s="3346"/>
      <c r="AC6" s="3346"/>
    </row>
    <row r="7" spans="1:29" s="113" customFormat="1" ht="15.75" thickBot="1">
      <c r="A7" s="368" t="s">
        <v>2368</v>
      </c>
      <c r="B7" s="369"/>
      <c r="C7" s="370">
        <f>'数据-取费表'!B2</f>
        <v>44249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68" t="s">
        <v>2369</v>
      </c>
      <c r="Q7" s="3370"/>
      <c r="R7" s="710" t="s">
        <v>17</v>
      </c>
      <c r="S7" s="711">
        <f t="shared" ref="S7:S14" si="0">F7</f>
        <v>0</v>
      </c>
      <c r="T7" s="710" t="s">
        <v>17</v>
      </c>
      <c r="U7" s="711">
        <f t="shared" ref="U7:U14" si="1">H7</f>
        <v>0</v>
      </c>
      <c r="V7" s="710" t="s">
        <v>17</v>
      </c>
      <c r="W7" s="711">
        <f t="shared" ref="W7:W14" si="2">J7</f>
        <v>0</v>
      </c>
      <c r="X7" s="712"/>
      <c r="Y7" s="3368" t="s">
        <v>2369</v>
      </c>
      <c r="Z7" s="336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68" t="s">
        <v>2372</v>
      </c>
      <c r="Q8" s="3369"/>
      <c r="R8" s="710" t="s">
        <v>17</v>
      </c>
      <c r="S8" s="711">
        <f t="shared" si="0"/>
        <v>0</v>
      </c>
      <c r="T8" s="710" t="s">
        <v>17</v>
      </c>
      <c r="U8" s="711">
        <f t="shared" si="1"/>
        <v>0</v>
      </c>
      <c r="V8" s="710" t="s">
        <v>17</v>
      </c>
      <c r="W8" s="711">
        <f t="shared" si="2"/>
        <v>0</v>
      </c>
      <c r="X8" s="712"/>
      <c r="Y8" s="3368" t="s">
        <v>2372</v>
      </c>
      <c r="Z8" s="336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32" t="s">
        <v>2375</v>
      </c>
      <c r="Q9" s="1528" t="str">
        <f t="shared" ref="Q9:Q14" si="6">B9</f>
        <v>用途</v>
      </c>
      <c r="R9" s="710" t="s">
        <v>17</v>
      </c>
      <c r="S9" s="711">
        <f t="shared" si="0"/>
        <v>100</v>
      </c>
      <c r="T9" s="710" t="s">
        <v>17</v>
      </c>
      <c r="U9" s="711">
        <f t="shared" si="1"/>
        <v>100</v>
      </c>
      <c r="V9" s="710" t="s">
        <v>17</v>
      </c>
      <c r="W9" s="711">
        <f t="shared" si="2"/>
        <v>100</v>
      </c>
      <c r="X9" s="712"/>
      <c r="Y9" s="3202"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32"/>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32"/>
      <c r="Q11" s="1528">
        <f t="shared" si="6"/>
        <v>111</v>
      </c>
      <c r="R11" s="710" t="s">
        <v>17</v>
      </c>
      <c r="S11" s="711">
        <f t="shared" si="0"/>
        <v>100</v>
      </c>
      <c r="T11" s="710" t="s">
        <v>17</v>
      </c>
      <c r="U11" s="711">
        <f t="shared" si="1"/>
        <v>100</v>
      </c>
      <c r="V11" s="710" t="s">
        <v>17</v>
      </c>
      <c r="W11" s="711">
        <f t="shared" si="2"/>
        <v>100</v>
      </c>
      <c r="X11" s="712"/>
      <c r="Y11" s="32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32"/>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32"/>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34" t="s">
        <v>2380</v>
      </c>
      <c r="Q14" s="1537" t="str">
        <f t="shared" si="6"/>
        <v>交通便捷度</v>
      </c>
      <c r="R14" s="714" t="s">
        <v>17</v>
      </c>
      <c r="S14" s="715">
        <f t="shared" si="0"/>
        <v>100</v>
      </c>
      <c r="T14" s="714" t="s">
        <v>17</v>
      </c>
      <c r="U14" s="715">
        <f t="shared" si="1"/>
        <v>100</v>
      </c>
      <c r="V14" s="714" t="s">
        <v>17</v>
      </c>
      <c r="W14" s="715">
        <f t="shared" si="2"/>
        <v>100</v>
      </c>
      <c r="X14" s="1540"/>
      <c r="Y14" s="3334"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35"/>
      <c r="Q15" s="1537"/>
      <c r="R15" s="714"/>
      <c r="S15" s="715"/>
      <c r="T15" s="714"/>
      <c r="U15" s="715"/>
      <c r="V15" s="714"/>
      <c r="W15" s="715"/>
      <c r="X15" s="1540"/>
      <c r="Y15" s="3335"/>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35"/>
      <c r="Q16" s="1537" t="str">
        <f>B16</f>
        <v>公共配套设施</v>
      </c>
      <c r="R16" s="714" t="s">
        <v>17</v>
      </c>
      <c r="S16" s="715">
        <f>F16</f>
        <v>100</v>
      </c>
      <c r="T16" s="714" t="s">
        <v>17</v>
      </c>
      <c r="U16" s="715">
        <f>H16</f>
        <v>100</v>
      </c>
      <c r="V16" s="714" t="s">
        <v>17</v>
      </c>
      <c r="W16" s="715">
        <f>J16</f>
        <v>100</v>
      </c>
      <c r="X16" s="1540"/>
      <c r="Y16" s="333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35"/>
      <c r="Q17" s="1537"/>
      <c r="R17" s="714"/>
      <c r="S17" s="715"/>
      <c r="T17" s="714"/>
      <c r="U17" s="715"/>
      <c r="V17" s="714"/>
      <c r="W17" s="715"/>
      <c r="X17" s="1540"/>
      <c r="Y17" s="3335"/>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35"/>
      <c r="Q18" s="1537" t="str">
        <f>B18</f>
        <v>基础设施水平</v>
      </c>
      <c r="R18" s="714" t="s">
        <v>17</v>
      </c>
      <c r="S18" s="715">
        <f>F18</f>
        <v>100</v>
      </c>
      <c r="T18" s="714" t="s">
        <v>17</v>
      </c>
      <c r="U18" s="715">
        <f>H18</f>
        <v>100</v>
      </c>
      <c r="V18" s="714" t="s">
        <v>17</v>
      </c>
      <c r="W18" s="715">
        <f>J18</f>
        <v>100</v>
      </c>
      <c r="X18" s="1540"/>
      <c r="Y18" s="3335"/>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35"/>
      <c r="Q19" s="1537"/>
      <c r="R19" s="714"/>
      <c r="S19" s="715"/>
      <c r="T19" s="714"/>
      <c r="U19" s="715"/>
      <c r="V19" s="714"/>
      <c r="W19" s="715"/>
      <c r="X19" s="1540"/>
      <c r="Y19" s="3335"/>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35"/>
      <c r="Q20" s="1537" t="str">
        <f>B20</f>
        <v>自然及人文环境</v>
      </c>
      <c r="R20" s="714" t="s">
        <v>17</v>
      </c>
      <c r="S20" s="715">
        <f>F20</f>
        <v>100</v>
      </c>
      <c r="T20" s="714" t="s">
        <v>17</v>
      </c>
      <c r="U20" s="715">
        <f>H20</f>
        <v>100</v>
      </c>
      <c r="V20" s="714" t="s">
        <v>17</v>
      </c>
      <c r="W20" s="715">
        <f>J20</f>
        <v>100</v>
      </c>
      <c r="X20" s="1540"/>
      <c r="Y20" s="333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35"/>
      <c r="Q21" s="1537"/>
      <c r="R21" s="714"/>
      <c r="S21" s="715"/>
      <c r="T21" s="714"/>
      <c r="U21" s="715"/>
      <c r="V21" s="714"/>
      <c r="W21" s="715"/>
      <c r="X21" s="1540"/>
      <c r="Y21" s="3335"/>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35"/>
      <c r="Q22" s="1537" t="str">
        <f>B22</f>
        <v>楼层</v>
      </c>
      <c r="R22" s="714" t="s">
        <v>17</v>
      </c>
      <c r="S22" s="715">
        <f>F22</f>
        <v>100</v>
      </c>
      <c r="T22" s="714" t="s">
        <v>17</v>
      </c>
      <c r="U22" s="715">
        <f>H22</f>
        <v>100</v>
      </c>
      <c r="V22" s="714" t="s">
        <v>17</v>
      </c>
      <c r="W22" s="715">
        <f>J22</f>
        <v>100</v>
      </c>
      <c r="X22" s="1540"/>
      <c r="Y22" s="333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35"/>
      <c r="Q23" s="1537">
        <f>B23</f>
        <v>111</v>
      </c>
      <c r="R23" s="714" t="s">
        <v>17</v>
      </c>
      <c r="S23" s="715">
        <f>F23</f>
        <v>100</v>
      </c>
      <c r="T23" s="714" t="s">
        <v>17</v>
      </c>
      <c r="U23" s="715">
        <f>H23</f>
        <v>100</v>
      </c>
      <c r="V23" s="714" t="s">
        <v>17</v>
      </c>
      <c r="W23" s="715">
        <f>J23</f>
        <v>100</v>
      </c>
      <c r="X23" s="1540"/>
      <c r="Y23" s="333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35"/>
      <c r="Q24" s="1537">
        <f t="shared" ref="Q24:Q36" si="11">B24</f>
        <v>111</v>
      </c>
      <c r="R24" s="714" t="s">
        <v>17</v>
      </c>
      <c r="S24" s="715">
        <f>F24</f>
        <v>100</v>
      </c>
      <c r="T24" s="714" t="s">
        <v>17</v>
      </c>
      <c r="U24" s="715">
        <f>H24</f>
        <v>100</v>
      </c>
      <c r="V24" s="714" t="s">
        <v>17</v>
      </c>
      <c r="W24" s="715">
        <f>J24</f>
        <v>100</v>
      </c>
      <c r="X24" s="1540"/>
      <c r="Y24" s="333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35"/>
      <c r="Q25" s="1528">
        <f t="shared" si="11"/>
        <v>111</v>
      </c>
      <c r="R25" s="710" t="s">
        <v>17</v>
      </c>
      <c r="S25" s="711">
        <f>F25</f>
        <v>100</v>
      </c>
      <c r="T25" s="710" t="s">
        <v>17</v>
      </c>
      <c r="U25" s="711">
        <f>H25</f>
        <v>100</v>
      </c>
      <c r="V25" s="710" t="s">
        <v>17</v>
      </c>
      <c r="W25" s="711">
        <f>J25</f>
        <v>100</v>
      </c>
      <c r="X25" s="712"/>
      <c r="Y25" s="3335"/>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90"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39"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39"/>
      <c r="Q27" s="716" t="str">
        <f t="shared" si="11"/>
        <v>项目停车位配比</v>
      </c>
      <c r="R27" s="717" t="s">
        <v>17</v>
      </c>
      <c r="S27" s="718">
        <f t="shared" si="12"/>
        <v>100</v>
      </c>
      <c r="T27" s="717" t="s">
        <v>17</v>
      </c>
      <c r="U27" s="718">
        <f t="shared" si="13"/>
        <v>100</v>
      </c>
      <c r="V27" s="717" t="s">
        <v>17</v>
      </c>
      <c r="W27" s="718">
        <f t="shared" si="14"/>
        <v>100</v>
      </c>
      <c r="X27" s="719"/>
      <c r="Y27" s="3339"/>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39"/>
      <c r="Q28" s="1537" t="str">
        <f t="shared" si="11"/>
        <v>公共部分装修</v>
      </c>
      <c r="R28" s="714" t="s">
        <v>17</v>
      </c>
      <c r="S28" s="715">
        <f t="shared" si="12"/>
        <v>100</v>
      </c>
      <c r="T28" s="714" t="s">
        <v>17</v>
      </c>
      <c r="U28" s="715">
        <f t="shared" si="13"/>
        <v>100</v>
      </c>
      <c r="V28" s="714" t="s">
        <v>17</v>
      </c>
      <c r="W28" s="715">
        <f t="shared" si="14"/>
        <v>100</v>
      </c>
      <c r="X28" s="1540"/>
      <c r="Y28" s="3339"/>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39"/>
      <c r="Q29" s="1537" t="str">
        <f t="shared" si="11"/>
        <v>成新率</v>
      </c>
      <c r="R29" s="714" t="s">
        <v>17</v>
      </c>
      <c r="S29" s="715" t="e">
        <f t="shared" si="12"/>
        <v>#N/A</v>
      </c>
      <c r="T29" s="714" t="s">
        <v>17</v>
      </c>
      <c r="U29" s="715" t="e">
        <f t="shared" si="13"/>
        <v>#N/A</v>
      </c>
      <c r="V29" s="714" t="s">
        <v>17</v>
      </c>
      <c r="W29" s="715" t="e">
        <f t="shared" si="14"/>
        <v>#N/A</v>
      </c>
      <c r="X29" s="1540"/>
      <c r="Y29" s="3339"/>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39"/>
      <c r="Q30" s="1537" t="str">
        <f t="shared" si="11"/>
        <v>物业等级</v>
      </c>
      <c r="R30" s="714" t="s">
        <v>17</v>
      </c>
      <c r="S30" s="715">
        <f t="shared" si="12"/>
        <v>100</v>
      </c>
      <c r="T30" s="714" t="s">
        <v>17</v>
      </c>
      <c r="U30" s="715">
        <f t="shared" si="13"/>
        <v>100</v>
      </c>
      <c r="V30" s="714" t="s">
        <v>17</v>
      </c>
      <c r="W30" s="715">
        <f t="shared" si="14"/>
        <v>100</v>
      </c>
      <c r="X30" s="1540"/>
      <c r="Y30" s="3339"/>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39"/>
      <c r="Q31" s="1528" t="str">
        <f t="shared" si="11"/>
        <v>停车位面积</v>
      </c>
      <c r="R31" s="710" t="s">
        <v>17</v>
      </c>
      <c r="S31" s="711" t="e">
        <f t="shared" si="12"/>
        <v>#N/A</v>
      </c>
      <c r="T31" s="710" t="s">
        <v>17</v>
      </c>
      <c r="U31" s="711" t="e">
        <f t="shared" si="13"/>
        <v>#N/A</v>
      </c>
      <c r="V31" s="710" t="s">
        <v>17</v>
      </c>
      <c r="W31" s="711" t="e">
        <f t="shared" si="14"/>
        <v>#N/A</v>
      </c>
      <c r="X31" s="712"/>
      <c r="Y31" s="3339"/>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39" t="s">
        <v>2385</v>
      </c>
      <c r="Q32" s="1537" t="str">
        <f t="shared" si="11"/>
        <v>车位类型</v>
      </c>
      <c r="R32" s="714" t="s">
        <v>17</v>
      </c>
      <c r="S32" s="715">
        <f t="shared" si="12"/>
        <v>100</v>
      </c>
      <c r="T32" s="714" t="s">
        <v>17</v>
      </c>
      <c r="U32" s="715">
        <f t="shared" si="13"/>
        <v>100</v>
      </c>
      <c r="V32" s="714" t="s">
        <v>17</v>
      </c>
      <c r="W32" s="715">
        <f t="shared" si="14"/>
        <v>100</v>
      </c>
      <c r="X32" s="1540"/>
      <c r="Y32" s="3339"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39"/>
      <c r="Q33" s="1537" t="str">
        <f t="shared" si="11"/>
        <v>是否直接入户</v>
      </c>
      <c r="R33" s="714" t="s">
        <v>17</v>
      </c>
      <c r="S33" s="715">
        <f t="shared" si="12"/>
        <v>100</v>
      </c>
      <c r="T33" s="714" t="s">
        <v>17</v>
      </c>
      <c r="U33" s="715">
        <f t="shared" si="13"/>
        <v>100</v>
      </c>
      <c r="V33" s="714" t="s">
        <v>17</v>
      </c>
      <c r="W33" s="715">
        <f t="shared" si="14"/>
        <v>100</v>
      </c>
      <c r="X33" s="1540"/>
      <c r="Y33" s="333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39"/>
      <c r="Q34" s="1537">
        <f t="shared" si="11"/>
        <v>111</v>
      </c>
      <c r="R34" s="714" t="s">
        <v>17</v>
      </c>
      <c r="S34" s="715">
        <f t="shared" si="12"/>
        <v>100</v>
      </c>
      <c r="T34" s="714" t="s">
        <v>17</v>
      </c>
      <c r="U34" s="715">
        <f t="shared" si="13"/>
        <v>100</v>
      </c>
      <c r="V34" s="714" t="s">
        <v>17</v>
      </c>
      <c r="W34" s="715">
        <f t="shared" si="14"/>
        <v>100</v>
      </c>
      <c r="X34" s="1540"/>
      <c r="Y34" s="333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39"/>
      <c r="Q35" s="716">
        <f t="shared" si="11"/>
        <v>111</v>
      </c>
      <c r="R35" s="717" t="s">
        <v>17</v>
      </c>
      <c r="S35" s="718">
        <f t="shared" si="12"/>
        <v>100</v>
      </c>
      <c r="T35" s="717" t="s">
        <v>17</v>
      </c>
      <c r="U35" s="718">
        <f t="shared" si="13"/>
        <v>100</v>
      </c>
      <c r="V35" s="717" t="s">
        <v>17</v>
      </c>
      <c r="W35" s="718">
        <f t="shared" si="14"/>
        <v>100</v>
      </c>
      <c r="X35" s="719"/>
      <c r="Y35" s="333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39"/>
      <c r="Q36" s="1537">
        <f t="shared" si="11"/>
        <v>111</v>
      </c>
      <c r="R36" s="714" t="s">
        <v>17</v>
      </c>
      <c r="S36" s="715">
        <f t="shared" si="12"/>
        <v>100</v>
      </c>
      <c r="T36" s="714" t="s">
        <v>17</v>
      </c>
      <c r="U36" s="715">
        <f t="shared" si="13"/>
        <v>100</v>
      </c>
      <c r="V36" s="714" t="s">
        <v>17</v>
      </c>
      <c r="W36" s="715">
        <f t="shared" si="14"/>
        <v>100</v>
      </c>
      <c r="X36" s="1540"/>
      <c r="Y36" s="3339"/>
      <c r="Z36" s="1541">
        <f t="shared" si="15"/>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32" t="str">
        <f>A37</f>
        <v>成交单价</v>
      </c>
      <c r="Q37" s="3332"/>
      <c r="R37" s="3333">
        <f>E37</f>
        <v>0</v>
      </c>
      <c r="S37" s="3333"/>
      <c r="T37" s="3333">
        <f>G37</f>
        <v>0</v>
      </c>
      <c r="U37" s="3333"/>
      <c r="V37" s="3333">
        <f>I37</f>
        <v>0</v>
      </c>
      <c r="W37" s="3333"/>
      <c r="X37" s="699"/>
      <c r="Y37" s="721"/>
      <c r="Z37" s="699"/>
      <c r="AA37" s="699"/>
      <c r="AB37" s="699"/>
      <c r="AC37" s="699"/>
    </row>
    <row r="38" spans="1:29" ht="15.7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32" t="str">
        <f>A38</f>
        <v>比较价值（元/平方米）</v>
      </c>
      <c r="Q38" s="3332"/>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29" t="str">
        <f>A39</f>
        <v>估价对象XX用房的比较价值（楼面单价，元/平方米）</v>
      </c>
      <c r="Q39" s="3330"/>
      <c r="R39" s="3391" t="e">
        <f>IF(F1="售价",ROUND(IF(D38="简单平均",AVERAGE(R38:W38),R38*F38+T38*H38+V38*J38),0),ROUND(IF(D38="简单平均",AVERAGE(R38:V38),R38*F38+T38*H38+V38*J38),1))</f>
        <v>#DIV/0!</v>
      </c>
      <c r="S39" s="3391"/>
      <c r="T39" s="3391"/>
      <c r="U39" s="3391"/>
      <c r="V39" s="3391"/>
      <c r="W39" s="3391"/>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47" t="s">
        <v>2466</v>
      </c>
      <c r="D4" s="3348"/>
      <c r="E4" s="3349" t="s">
        <v>2467</v>
      </c>
      <c r="F4" s="3350"/>
      <c r="G4" s="3347" t="s">
        <v>2468</v>
      </c>
      <c r="H4" s="3348"/>
      <c r="I4" s="3347" t="s">
        <v>2469</v>
      </c>
      <c r="J4" s="3348"/>
      <c r="K4" s="567" t="s">
        <v>2470</v>
      </c>
      <c r="L4" s="2945"/>
      <c r="M4" s="2946"/>
      <c r="N4" s="2946"/>
      <c r="O4" s="2946"/>
      <c r="P4" s="3351" t="s">
        <v>2471</v>
      </c>
      <c r="Q4" s="3352"/>
      <c r="R4" s="3357" t="s">
        <v>2467</v>
      </c>
      <c r="S4" s="3358"/>
      <c r="T4" s="3357" t="s">
        <v>2468</v>
      </c>
      <c r="U4" s="3358"/>
      <c r="V4" s="3363" t="s">
        <v>2469</v>
      </c>
      <c r="W4" s="3363"/>
      <c r="X4" s="1540"/>
      <c r="Y4" s="3357" t="s">
        <v>2471</v>
      </c>
      <c r="Z4" s="3358"/>
      <c r="AA4" s="3344" t="s">
        <v>2467</v>
      </c>
      <c r="AB4" s="3345" t="s">
        <v>2468</v>
      </c>
      <c r="AC4" s="3344" t="s">
        <v>2469</v>
      </c>
    </row>
    <row r="5" spans="1:29" ht="15">
      <c r="A5" s="364"/>
      <c r="B5" s="365"/>
      <c r="C5" s="3366" t="s">
        <v>2362</v>
      </c>
      <c r="D5" s="3367"/>
      <c r="E5" s="3373" t="s">
        <v>2363</v>
      </c>
      <c r="F5" s="3374"/>
      <c r="G5" s="3366" t="s">
        <v>2364</v>
      </c>
      <c r="H5" s="3367"/>
      <c r="I5" s="3366" t="s">
        <v>2365</v>
      </c>
      <c r="J5" s="3367"/>
      <c r="K5" s="567"/>
      <c r="L5" s="2945"/>
      <c r="M5" s="2946"/>
      <c r="N5" s="2946"/>
      <c r="O5" s="2946"/>
      <c r="P5" s="3353"/>
      <c r="Q5" s="3354"/>
      <c r="R5" s="3359"/>
      <c r="S5" s="3360"/>
      <c r="T5" s="3359"/>
      <c r="U5" s="3360"/>
      <c r="V5" s="3363"/>
      <c r="W5" s="3363"/>
      <c r="X5" s="1540"/>
      <c r="Y5" s="3359"/>
      <c r="Z5" s="3360"/>
      <c r="AA5" s="3345"/>
      <c r="AB5" s="3345"/>
      <c r="AC5" s="3345"/>
    </row>
    <row r="6" spans="1:29" ht="15.75" thickBot="1">
      <c r="A6" s="366"/>
      <c r="B6" s="367"/>
      <c r="C6" s="3364" t="s">
        <v>2366</v>
      </c>
      <c r="D6" s="3365"/>
      <c r="E6" s="3371" t="s">
        <v>2366</v>
      </c>
      <c r="F6" s="3372"/>
      <c r="G6" s="3364" t="s">
        <v>2366</v>
      </c>
      <c r="H6" s="3365"/>
      <c r="I6" s="3364" t="s">
        <v>2366</v>
      </c>
      <c r="J6" s="3365"/>
      <c r="K6" s="567" t="s">
        <v>2367</v>
      </c>
      <c r="L6" s="2945"/>
      <c r="M6" s="2946"/>
      <c r="N6" s="2946"/>
      <c r="O6" s="2946"/>
      <c r="P6" s="3355"/>
      <c r="Q6" s="3356"/>
      <c r="R6" s="3359"/>
      <c r="S6" s="3360"/>
      <c r="T6" s="3361"/>
      <c r="U6" s="3362"/>
      <c r="V6" s="3363"/>
      <c r="W6" s="3363"/>
      <c r="X6" s="1540"/>
      <c r="Y6" s="3361"/>
      <c r="Z6" s="3362"/>
      <c r="AA6" s="3346"/>
      <c r="AB6" s="3346"/>
      <c r="AC6" s="3346"/>
    </row>
    <row r="7" spans="1:29" s="113" customFormat="1" ht="15.75" thickBot="1">
      <c r="A7" s="368" t="s">
        <v>2368</v>
      </c>
      <c r="B7" s="369"/>
      <c r="C7" s="370">
        <f>'数据-取费表'!B2</f>
        <v>44249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68" t="s">
        <v>2369</v>
      </c>
      <c r="Q7" s="3370"/>
      <c r="R7" s="710" t="s">
        <v>17</v>
      </c>
      <c r="S7" s="711">
        <f t="shared" ref="S7:S14" si="0">F7</f>
        <v>0</v>
      </c>
      <c r="T7" s="710" t="s">
        <v>17</v>
      </c>
      <c r="U7" s="711">
        <f t="shared" ref="U7:U14" si="1">H7</f>
        <v>0</v>
      </c>
      <c r="V7" s="710" t="s">
        <v>17</v>
      </c>
      <c r="W7" s="711">
        <f t="shared" ref="W7:W14" si="2">J7</f>
        <v>0</v>
      </c>
      <c r="X7" s="712"/>
      <c r="Y7" s="3368" t="s">
        <v>2369</v>
      </c>
      <c r="Z7" s="336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68" t="s">
        <v>2372</v>
      </c>
      <c r="Q8" s="3369"/>
      <c r="R8" s="710" t="s">
        <v>17</v>
      </c>
      <c r="S8" s="711">
        <f t="shared" si="0"/>
        <v>0</v>
      </c>
      <c r="T8" s="710" t="s">
        <v>17</v>
      </c>
      <c r="U8" s="711">
        <f t="shared" si="1"/>
        <v>0</v>
      </c>
      <c r="V8" s="710" t="s">
        <v>17</v>
      </c>
      <c r="W8" s="711">
        <f t="shared" si="2"/>
        <v>0</v>
      </c>
      <c r="X8" s="712"/>
      <c r="Y8" s="3368" t="s">
        <v>2372</v>
      </c>
      <c r="Z8" s="336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32" t="s">
        <v>2375</v>
      </c>
      <c r="Q9" s="1528" t="str">
        <f t="shared" ref="Q9:Q14" si="6">B9</f>
        <v>用途</v>
      </c>
      <c r="R9" s="710" t="s">
        <v>17</v>
      </c>
      <c r="S9" s="711">
        <f t="shared" si="0"/>
        <v>100</v>
      </c>
      <c r="T9" s="710" t="s">
        <v>17</v>
      </c>
      <c r="U9" s="711">
        <f t="shared" si="1"/>
        <v>100</v>
      </c>
      <c r="V9" s="710" t="s">
        <v>17</v>
      </c>
      <c r="W9" s="711">
        <f t="shared" si="2"/>
        <v>100</v>
      </c>
      <c r="X9" s="712"/>
      <c r="Y9" s="3202"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32"/>
      <c r="Q10" s="1528" t="str">
        <f t="shared" si="6"/>
        <v>土地使用年限（年）</v>
      </c>
      <c r="R10" s="710" t="s">
        <v>17</v>
      </c>
      <c r="S10" s="711">
        <f t="shared" si="0"/>
        <v>100</v>
      </c>
      <c r="T10" s="710" t="s">
        <v>17</v>
      </c>
      <c r="U10" s="711">
        <f t="shared" si="1"/>
        <v>100</v>
      </c>
      <c r="V10" s="710" t="s">
        <v>17</v>
      </c>
      <c r="W10" s="711">
        <f t="shared" si="2"/>
        <v>100</v>
      </c>
      <c r="X10" s="712"/>
      <c r="Y10" s="3202"/>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32"/>
      <c r="Q11" s="1528">
        <f t="shared" si="6"/>
        <v>111</v>
      </c>
      <c r="R11" s="710" t="s">
        <v>17</v>
      </c>
      <c r="S11" s="711">
        <f t="shared" si="0"/>
        <v>100</v>
      </c>
      <c r="T11" s="710" t="s">
        <v>17</v>
      </c>
      <c r="U11" s="711">
        <f t="shared" si="1"/>
        <v>100</v>
      </c>
      <c r="V11" s="710" t="s">
        <v>17</v>
      </c>
      <c r="W11" s="711">
        <f t="shared" si="2"/>
        <v>100</v>
      </c>
      <c r="X11" s="712"/>
      <c r="Y11" s="3202"/>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32"/>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32"/>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34" t="s">
        <v>2380</v>
      </c>
      <c r="Q14" s="1537" t="str">
        <f t="shared" si="6"/>
        <v>交通便捷度</v>
      </c>
      <c r="R14" s="714" t="s">
        <v>17</v>
      </c>
      <c r="S14" s="715">
        <f t="shared" si="0"/>
        <v>100</v>
      </c>
      <c r="T14" s="714" t="s">
        <v>17</v>
      </c>
      <c r="U14" s="715">
        <f t="shared" si="1"/>
        <v>100</v>
      </c>
      <c r="V14" s="714" t="s">
        <v>17</v>
      </c>
      <c r="W14" s="715">
        <f t="shared" si="2"/>
        <v>100</v>
      </c>
      <c r="X14" s="1540"/>
      <c r="Y14" s="3334"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35"/>
      <c r="Q15" s="1537"/>
      <c r="R15" s="714"/>
      <c r="S15" s="715"/>
      <c r="T15" s="714"/>
      <c r="U15" s="715"/>
      <c r="V15" s="714"/>
      <c r="W15" s="715"/>
      <c r="X15" s="1540"/>
      <c r="Y15" s="3335"/>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35"/>
      <c r="Q16" s="1537" t="str">
        <f>B16</f>
        <v>公共配套设施</v>
      </c>
      <c r="R16" s="714" t="s">
        <v>17</v>
      </c>
      <c r="S16" s="715">
        <f>F16</f>
        <v>100</v>
      </c>
      <c r="T16" s="714" t="s">
        <v>17</v>
      </c>
      <c r="U16" s="715">
        <f>H16</f>
        <v>100</v>
      </c>
      <c r="V16" s="714" t="s">
        <v>17</v>
      </c>
      <c r="W16" s="715">
        <f>J16</f>
        <v>100</v>
      </c>
      <c r="X16" s="1540"/>
      <c r="Y16" s="333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35"/>
      <c r="Q17" s="1537"/>
      <c r="R17" s="714"/>
      <c r="S17" s="715"/>
      <c r="T17" s="714"/>
      <c r="U17" s="715"/>
      <c r="V17" s="714"/>
      <c r="W17" s="715"/>
      <c r="X17" s="1540"/>
      <c r="Y17" s="3335"/>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35"/>
      <c r="Q18" s="1537" t="str">
        <f>B18</f>
        <v>基础设施水平</v>
      </c>
      <c r="R18" s="714" t="s">
        <v>17</v>
      </c>
      <c r="S18" s="715">
        <f>F18</f>
        <v>100</v>
      </c>
      <c r="T18" s="714" t="s">
        <v>17</v>
      </c>
      <c r="U18" s="715">
        <f>H18</f>
        <v>100</v>
      </c>
      <c r="V18" s="714" t="s">
        <v>17</v>
      </c>
      <c r="W18" s="715">
        <f>J18</f>
        <v>100</v>
      </c>
      <c r="X18" s="1540"/>
      <c r="Y18" s="3335"/>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35"/>
      <c r="Q19" s="1537"/>
      <c r="R19" s="714"/>
      <c r="S19" s="715"/>
      <c r="T19" s="714"/>
      <c r="U19" s="715"/>
      <c r="V19" s="714"/>
      <c r="W19" s="715"/>
      <c r="X19" s="1540"/>
      <c r="Y19" s="3335"/>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35"/>
      <c r="Q20" s="1537" t="str">
        <f>B20</f>
        <v>自然及人文环境</v>
      </c>
      <c r="R20" s="714" t="s">
        <v>17</v>
      </c>
      <c r="S20" s="715">
        <f>F20</f>
        <v>100</v>
      </c>
      <c r="T20" s="714" t="s">
        <v>17</v>
      </c>
      <c r="U20" s="715">
        <f>H20</f>
        <v>100</v>
      </c>
      <c r="V20" s="714" t="s">
        <v>17</v>
      </c>
      <c r="W20" s="715">
        <f>J20</f>
        <v>100</v>
      </c>
      <c r="X20" s="1540"/>
      <c r="Y20" s="333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35"/>
      <c r="Q21" s="1537"/>
      <c r="R21" s="714"/>
      <c r="S21" s="715"/>
      <c r="T21" s="714"/>
      <c r="U21" s="715"/>
      <c r="V21" s="714"/>
      <c r="W21" s="715"/>
      <c r="X21" s="1540"/>
      <c r="Y21" s="3335"/>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35"/>
      <c r="Q22" s="1537" t="str">
        <f>B22</f>
        <v>楼层</v>
      </c>
      <c r="R22" s="714" t="s">
        <v>17</v>
      </c>
      <c r="S22" s="715">
        <f>F22</f>
        <v>100</v>
      </c>
      <c r="T22" s="714" t="s">
        <v>17</v>
      </c>
      <c r="U22" s="715">
        <f>H22</f>
        <v>100</v>
      </c>
      <c r="V22" s="714" t="s">
        <v>17</v>
      </c>
      <c r="W22" s="715">
        <f>J22</f>
        <v>100</v>
      </c>
      <c r="X22" s="1540"/>
      <c r="Y22" s="333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35"/>
      <c r="Q23" s="1537">
        <f>B23</f>
        <v>111</v>
      </c>
      <c r="R23" s="714" t="s">
        <v>17</v>
      </c>
      <c r="S23" s="715">
        <f>F23</f>
        <v>100</v>
      </c>
      <c r="T23" s="714" t="s">
        <v>17</v>
      </c>
      <c r="U23" s="715">
        <f>H23</f>
        <v>100</v>
      </c>
      <c r="V23" s="714" t="s">
        <v>17</v>
      </c>
      <c r="W23" s="715">
        <f>J23</f>
        <v>100</v>
      </c>
      <c r="X23" s="1540"/>
      <c r="Y23" s="333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35"/>
      <c r="Q24" s="1537">
        <f t="shared" ref="Q24:Q34" si="11">B24</f>
        <v>111</v>
      </c>
      <c r="R24" s="714" t="s">
        <v>17</v>
      </c>
      <c r="S24" s="715">
        <f>F24</f>
        <v>100</v>
      </c>
      <c r="T24" s="714" t="s">
        <v>17</v>
      </c>
      <c r="U24" s="715">
        <f>H24</f>
        <v>100</v>
      </c>
      <c r="V24" s="714" t="s">
        <v>17</v>
      </c>
      <c r="W24" s="715">
        <f>J24</f>
        <v>100</v>
      </c>
      <c r="X24" s="1540"/>
      <c r="Y24" s="333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35"/>
      <c r="Q25" s="1528">
        <f t="shared" si="11"/>
        <v>111</v>
      </c>
      <c r="R25" s="710" t="s">
        <v>17</v>
      </c>
      <c r="S25" s="711">
        <f>F25</f>
        <v>100</v>
      </c>
      <c r="T25" s="710" t="s">
        <v>17</v>
      </c>
      <c r="U25" s="711">
        <f>H25</f>
        <v>100</v>
      </c>
      <c r="V25" s="710" t="s">
        <v>17</v>
      </c>
      <c r="W25" s="711">
        <f>J25</f>
        <v>100</v>
      </c>
      <c r="X25" s="712"/>
      <c r="Y25" s="3335"/>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90"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39"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39"/>
      <c r="Q27" s="716" t="str">
        <f t="shared" si="11"/>
        <v>成新率</v>
      </c>
      <c r="R27" s="717" t="s">
        <v>17</v>
      </c>
      <c r="S27" s="718" t="e">
        <f t="shared" si="12"/>
        <v>#N/A</v>
      </c>
      <c r="T27" s="717" t="s">
        <v>17</v>
      </c>
      <c r="U27" s="718" t="e">
        <f t="shared" si="13"/>
        <v>#N/A</v>
      </c>
      <c r="V27" s="717" t="s">
        <v>17</v>
      </c>
      <c r="W27" s="718" t="e">
        <f t="shared" si="14"/>
        <v>#N/A</v>
      </c>
      <c r="X27" s="719"/>
      <c r="Y27" s="3339"/>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39"/>
      <c r="Q28" s="1537" t="str">
        <f t="shared" si="11"/>
        <v>物业等级</v>
      </c>
      <c r="R28" s="714" t="s">
        <v>17</v>
      </c>
      <c r="S28" s="715">
        <f t="shared" si="12"/>
        <v>100</v>
      </c>
      <c r="T28" s="714" t="s">
        <v>17</v>
      </c>
      <c r="U28" s="715">
        <f t="shared" si="13"/>
        <v>100</v>
      </c>
      <c r="V28" s="714" t="s">
        <v>17</v>
      </c>
      <c r="W28" s="715">
        <f t="shared" si="14"/>
        <v>100</v>
      </c>
      <c r="X28" s="1540"/>
      <c r="Y28" s="3339"/>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39"/>
      <c r="Q29" s="1537" t="str">
        <f t="shared" si="11"/>
        <v>有无电梯</v>
      </c>
      <c r="R29" s="714" t="s">
        <v>17</v>
      </c>
      <c r="S29" s="715">
        <f t="shared" si="12"/>
        <v>100</v>
      </c>
      <c r="T29" s="714" t="s">
        <v>17</v>
      </c>
      <c r="U29" s="715">
        <f t="shared" si="13"/>
        <v>100</v>
      </c>
      <c r="V29" s="714" t="s">
        <v>17</v>
      </c>
      <c r="W29" s="715">
        <f t="shared" si="14"/>
        <v>100</v>
      </c>
      <c r="X29" s="1540"/>
      <c r="Y29" s="3339"/>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39"/>
      <c r="Q30" s="1537" t="str">
        <f t="shared" si="11"/>
        <v>建筑面积</v>
      </c>
      <c r="R30" s="714" t="s">
        <v>17</v>
      </c>
      <c r="S30" s="715" t="e">
        <f t="shared" si="12"/>
        <v>#N/A</v>
      </c>
      <c r="T30" s="714" t="s">
        <v>17</v>
      </c>
      <c r="U30" s="715" t="e">
        <f t="shared" si="13"/>
        <v>#N/A</v>
      </c>
      <c r="V30" s="714" t="s">
        <v>17</v>
      </c>
      <c r="W30" s="715" t="e">
        <f t="shared" si="14"/>
        <v>#N/A</v>
      </c>
      <c r="X30" s="1540"/>
      <c r="Y30" s="3339"/>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39"/>
      <c r="Q31" s="1528" t="str">
        <f t="shared" si="11"/>
        <v>是否封闭</v>
      </c>
      <c r="R31" s="710" t="s">
        <v>17</v>
      </c>
      <c r="S31" s="711">
        <f t="shared" si="12"/>
        <v>100</v>
      </c>
      <c r="T31" s="710" t="s">
        <v>17</v>
      </c>
      <c r="U31" s="711">
        <f t="shared" si="13"/>
        <v>100</v>
      </c>
      <c r="V31" s="710" t="s">
        <v>17</v>
      </c>
      <c r="W31" s="711">
        <f t="shared" si="14"/>
        <v>100</v>
      </c>
      <c r="X31" s="712"/>
      <c r="Y31" s="3339"/>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39" t="s">
        <v>2385</v>
      </c>
      <c r="Q32" s="1537">
        <f t="shared" si="11"/>
        <v>111</v>
      </c>
      <c r="R32" s="714" t="s">
        <v>17</v>
      </c>
      <c r="S32" s="715">
        <f t="shared" si="12"/>
        <v>100</v>
      </c>
      <c r="T32" s="714" t="s">
        <v>17</v>
      </c>
      <c r="U32" s="715">
        <f t="shared" si="13"/>
        <v>100</v>
      </c>
      <c r="V32" s="714" t="s">
        <v>17</v>
      </c>
      <c r="W32" s="715">
        <f t="shared" si="14"/>
        <v>100</v>
      </c>
      <c r="X32" s="1540"/>
      <c r="Y32" s="3339"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39"/>
      <c r="Q33" s="1537">
        <f t="shared" si="11"/>
        <v>111</v>
      </c>
      <c r="R33" s="714" t="s">
        <v>17</v>
      </c>
      <c r="S33" s="715">
        <f t="shared" si="12"/>
        <v>100</v>
      </c>
      <c r="T33" s="714" t="s">
        <v>17</v>
      </c>
      <c r="U33" s="715">
        <f t="shared" si="13"/>
        <v>100</v>
      </c>
      <c r="V33" s="714" t="s">
        <v>17</v>
      </c>
      <c r="W33" s="715">
        <f t="shared" si="14"/>
        <v>100</v>
      </c>
      <c r="X33" s="1540"/>
      <c r="Y33" s="3339"/>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39"/>
      <c r="Q34" s="1537">
        <f t="shared" si="11"/>
        <v>111</v>
      </c>
      <c r="R34" s="714" t="s">
        <v>17</v>
      </c>
      <c r="S34" s="715">
        <f t="shared" si="12"/>
        <v>100</v>
      </c>
      <c r="T34" s="714" t="s">
        <v>17</v>
      </c>
      <c r="U34" s="715">
        <f t="shared" si="13"/>
        <v>100</v>
      </c>
      <c r="V34" s="714" t="s">
        <v>17</v>
      </c>
      <c r="W34" s="715">
        <f t="shared" si="14"/>
        <v>100</v>
      </c>
      <c r="X34" s="1540"/>
      <c r="Y34" s="3339"/>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32" t="str">
        <f>A35</f>
        <v>成交单价（元/平方米）</v>
      </c>
      <c r="Q35" s="3332"/>
      <c r="R35" s="3333">
        <f>E35</f>
        <v>0</v>
      </c>
      <c r="S35" s="3333"/>
      <c r="T35" s="3333">
        <f>G35</f>
        <v>0</v>
      </c>
      <c r="U35" s="3333"/>
      <c r="V35" s="3333">
        <f>I35</f>
        <v>0</v>
      </c>
      <c r="W35" s="3333"/>
      <c r="X35" s="699"/>
      <c r="Y35" s="721"/>
      <c r="Z35" s="699"/>
      <c r="AA35" s="699"/>
      <c r="AB35" s="699"/>
      <c r="AC35" s="699"/>
    </row>
    <row r="36" spans="1:30" ht="15.7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32" t="str">
        <f>A36</f>
        <v>比较价值（元/平方米）</v>
      </c>
      <c r="Q36" s="3332"/>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29" t="str">
        <f>A37</f>
        <v>估价对象XX用房的比较价值（楼面单价，元/平方米）</v>
      </c>
      <c r="Q37" s="3330"/>
      <c r="R37" s="3391" t="e">
        <f>IF(F1="售价",ROUND(IF(D36="简单平均",AVERAGE(R36:W36),R36*F36+T36*H36+V36*J36),0),ROUND(IF(D36="简单平均",AVERAGE(R36:V36),R36*F36+T36*H36+V36*J36),1))</f>
        <v>#DIV/0!</v>
      </c>
      <c r="S37" s="3391"/>
      <c r="T37" s="3391"/>
      <c r="U37" s="3391"/>
      <c r="V37" s="3391"/>
      <c r="W37" s="3391"/>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347" t="s">
        <v>2466</v>
      </c>
      <c r="D4" s="3348"/>
      <c r="E4" s="3349" t="s">
        <v>2467</v>
      </c>
      <c r="F4" s="3350"/>
      <c r="G4" s="3347" t="s">
        <v>2468</v>
      </c>
      <c r="H4" s="3348"/>
      <c r="I4" s="3347" t="s">
        <v>2469</v>
      </c>
      <c r="J4" s="3348"/>
      <c r="K4" s="567" t="s">
        <v>2470</v>
      </c>
      <c r="L4" s="2945"/>
      <c r="M4" s="2946"/>
      <c r="N4" s="2946"/>
      <c r="O4" s="2946"/>
      <c r="P4" s="3351" t="s">
        <v>2471</v>
      </c>
      <c r="Q4" s="3352"/>
      <c r="R4" s="3357" t="s">
        <v>2467</v>
      </c>
      <c r="S4" s="3358"/>
      <c r="T4" s="3357" t="s">
        <v>2468</v>
      </c>
      <c r="U4" s="3358"/>
      <c r="V4" s="3363" t="s">
        <v>2469</v>
      </c>
      <c r="W4" s="3363"/>
      <c r="X4" s="1540"/>
      <c r="Y4" s="3357" t="s">
        <v>2471</v>
      </c>
      <c r="Z4" s="3358"/>
      <c r="AA4" s="3344" t="s">
        <v>2467</v>
      </c>
      <c r="AB4" s="3345" t="s">
        <v>2468</v>
      </c>
      <c r="AC4" s="3344" t="s">
        <v>2469</v>
      </c>
    </row>
    <row r="5" spans="1:30" ht="15">
      <c r="A5" s="364"/>
      <c r="B5" s="365"/>
      <c r="C5" s="3366" t="s">
        <v>2362</v>
      </c>
      <c r="D5" s="3367"/>
      <c r="E5" s="3373" t="s">
        <v>2363</v>
      </c>
      <c r="F5" s="3374"/>
      <c r="G5" s="3366" t="s">
        <v>2364</v>
      </c>
      <c r="H5" s="3367"/>
      <c r="I5" s="3366" t="s">
        <v>2365</v>
      </c>
      <c r="J5" s="3367"/>
      <c r="K5" s="567"/>
      <c r="L5" s="2945"/>
      <c r="M5" s="2946"/>
      <c r="N5" s="2946"/>
      <c r="O5" s="2946"/>
      <c r="P5" s="3353"/>
      <c r="Q5" s="3354"/>
      <c r="R5" s="3359"/>
      <c r="S5" s="3360"/>
      <c r="T5" s="3359"/>
      <c r="U5" s="3360"/>
      <c r="V5" s="3363"/>
      <c r="W5" s="3363"/>
      <c r="X5" s="1540"/>
      <c r="Y5" s="3359"/>
      <c r="Z5" s="3360"/>
      <c r="AA5" s="3345"/>
      <c r="AB5" s="3345"/>
      <c r="AC5" s="3345"/>
    </row>
    <row r="6" spans="1:30" ht="15.75" thickBot="1">
      <c r="A6" s="366"/>
      <c r="B6" s="367"/>
      <c r="C6" s="3364" t="s">
        <v>2366</v>
      </c>
      <c r="D6" s="3365"/>
      <c r="E6" s="3371" t="s">
        <v>2366</v>
      </c>
      <c r="F6" s="3372"/>
      <c r="G6" s="3364" t="s">
        <v>2366</v>
      </c>
      <c r="H6" s="3365"/>
      <c r="I6" s="3364" t="s">
        <v>2366</v>
      </c>
      <c r="J6" s="3365"/>
      <c r="K6" s="567" t="s">
        <v>2367</v>
      </c>
      <c r="L6" s="2945"/>
      <c r="M6" s="2946"/>
      <c r="N6" s="2946"/>
      <c r="O6" s="2946"/>
      <c r="P6" s="3355"/>
      <c r="Q6" s="3356"/>
      <c r="R6" s="3359"/>
      <c r="S6" s="3360"/>
      <c r="T6" s="3361"/>
      <c r="U6" s="3362"/>
      <c r="V6" s="3363"/>
      <c r="W6" s="3363"/>
      <c r="X6" s="1540"/>
      <c r="Y6" s="3361"/>
      <c r="Z6" s="3362"/>
      <c r="AA6" s="3346"/>
      <c r="AB6" s="3346"/>
      <c r="AC6" s="3346"/>
    </row>
    <row r="7" spans="1:30" s="113" customFormat="1" ht="15.75" thickBot="1">
      <c r="A7" s="368" t="s">
        <v>2368</v>
      </c>
      <c r="B7" s="369"/>
      <c r="C7" s="370">
        <f>'数据-取费表'!B2</f>
        <v>44249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68" t="s">
        <v>2369</v>
      </c>
      <c r="Q7" s="3370"/>
      <c r="R7" s="710" t="s">
        <v>17</v>
      </c>
      <c r="S7" s="711">
        <f t="shared" ref="S7:S15" si="0">F7</f>
        <v>0</v>
      </c>
      <c r="T7" s="710" t="s">
        <v>17</v>
      </c>
      <c r="U7" s="711">
        <f t="shared" ref="U7:U15" si="1">H7</f>
        <v>0</v>
      </c>
      <c r="V7" s="710" t="s">
        <v>17</v>
      </c>
      <c r="W7" s="711">
        <f t="shared" ref="W7:W15" si="2">J7</f>
        <v>0</v>
      </c>
      <c r="X7" s="712"/>
      <c r="Y7" s="3368" t="s">
        <v>2369</v>
      </c>
      <c r="Z7" s="336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68" t="s">
        <v>2372</v>
      </c>
      <c r="Q8" s="3369"/>
      <c r="R8" s="710" t="s">
        <v>17</v>
      </c>
      <c r="S8" s="711">
        <f t="shared" si="0"/>
        <v>0</v>
      </c>
      <c r="T8" s="710" t="s">
        <v>17</v>
      </c>
      <c r="U8" s="711">
        <f t="shared" si="1"/>
        <v>0</v>
      </c>
      <c r="V8" s="710" t="s">
        <v>17</v>
      </c>
      <c r="W8" s="711">
        <f t="shared" si="2"/>
        <v>0</v>
      </c>
      <c r="X8" s="712"/>
      <c r="Y8" s="3368" t="s">
        <v>2372</v>
      </c>
      <c r="Z8" s="3369"/>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32"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32"/>
      <c r="Q10" s="1528" t="str">
        <f t="shared" si="6"/>
        <v>土地使用年限（年）</v>
      </c>
      <c r="R10" s="710" t="s">
        <v>17</v>
      </c>
      <c r="S10" s="711">
        <f t="shared" si="0"/>
        <v>103</v>
      </c>
      <c r="T10" s="710" t="s">
        <v>17</v>
      </c>
      <c r="U10" s="711">
        <f t="shared" si="1"/>
        <v>103</v>
      </c>
      <c r="V10" s="710" t="s">
        <v>17</v>
      </c>
      <c r="W10" s="711">
        <f t="shared" si="2"/>
        <v>103</v>
      </c>
      <c r="X10" s="712"/>
      <c r="Y10" s="3202"/>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32"/>
      <c r="Q11" s="1528" t="str">
        <f t="shared" si="6"/>
        <v>容积率</v>
      </c>
      <c r="R11" s="710" t="s">
        <v>17</v>
      </c>
      <c r="S11" s="711" t="e">
        <f t="shared" si="0"/>
        <v>#N/A</v>
      </c>
      <c r="T11" s="710" t="s">
        <v>17</v>
      </c>
      <c r="U11" s="711" t="e">
        <f t="shared" si="1"/>
        <v>#N/A</v>
      </c>
      <c r="V11" s="710" t="s">
        <v>17</v>
      </c>
      <c r="W11" s="711" t="e">
        <f t="shared" si="2"/>
        <v>#N/A</v>
      </c>
      <c r="X11" s="712"/>
      <c r="Y11" s="3202"/>
      <c r="Z11" s="55" t="str">
        <f t="shared" si="7"/>
        <v>容积率</v>
      </c>
      <c r="AA11" s="713" t="e">
        <f t="shared" si="3"/>
        <v>#N/A</v>
      </c>
      <c r="AB11" s="713" t="e">
        <f t="shared" si="4"/>
        <v>#N/A</v>
      </c>
      <c r="AC11" s="713" t="e">
        <f t="shared" si="5"/>
        <v>#N/A</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32"/>
      <c r="Q12" s="1528" t="str">
        <f t="shared" si="6"/>
        <v>配建</v>
      </c>
      <c r="R12" s="710" t="s">
        <v>17</v>
      </c>
      <c r="S12" s="711">
        <f t="shared" si="0"/>
        <v>100</v>
      </c>
      <c r="T12" s="710" t="s">
        <v>17</v>
      </c>
      <c r="U12" s="711">
        <f t="shared" si="1"/>
        <v>100</v>
      </c>
      <c r="V12" s="710" t="s">
        <v>17</v>
      </c>
      <c r="W12" s="711">
        <f t="shared" si="2"/>
        <v>100</v>
      </c>
      <c r="X12" s="712"/>
      <c r="Y12" s="3202"/>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32"/>
      <c r="Q13" s="1528">
        <f t="shared" si="6"/>
        <v>111</v>
      </c>
      <c r="R13" s="710" t="s">
        <v>17</v>
      </c>
      <c r="S13" s="711">
        <f t="shared" si="0"/>
        <v>100</v>
      </c>
      <c r="T13" s="710" t="s">
        <v>17</v>
      </c>
      <c r="U13" s="711">
        <f t="shared" si="1"/>
        <v>100</v>
      </c>
      <c r="V13" s="710" t="s">
        <v>17</v>
      </c>
      <c r="W13" s="711">
        <f t="shared" si="2"/>
        <v>100</v>
      </c>
      <c r="X13" s="712"/>
      <c r="Y13" s="3202"/>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32"/>
      <c r="Q14" s="1528">
        <f t="shared" si="6"/>
        <v>111</v>
      </c>
      <c r="R14" s="710" t="s">
        <v>17</v>
      </c>
      <c r="S14" s="711">
        <f t="shared" si="0"/>
        <v>100</v>
      </c>
      <c r="T14" s="710" t="s">
        <v>17</v>
      </c>
      <c r="U14" s="711">
        <f t="shared" si="1"/>
        <v>100</v>
      </c>
      <c r="V14" s="710" t="s">
        <v>17</v>
      </c>
      <c r="W14" s="711">
        <f t="shared" si="2"/>
        <v>100</v>
      </c>
      <c r="X14" s="712"/>
      <c r="Y14" s="3202"/>
      <c r="Z14" s="55">
        <f t="shared" si="7"/>
        <v>111</v>
      </c>
      <c r="AA14" s="713">
        <f>D14/F14</f>
        <v>1</v>
      </c>
      <c r="AB14" s="713">
        <f>D14/H14</f>
        <v>1</v>
      </c>
      <c r="AC14" s="713">
        <f>D14/J14</f>
        <v>1</v>
      </c>
    </row>
    <row r="15" spans="1:30" ht="99.75">
      <c r="A15" s="399" t="s">
        <v>2379</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34" t="s">
        <v>2380</v>
      </c>
      <c r="Q15" s="1537" t="str">
        <f t="shared" si="6"/>
        <v>居住社区成熟度</v>
      </c>
      <c r="R15" s="714" t="s">
        <v>17</v>
      </c>
      <c r="S15" s="715">
        <f t="shared" si="0"/>
        <v>100</v>
      </c>
      <c r="T15" s="714" t="s">
        <v>17</v>
      </c>
      <c r="U15" s="715">
        <f t="shared" si="1"/>
        <v>100</v>
      </c>
      <c r="V15" s="714" t="s">
        <v>17</v>
      </c>
      <c r="W15" s="715">
        <f t="shared" si="2"/>
        <v>100</v>
      </c>
      <c r="X15" s="1540"/>
      <c r="Y15" s="3334"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35"/>
      <c r="Q16" s="1537"/>
      <c r="R16" s="714"/>
      <c r="S16" s="715"/>
      <c r="T16" s="714"/>
      <c r="U16" s="715"/>
      <c r="V16" s="714"/>
      <c r="W16" s="715"/>
      <c r="X16" s="1540"/>
      <c r="Y16" s="3335"/>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35"/>
      <c r="Q17" s="1537" t="str">
        <f>B17</f>
        <v>商业繁华度</v>
      </c>
      <c r="R17" s="714" t="s">
        <v>17</v>
      </c>
      <c r="S17" s="715">
        <f>F17</f>
        <v>100</v>
      </c>
      <c r="T17" s="714" t="s">
        <v>17</v>
      </c>
      <c r="U17" s="715">
        <f>H17</f>
        <v>100</v>
      </c>
      <c r="V17" s="714" t="s">
        <v>17</v>
      </c>
      <c r="W17" s="715">
        <f>J17</f>
        <v>100</v>
      </c>
      <c r="X17" s="1540"/>
      <c r="Y17" s="3335"/>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35"/>
      <c r="Q18" s="1537"/>
      <c r="R18" s="714"/>
      <c r="S18" s="715"/>
      <c r="T18" s="714"/>
      <c r="U18" s="715"/>
      <c r="V18" s="714"/>
      <c r="W18" s="715"/>
      <c r="X18" s="1540"/>
      <c r="Y18" s="3335"/>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35"/>
      <c r="Q19" s="1537" t="str">
        <f>B19</f>
        <v>办公集聚程度</v>
      </c>
      <c r="R19" s="714" t="s">
        <v>17</v>
      </c>
      <c r="S19" s="715">
        <f>F19</f>
        <v>100</v>
      </c>
      <c r="T19" s="714" t="s">
        <v>17</v>
      </c>
      <c r="U19" s="715">
        <f>H19</f>
        <v>100</v>
      </c>
      <c r="V19" s="714" t="s">
        <v>17</v>
      </c>
      <c r="W19" s="715">
        <f>J19</f>
        <v>100</v>
      </c>
      <c r="X19" s="1540"/>
      <c r="Y19" s="3335"/>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35"/>
      <c r="Q20" s="1537"/>
      <c r="R20" s="714"/>
      <c r="S20" s="715"/>
      <c r="T20" s="714"/>
      <c r="U20" s="715"/>
      <c r="V20" s="714"/>
      <c r="W20" s="715"/>
      <c r="X20" s="1540"/>
      <c r="Y20" s="3335"/>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35"/>
      <c r="Q21" s="1537" t="str">
        <f>B21</f>
        <v>交通便捷度</v>
      </c>
      <c r="R21" s="714" t="s">
        <v>17</v>
      </c>
      <c r="S21" s="715">
        <f>F21</f>
        <v>100</v>
      </c>
      <c r="T21" s="714" t="s">
        <v>17</v>
      </c>
      <c r="U21" s="715">
        <f>H21</f>
        <v>100</v>
      </c>
      <c r="V21" s="714" t="s">
        <v>17</v>
      </c>
      <c r="W21" s="715">
        <f>J21</f>
        <v>100</v>
      </c>
      <c r="X21" s="1540"/>
      <c r="Y21" s="3335"/>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35"/>
      <c r="Q22" s="1537"/>
      <c r="R22" s="714"/>
      <c r="S22" s="715"/>
      <c r="T22" s="714"/>
      <c r="U22" s="715"/>
      <c r="V22" s="714"/>
      <c r="W22" s="715"/>
      <c r="X22" s="1540"/>
      <c r="Y22" s="3335"/>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35"/>
      <c r="Q23" s="1537" t="str">
        <f t="shared" ref="Q23:Q37" si="8">B23</f>
        <v>区域土地利用方向</v>
      </c>
      <c r="R23" s="714" t="s">
        <v>17</v>
      </c>
      <c r="S23" s="715">
        <f>F23</f>
        <v>100</v>
      </c>
      <c r="T23" s="714" t="s">
        <v>17</v>
      </c>
      <c r="U23" s="715">
        <f>H23</f>
        <v>100</v>
      </c>
      <c r="V23" s="714" t="s">
        <v>17</v>
      </c>
      <c r="W23" s="715">
        <f>J23</f>
        <v>100</v>
      </c>
      <c r="X23" s="1540"/>
      <c r="Y23" s="3335"/>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35"/>
      <c r="Q24" s="1537"/>
      <c r="R24" s="714"/>
      <c r="S24" s="715"/>
      <c r="T24" s="714"/>
      <c r="U24" s="715"/>
      <c r="V24" s="714"/>
      <c r="W24" s="715"/>
      <c r="X24" s="1540"/>
      <c r="Y24" s="3335"/>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35"/>
      <c r="Q25" s="1537" t="str">
        <f t="shared" si="8"/>
        <v>自然及人文环境状况</v>
      </c>
      <c r="R25" s="714" t="s">
        <v>17</v>
      </c>
      <c r="S25" s="715">
        <f>F25</f>
        <v>100</v>
      </c>
      <c r="T25" s="714" t="s">
        <v>17</v>
      </c>
      <c r="U25" s="715">
        <f>H25</f>
        <v>100</v>
      </c>
      <c r="V25" s="714" t="s">
        <v>17</v>
      </c>
      <c r="W25" s="715">
        <f>J25</f>
        <v>100</v>
      </c>
      <c r="X25" s="1540"/>
      <c r="Y25" s="3335"/>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35"/>
      <c r="Q26" s="1537"/>
      <c r="R26" s="714"/>
      <c r="S26" s="715"/>
      <c r="T26" s="714"/>
      <c r="U26" s="715"/>
      <c r="V26" s="714"/>
      <c r="W26" s="715"/>
      <c r="X26" s="1540"/>
      <c r="Y26" s="3335"/>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35"/>
      <c r="Q27" s="1528" t="str">
        <f t="shared" si="8"/>
        <v>公共配套设施</v>
      </c>
      <c r="R27" s="710" t="s">
        <v>17</v>
      </c>
      <c r="S27" s="711">
        <f>F27</f>
        <v>100</v>
      </c>
      <c r="T27" s="710" t="s">
        <v>17</v>
      </c>
      <c r="U27" s="711">
        <f>H27</f>
        <v>100</v>
      </c>
      <c r="V27" s="710" t="s">
        <v>17</v>
      </c>
      <c r="W27" s="711">
        <f>J27</f>
        <v>100</v>
      </c>
      <c r="X27" s="712"/>
      <c r="Y27" s="3335"/>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35"/>
      <c r="Q28" s="1528"/>
      <c r="R28" s="710"/>
      <c r="S28" s="711"/>
      <c r="T28" s="710"/>
      <c r="U28" s="711"/>
      <c r="V28" s="710"/>
      <c r="W28" s="711"/>
      <c r="X28" s="712"/>
      <c r="Y28" s="3335"/>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35"/>
      <c r="Q29" s="1528" t="str">
        <f t="shared" ref="Q29" si="9">B29</f>
        <v>基础设施水平</v>
      </c>
      <c r="R29" s="710" t="s">
        <v>17</v>
      </c>
      <c r="S29" s="711">
        <f>F29</f>
        <v>100</v>
      </c>
      <c r="T29" s="710" t="s">
        <v>17</v>
      </c>
      <c r="U29" s="711">
        <f>H29</f>
        <v>100</v>
      </c>
      <c r="V29" s="710" t="s">
        <v>17</v>
      </c>
      <c r="W29" s="711">
        <f>J29</f>
        <v>100</v>
      </c>
      <c r="X29" s="712"/>
      <c r="Y29" s="3335"/>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35"/>
      <c r="Q30" s="1528"/>
      <c r="R30" s="710"/>
      <c r="S30" s="711"/>
      <c r="T30" s="710"/>
      <c r="U30" s="711"/>
      <c r="V30" s="710"/>
      <c r="W30" s="711"/>
      <c r="X30" s="712"/>
      <c r="Y30" s="3335"/>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3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35"/>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35"/>
      <c r="Q32" s="1537" t="str">
        <f t="shared" si="8"/>
        <v>毗邻道路的类型与等级</v>
      </c>
      <c r="R32" s="714" t="s">
        <v>17</v>
      </c>
      <c r="S32" s="715">
        <f t="shared" si="10"/>
        <v>100</v>
      </c>
      <c r="T32" s="714" t="s">
        <v>17</v>
      </c>
      <c r="U32" s="715">
        <f t="shared" si="11"/>
        <v>100</v>
      </c>
      <c r="V32" s="714" t="s">
        <v>17</v>
      </c>
      <c r="W32" s="715">
        <f t="shared" si="12"/>
        <v>100</v>
      </c>
      <c r="X32" s="1540"/>
      <c r="Y32" s="3335"/>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35"/>
      <c r="Q33" s="1537"/>
      <c r="R33" s="714"/>
      <c r="S33" s="715"/>
      <c r="T33" s="714"/>
      <c r="U33" s="715"/>
      <c r="V33" s="714"/>
      <c r="W33" s="715"/>
      <c r="X33" s="1540"/>
      <c r="Y33" s="3335"/>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35"/>
      <c r="Q34" s="1537" t="str">
        <f t="shared" si="8"/>
        <v>土地级别</v>
      </c>
      <c r="R34" s="714" t="s">
        <v>17</v>
      </c>
      <c r="S34" s="715">
        <f t="shared" si="10"/>
        <v>100</v>
      </c>
      <c r="T34" s="714" t="s">
        <v>17</v>
      </c>
      <c r="U34" s="715">
        <f t="shared" si="11"/>
        <v>100</v>
      </c>
      <c r="V34" s="714" t="s">
        <v>17</v>
      </c>
      <c r="W34" s="715">
        <f t="shared" si="12"/>
        <v>100</v>
      </c>
      <c r="X34" s="1540"/>
      <c r="Y34" s="333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35"/>
      <c r="Q35" s="1537">
        <f t="shared" si="8"/>
        <v>111</v>
      </c>
      <c r="R35" s="714" t="s">
        <v>17</v>
      </c>
      <c r="S35" s="715">
        <f t="shared" si="10"/>
        <v>100</v>
      </c>
      <c r="T35" s="714" t="s">
        <v>17</v>
      </c>
      <c r="U35" s="715">
        <f t="shared" si="11"/>
        <v>100</v>
      </c>
      <c r="V35" s="714" t="s">
        <v>17</v>
      </c>
      <c r="W35" s="715">
        <f t="shared" si="12"/>
        <v>100</v>
      </c>
      <c r="X35" s="1540"/>
      <c r="Y35" s="333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90" t="s">
        <v>2385</v>
      </c>
      <c r="Q36" s="1537">
        <f t="shared" si="8"/>
        <v>111</v>
      </c>
      <c r="R36" s="714" t="s">
        <v>17</v>
      </c>
      <c r="S36" s="715">
        <f t="shared" si="10"/>
        <v>100</v>
      </c>
      <c r="T36" s="714" t="s">
        <v>17</v>
      </c>
      <c r="U36" s="715">
        <f t="shared" si="11"/>
        <v>100</v>
      </c>
      <c r="V36" s="714" t="s">
        <v>17</v>
      </c>
      <c r="W36" s="715">
        <f t="shared" si="12"/>
        <v>100</v>
      </c>
      <c r="X36" s="1540"/>
      <c r="Y36" s="3339"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39"/>
      <c r="Q37" s="1537">
        <f t="shared" si="8"/>
        <v>111</v>
      </c>
      <c r="R37" s="717" t="s">
        <v>17</v>
      </c>
      <c r="S37" s="718">
        <f t="shared" si="10"/>
        <v>100</v>
      </c>
      <c r="T37" s="717" t="s">
        <v>17</v>
      </c>
      <c r="U37" s="718">
        <f t="shared" si="11"/>
        <v>100</v>
      </c>
      <c r="V37" s="717" t="s">
        <v>17</v>
      </c>
      <c r="W37" s="718">
        <f t="shared" si="12"/>
        <v>100</v>
      </c>
      <c r="X37" s="719"/>
      <c r="Y37" s="3339"/>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39"/>
      <c r="Q38" s="1537" t="str">
        <f>B38</f>
        <v>宗地面积</v>
      </c>
      <c r="R38" s="714" t="s">
        <v>17</v>
      </c>
      <c r="S38" s="715" t="e">
        <f t="shared" si="10"/>
        <v>#N/A</v>
      </c>
      <c r="T38" s="714" t="s">
        <v>17</v>
      </c>
      <c r="U38" s="715" t="e">
        <f t="shared" si="11"/>
        <v>#N/A</v>
      </c>
      <c r="V38" s="714" t="s">
        <v>17</v>
      </c>
      <c r="W38" s="715" t="e">
        <f t="shared" si="12"/>
        <v>#N/A</v>
      </c>
      <c r="X38" s="1540"/>
      <c r="Y38" s="3339"/>
      <c r="Z38" s="1541" t="str">
        <f t="shared" si="13"/>
        <v>宗地面积</v>
      </c>
      <c r="AA38" s="1538" t="e">
        <f t="shared" si="3"/>
        <v>#N/A</v>
      </c>
      <c r="AB38" s="1538" t="e">
        <f t="shared" si="4"/>
        <v>#N/A</v>
      </c>
      <c r="AC38" s="1538" t="e">
        <f t="shared" si="5"/>
        <v>#N/A</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39"/>
      <c r="Q39" s="1537" t="str">
        <f t="shared" ref="Q39:Q45" si="14">B39</f>
        <v>宗地形状</v>
      </c>
      <c r="R39" s="714" t="s">
        <v>17</v>
      </c>
      <c r="S39" s="715">
        <f t="shared" si="10"/>
        <v>100</v>
      </c>
      <c r="T39" s="714" t="s">
        <v>17</v>
      </c>
      <c r="U39" s="715">
        <f t="shared" si="11"/>
        <v>100</v>
      </c>
      <c r="V39" s="714" t="s">
        <v>17</v>
      </c>
      <c r="W39" s="715">
        <f t="shared" si="12"/>
        <v>100</v>
      </c>
      <c r="X39" s="1540"/>
      <c r="Y39" s="3339"/>
      <c r="Z39" s="1541" t="str">
        <f t="shared" si="13"/>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39"/>
      <c r="Q40" s="1537" t="str">
        <f t="shared" si="14"/>
        <v>临街宽度及深度</v>
      </c>
      <c r="R40" s="714" t="s">
        <v>17</v>
      </c>
      <c r="S40" s="715">
        <f t="shared" si="10"/>
        <v>100</v>
      </c>
      <c r="T40" s="714" t="s">
        <v>17</v>
      </c>
      <c r="U40" s="715">
        <f t="shared" si="11"/>
        <v>100</v>
      </c>
      <c r="V40" s="714" t="s">
        <v>17</v>
      </c>
      <c r="W40" s="715">
        <f t="shared" si="12"/>
        <v>100</v>
      </c>
      <c r="X40" s="1540"/>
      <c r="Y40" s="3339"/>
      <c r="Z40" s="1541" t="str">
        <f t="shared" si="13"/>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39"/>
      <c r="Q41" s="1537" t="str">
        <f t="shared" si="14"/>
        <v>宗地开发程度</v>
      </c>
      <c r="R41" s="710" t="s">
        <v>17</v>
      </c>
      <c r="S41" s="711">
        <f t="shared" si="10"/>
        <v>100</v>
      </c>
      <c r="T41" s="710" t="s">
        <v>17</v>
      </c>
      <c r="U41" s="711">
        <f t="shared" si="11"/>
        <v>100</v>
      </c>
      <c r="V41" s="710" t="s">
        <v>17</v>
      </c>
      <c r="W41" s="711">
        <f t="shared" si="12"/>
        <v>100</v>
      </c>
      <c r="X41" s="712"/>
      <c r="Y41" s="3339"/>
      <c r="Z41" s="55" t="str">
        <f t="shared" si="13"/>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39" t="s">
        <v>2385</v>
      </c>
      <c r="Q42" s="1537" t="str">
        <f t="shared" si="14"/>
        <v>工程地质条件</v>
      </c>
      <c r="R42" s="714" t="s">
        <v>17</v>
      </c>
      <c r="S42" s="715">
        <f t="shared" si="10"/>
        <v>100</v>
      </c>
      <c r="T42" s="714" t="s">
        <v>17</v>
      </c>
      <c r="U42" s="715">
        <f t="shared" si="11"/>
        <v>100</v>
      </c>
      <c r="V42" s="714" t="s">
        <v>17</v>
      </c>
      <c r="W42" s="715">
        <f t="shared" si="12"/>
        <v>100</v>
      </c>
      <c r="X42" s="1540"/>
      <c r="Y42" s="3339"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39"/>
      <c r="Q43" s="1537">
        <f t="shared" si="14"/>
        <v>111</v>
      </c>
      <c r="R43" s="714" t="s">
        <v>17</v>
      </c>
      <c r="S43" s="715">
        <f t="shared" si="10"/>
        <v>100</v>
      </c>
      <c r="T43" s="714" t="s">
        <v>17</v>
      </c>
      <c r="U43" s="715">
        <f t="shared" si="11"/>
        <v>100</v>
      </c>
      <c r="V43" s="714" t="s">
        <v>17</v>
      </c>
      <c r="W43" s="715">
        <f t="shared" si="12"/>
        <v>100</v>
      </c>
      <c r="X43" s="1540"/>
      <c r="Y43" s="333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39"/>
      <c r="Q44" s="1537">
        <f t="shared" si="14"/>
        <v>111</v>
      </c>
      <c r="R44" s="714" t="s">
        <v>17</v>
      </c>
      <c r="S44" s="715">
        <f t="shared" si="10"/>
        <v>100</v>
      </c>
      <c r="T44" s="714" t="s">
        <v>17</v>
      </c>
      <c r="U44" s="715">
        <f t="shared" si="11"/>
        <v>100</v>
      </c>
      <c r="V44" s="714" t="s">
        <v>17</v>
      </c>
      <c r="W44" s="715">
        <f t="shared" si="12"/>
        <v>100</v>
      </c>
      <c r="X44" s="1540"/>
      <c r="Y44" s="3339"/>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39"/>
      <c r="Q45" s="1537">
        <f t="shared" si="14"/>
        <v>111</v>
      </c>
      <c r="R45" s="717" t="s">
        <v>17</v>
      </c>
      <c r="S45" s="718">
        <f t="shared" si="10"/>
        <v>100</v>
      </c>
      <c r="T45" s="717" t="s">
        <v>17</v>
      </c>
      <c r="U45" s="718">
        <f t="shared" si="11"/>
        <v>100</v>
      </c>
      <c r="V45" s="717" t="s">
        <v>17</v>
      </c>
      <c r="W45" s="718">
        <f t="shared" si="12"/>
        <v>100</v>
      </c>
      <c r="X45" s="719"/>
      <c r="Y45" s="3339"/>
      <c r="Z45" s="720">
        <f t="shared" si="13"/>
        <v>111</v>
      </c>
      <c r="AA45" s="1538">
        <f t="shared" si="3"/>
        <v>1</v>
      </c>
      <c r="AB45" s="1538">
        <f t="shared" si="4"/>
        <v>1</v>
      </c>
      <c r="AC45" s="1538">
        <f t="shared" si="5"/>
        <v>1</v>
      </c>
    </row>
    <row r="46" spans="1:29" ht="15">
      <c r="A46" s="438" t="s">
        <v>2540</v>
      </c>
      <c r="B46" s="2169" t="s">
        <v>2576</v>
      </c>
      <c r="C46" s="638" t="s">
        <v>1</v>
      </c>
      <c r="D46" s="440"/>
      <c r="E46" s="441"/>
      <c r="F46" s="442"/>
      <c r="G46" s="443"/>
      <c r="H46" s="444"/>
      <c r="I46" s="441"/>
      <c r="J46" s="444"/>
      <c r="K46" s="723"/>
      <c r="L46" s="2954"/>
      <c r="M46" s="2955"/>
      <c r="N46" s="2946"/>
      <c r="O46" s="2955"/>
      <c r="P46" s="3332" t="str">
        <f>A46</f>
        <v>成交单价</v>
      </c>
      <c r="Q46" s="3332"/>
      <c r="R46" s="3363">
        <f>E46</f>
        <v>0</v>
      </c>
      <c r="S46" s="3363"/>
      <c r="T46" s="3363">
        <f>G46</f>
        <v>0</v>
      </c>
      <c r="U46" s="3363"/>
      <c r="V46" s="3363">
        <f>I46</f>
        <v>0</v>
      </c>
      <c r="W46" s="3363"/>
      <c r="X46" s="699"/>
      <c r="Y46" s="721"/>
      <c r="Z46" s="699"/>
      <c r="AA46" s="699"/>
      <c r="AB46" s="699"/>
      <c r="AC46" s="699"/>
    </row>
    <row r="47" spans="1:29" ht="15.75" thickBot="1">
      <c r="A47" s="445" t="s">
        <v>2489</v>
      </c>
      <c r="B47" s="639"/>
      <c r="C47" s="448" t="e">
        <f>R48</f>
        <v>#DIV/0!</v>
      </c>
      <c r="D47" s="2539" t="s">
        <v>2879</v>
      </c>
      <c r="E47" s="448" t="e">
        <f>R47</f>
        <v>#DIV/0!</v>
      </c>
      <c r="F47" s="2540"/>
      <c r="G47" s="447" t="e">
        <f>T47</f>
        <v>#DIV/0!</v>
      </c>
      <c r="H47" s="2540"/>
      <c r="I47" s="448" t="e">
        <f>V47</f>
        <v>#DIV/0!</v>
      </c>
      <c r="J47" s="2540"/>
      <c r="K47" s="2542">
        <f>F47+H47+J47</f>
        <v>0</v>
      </c>
      <c r="L47" s="2954"/>
      <c r="M47" s="2955"/>
      <c r="N47" s="2955"/>
      <c r="O47" s="2955"/>
      <c r="P47" s="3332" t="str">
        <f>A47</f>
        <v>比较价值（元/平方米）</v>
      </c>
      <c r="Q47" s="3332"/>
      <c r="R47" s="3392" t="e">
        <f>ROUND(PRODUCT(R46,AA7:AA45),0)</f>
        <v>#DIV/0!</v>
      </c>
      <c r="S47" s="3392"/>
      <c r="T47" s="3392" t="e">
        <f>ROUND(PRODUCT(T46,AB7:AB45),0)</f>
        <v>#DIV/0!</v>
      </c>
      <c r="U47" s="3392"/>
      <c r="V47" s="3392" t="e">
        <f>ROUND(PRODUCT(V46,AC7:AC45),0)</f>
        <v>#DIV/0!</v>
      </c>
      <c r="W47" s="3392"/>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4"/>
      <c r="M48" s="2955"/>
      <c r="N48" s="2955"/>
      <c r="O48" s="2955"/>
      <c r="P48" s="3329" t="str">
        <f>A48</f>
        <v>估价对象XX用房的比较价值（楼面单价，元/平方米）</v>
      </c>
      <c r="Q48" s="3330"/>
      <c r="R48" s="3393" t="e">
        <f>ROUND(IF(D47="简单平均",AVERAGE(R47:W47),R47*F47+T47*H47+V47*J47),0)</f>
        <v>#DIV/0!</v>
      </c>
      <c r="S48" s="3393"/>
      <c r="T48" s="3393"/>
      <c r="U48" s="3393"/>
      <c r="V48" s="3393"/>
      <c r="W48" s="3393"/>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47" t="s">
        <v>2584</v>
      </c>
      <c r="H55" s="3394"/>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t="e">
        <f>C48</f>
        <v>#DIV/0!</v>
      </c>
      <c r="C56" s="646">
        <v>1</v>
      </c>
      <c r="D56" s="1075">
        <v>1</v>
      </c>
      <c r="E56" s="646">
        <f>'数据-汇总表'!E8+'数据-汇总表'!E9</f>
        <v>125965.92</v>
      </c>
      <c r="F56" s="1017" t="e">
        <f t="shared" ref="F56:F65" si="15">ROUND(B56*E56/10000,0)</f>
        <v>#DIV/0!</v>
      </c>
      <c r="G56" s="3343"/>
      <c r="H56" s="333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t="e">
        <f>ROUND($C$48*C57*D57,0)</f>
        <v>#DIV/0!</v>
      </c>
      <c r="C57" s="176">
        <f t="shared" ref="C57:C65" si="16">IF($C$55="北京市系数",I57,J57)</f>
        <v>0</v>
      </c>
      <c r="D57" s="1076">
        <v>0.25</v>
      </c>
      <c r="E57" s="650"/>
      <c r="F57" s="1017" t="e">
        <f t="shared" si="15"/>
        <v>#DIV/0!</v>
      </c>
      <c r="G57" s="3395" t="s">
        <v>2589</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t="e">
        <f t="shared" ref="B58:B65" si="17">ROUND($C$48*C58*D58,0)</f>
        <v>#DIV/0!</v>
      </c>
      <c r="C58" s="176">
        <f t="shared" si="16"/>
        <v>0</v>
      </c>
      <c r="D58" s="1076">
        <v>0.25</v>
      </c>
      <c r="E58" s="650"/>
      <c r="F58" s="1017" t="e">
        <f t="shared" si="15"/>
        <v>#DIV/0!</v>
      </c>
      <c r="G58" s="3395"/>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t="e">
        <f t="shared" si="17"/>
        <v>#DIV/0!</v>
      </c>
      <c r="C59" s="176">
        <f t="shared" si="16"/>
        <v>0</v>
      </c>
      <c r="D59" s="1076">
        <v>0.25</v>
      </c>
      <c r="E59" s="650"/>
      <c r="F59" s="1017" t="e">
        <f t="shared" si="15"/>
        <v>#DIV/0!</v>
      </c>
      <c r="G59" s="3395"/>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t="e">
        <f t="shared" si="17"/>
        <v>#DIV/0!</v>
      </c>
      <c r="C60" s="176">
        <f t="shared" si="16"/>
        <v>0</v>
      </c>
      <c r="D60" s="1076">
        <v>0.25</v>
      </c>
      <c r="E60" s="650"/>
      <c r="F60" s="1017" t="e">
        <f t="shared" si="15"/>
        <v>#DIV/0!</v>
      </c>
      <c r="G60" s="3395"/>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t="e">
        <f t="shared" si="17"/>
        <v>#DIV/0!</v>
      </c>
      <c r="C61" s="176">
        <f t="shared" si="16"/>
        <v>0</v>
      </c>
      <c r="D61" s="1076">
        <v>0.25</v>
      </c>
      <c r="E61" s="223">
        <f>'数据-汇总表'!E11</f>
        <v>0</v>
      </c>
      <c r="F61" s="1017" t="e">
        <f t="shared" si="15"/>
        <v>#DIV/0!</v>
      </c>
      <c r="G61" s="2174" t="s">
        <v>2594</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t="e">
        <f t="shared" si="17"/>
        <v>#DIV/0!</v>
      </c>
      <c r="C63" s="176">
        <f t="shared" si="16"/>
        <v>0</v>
      </c>
      <c r="D63" s="1076">
        <v>0.25</v>
      </c>
      <c r="E63" s="223">
        <f>'数据-汇总表'!E13</f>
        <v>34590.520000000004</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t="e">
        <f t="shared" si="17"/>
        <v>#DIV/0!</v>
      </c>
      <c r="C64" s="176">
        <f t="shared" si="16"/>
        <v>0</v>
      </c>
      <c r="D64" s="1076">
        <v>0.25</v>
      </c>
      <c r="E64" s="223">
        <f>'数据-汇总表'!E14</f>
        <v>0</v>
      </c>
      <c r="F64" s="1017" t="e">
        <f t="shared" si="15"/>
        <v>#DIV/0!</v>
      </c>
      <c r="G64" s="2174" t="s">
        <v>2589</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t="e">
        <f t="shared" si="17"/>
        <v>#DIV/0!</v>
      </c>
      <c r="C65" s="176">
        <f t="shared" si="16"/>
        <v>0</v>
      </c>
      <c r="D65" s="1076">
        <v>0.25</v>
      </c>
      <c r="E65" s="223">
        <f>'数据-汇总表'!E15</f>
        <v>0</v>
      </c>
      <c r="F65" s="1017" t="e">
        <f t="shared" si="15"/>
        <v>#DIV/0!</v>
      </c>
      <c r="G65" s="2175" t="s">
        <v>2594</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160556.44</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5"/>
      <c r="Q68" s="2955"/>
      <c r="R68" s="2955"/>
      <c r="S68" s="2955"/>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2602</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61" sqref="E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f>F61</f>
        <v>22688</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f>ROUND(IF(D3="",B2*10000/'数据-汇总表'!E3,B2*10000/D3),0)</f>
        <v>1412</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47" t="s">
        <v>2466</v>
      </c>
      <c r="D4" s="3348"/>
      <c r="E4" s="3349" t="s">
        <v>2467</v>
      </c>
      <c r="F4" s="3350"/>
      <c r="G4" s="3347" t="s">
        <v>2468</v>
      </c>
      <c r="H4" s="3348"/>
      <c r="I4" s="3347" t="s">
        <v>2469</v>
      </c>
      <c r="J4" s="3348"/>
      <c r="K4" s="567" t="s">
        <v>2470</v>
      </c>
      <c r="L4" s="2945"/>
      <c r="M4" s="2946"/>
      <c r="N4" s="2946"/>
      <c r="O4" s="2946"/>
      <c r="P4" s="3351" t="s">
        <v>2471</v>
      </c>
      <c r="Q4" s="3352"/>
      <c r="R4" s="3357" t="s">
        <v>2467</v>
      </c>
      <c r="S4" s="3358"/>
      <c r="T4" s="3357" t="s">
        <v>2468</v>
      </c>
      <c r="U4" s="3358"/>
      <c r="V4" s="3363" t="s">
        <v>2469</v>
      </c>
      <c r="W4" s="3363"/>
      <c r="X4" s="1540"/>
      <c r="Y4" s="3357" t="s">
        <v>2471</v>
      </c>
      <c r="Z4" s="3358"/>
      <c r="AA4" s="3344" t="s">
        <v>2467</v>
      </c>
      <c r="AB4" s="3345" t="s">
        <v>2468</v>
      </c>
      <c r="AC4" s="3344" t="s">
        <v>2469</v>
      </c>
    </row>
    <row r="5" spans="1:29" ht="15">
      <c r="A5" s="364"/>
      <c r="B5" s="365"/>
      <c r="C5" s="3366" t="s">
        <v>2362</v>
      </c>
      <c r="D5" s="3367"/>
      <c r="E5" s="3373" t="str">
        <f>案例!A53</f>
        <v>北京经济技术开发区河西区X61M4地块工业项目</v>
      </c>
      <c r="F5" s="3374"/>
      <c r="G5" s="3366" t="str">
        <f>案例!A19</f>
        <v>北京经济技术开发区路东区A12-1地块工业项目国有建设用地使用权挂牌出让公告</v>
      </c>
      <c r="H5" s="3367"/>
      <c r="I5" s="3366" t="str">
        <f>案例!A25</f>
        <v>北京经济技术开发区路东区E7M1地块工业项目</v>
      </c>
      <c r="J5" s="3367"/>
      <c r="K5" s="567"/>
      <c r="L5" s="2945"/>
      <c r="M5" s="2946"/>
      <c r="N5" s="2946"/>
      <c r="O5" s="2946"/>
      <c r="P5" s="3353"/>
      <c r="Q5" s="3354"/>
      <c r="R5" s="3359"/>
      <c r="S5" s="3360"/>
      <c r="T5" s="3359"/>
      <c r="U5" s="3360"/>
      <c r="V5" s="3363"/>
      <c r="W5" s="3363"/>
      <c r="X5" s="1540"/>
      <c r="Y5" s="3359"/>
      <c r="Z5" s="3360"/>
      <c r="AA5" s="3345"/>
      <c r="AB5" s="3345"/>
      <c r="AC5" s="3345"/>
    </row>
    <row r="6" spans="1:29" ht="15.75" thickBot="1">
      <c r="A6" s="366"/>
      <c r="B6" s="367"/>
      <c r="C6" s="3396" t="s">
        <v>2617</v>
      </c>
      <c r="D6" s="3397"/>
      <c r="E6" s="3398" t="s">
        <v>2617</v>
      </c>
      <c r="F6" s="3399"/>
      <c r="G6" s="3396" t="s">
        <v>2617</v>
      </c>
      <c r="H6" s="3397"/>
      <c r="I6" s="3396" t="s">
        <v>2617</v>
      </c>
      <c r="J6" s="3397"/>
      <c r="K6" s="567" t="s">
        <v>2367</v>
      </c>
      <c r="L6" s="2945"/>
      <c r="M6" s="2946"/>
      <c r="N6" s="2946"/>
      <c r="O6" s="2946"/>
      <c r="P6" s="3355"/>
      <c r="Q6" s="3356"/>
      <c r="R6" s="3359"/>
      <c r="S6" s="3360"/>
      <c r="T6" s="3361"/>
      <c r="U6" s="3362"/>
      <c r="V6" s="3363"/>
      <c r="W6" s="3363"/>
      <c r="X6" s="1540"/>
      <c r="Y6" s="3361"/>
      <c r="Z6" s="3362"/>
      <c r="AA6" s="3346"/>
      <c r="AB6" s="3346"/>
      <c r="AC6" s="3346"/>
    </row>
    <row r="7" spans="1:29" s="113" customFormat="1" ht="15.75" thickBot="1">
      <c r="A7" s="368" t="s">
        <v>2368</v>
      </c>
      <c r="B7" s="369"/>
      <c r="C7" s="370">
        <f>'数据-取费表'!B2</f>
        <v>44249</v>
      </c>
      <c r="D7" s="371">
        <v>100</v>
      </c>
      <c r="E7" s="372" t="str">
        <f>案例!J53</f>
        <v>2019-12-25</v>
      </c>
      <c r="F7" s="373">
        <f>SUMIF(65:65,YEAR(E7)&amp;"-"&amp;INT((MONTH(E7)+2)/3),66:66)</f>
        <v>97.5</v>
      </c>
      <c r="G7" s="2161" t="str">
        <f>案例!J19</f>
        <v>2020-09-10</v>
      </c>
      <c r="H7" s="371">
        <f>SUMIF(65:65,YEAR(G7)&amp;"-"&amp;INT((MONTH(G7)+2)/3),66:66)</f>
        <v>99</v>
      </c>
      <c r="I7" s="2161" t="str">
        <f>案例!J25</f>
        <v>2020-03-26</v>
      </c>
      <c r="J7" s="371">
        <f>SUMIF(65:65,YEAR(I7)&amp;"-"&amp;INT((MONTH(I7)+2)/3),66:66)</f>
        <v>98</v>
      </c>
      <c r="K7" s="568"/>
      <c r="L7" s="2947"/>
      <c r="M7" s="2948"/>
      <c r="N7" s="2948"/>
      <c r="O7" s="2948"/>
      <c r="P7" s="3368" t="s">
        <v>2369</v>
      </c>
      <c r="Q7" s="3370"/>
      <c r="R7" s="710" t="s">
        <v>17</v>
      </c>
      <c r="S7" s="711">
        <f t="shared" ref="S7:S15" si="0">F7</f>
        <v>97.5</v>
      </c>
      <c r="T7" s="710" t="s">
        <v>17</v>
      </c>
      <c r="U7" s="711">
        <f t="shared" ref="U7:U15" si="1">H7</f>
        <v>99</v>
      </c>
      <c r="V7" s="710" t="s">
        <v>17</v>
      </c>
      <c r="W7" s="711">
        <f t="shared" ref="W7:W15" si="2">J7</f>
        <v>98</v>
      </c>
      <c r="X7" s="712"/>
      <c r="Y7" s="3368" t="s">
        <v>2369</v>
      </c>
      <c r="Z7" s="3369"/>
      <c r="AA7" s="713">
        <f>D7/F7</f>
        <v>1.0256410256410255</v>
      </c>
      <c r="AB7" s="713">
        <f>D7/H7</f>
        <v>1.0101010101010102</v>
      </c>
      <c r="AC7" s="713">
        <f>D7/J7</f>
        <v>1.0204081632653061</v>
      </c>
    </row>
    <row r="8" spans="1:29" s="113" customFormat="1" ht="15.75" thickBot="1">
      <c r="A8" s="368" t="s">
        <v>2370</v>
      </c>
      <c r="B8" s="369"/>
      <c r="C8" s="374" t="s">
        <v>2371</v>
      </c>
      <c r="D8" s="371">
        <v>100</v>
      </c>
      <c r="E8" s="374" t="s">
        <v>3289</v>
      </c>
      <c r="F8" s="373">
        <f>SUMIF(68:68,E8,69:69)-SUMIF(68:68,C8,69:69)+100</f>
        <v>100</v>
      </c>
      <c r="G8" s="374" t="s">
        <v>3289</v>
      </c>
      <c r="H8" s="371">
        <f>SUMIF(68:68,G8,69:69)-SUMIF(68:68,C8,69:69)+100</f>
        <v>100</v>
      </c>
      <c r="I8" s="374" t="s">
        <v>3289</v>
      </c>
      <c r="J8" s="371">
        <f>SUMIF(68:68,I8,69:69)-SUMIF(68:68,C8,69:69)+100</f>
        <v>100</v>
      </c>
      <c r="K8" s="568"/>
      <c r="L8" s="2947"/>
      <c r="M8" s="2948"/>
      <c r="N8" s="2948"/>
      <c r="O8" s="2948"/>
      <c r="P8" s="3368" t="s">
        <v>2372</v>
      </c>
      <c r="Q8" s="3369"/>
      <c r="R8" s="710" t="s">
        <v>17</v>
      </c>
      <c r="S8" s="711">
        <f t="shared" si="0"/>
        <v>100</v>
      </c>
      <c r="T8" s="710" t="s">
        <v>17</v>
      </c>
      <c r="U8" s="711">
        <f t="shared" si="1"/>
        <v>100</v>
      </c>
      <c r="V8" s="710" t="s">
        <v>17</v>
      </c>
      <c r="W8" s="711">
        <f t="shared" si="2"/>
        <v>100</v>
      </c>
      <c r="X8" s="712"/>
      <c r="Y8" s="3368" t="s">
        <v>2372</v>
      </c>
      <c r="Z8" s="3369"/>
      <c r="AA8" s="713">
        <f t="shared" ref="AA8:AA40" si="3">D8/F8</f>
        <v>1</v>
      </c>
      <c r="AB8" s="713">
        <f t="shared" ref="AB8:AB40" si="4">D8/H8</f>
        <v>1</v>
      </c>
      <c r="AC8" s="713">
        <f t="shared" ref="AC8:AC40" si="5">D8/J8</f>
        <v>1</v>
      </c>
    </row>
    <row r="9" spans="1:29" s="113" customFormat="1">
      <c r="A9" s="375" t="s">
        <v>2373</v>
      </c>
      <c r="B9" s="67" t="s">
        <v>2374</v>
      </c>
      <c r="C9" s="2164" t="s">
        <v>6</v>
      </c>
      <c r="D9" s="131">
        <v>100</v>
      </c>
      <c r="E9" s="2164" t="s">
        <v>6</v>
      </c>
      <c r="F9" s="131">
        <f>SUMIF(70:70,E9,71:71)-SUMIF(70:70,C9,71:71)+100</f>
        <v>100</v>
      </c>
      <c r="G9" s="2164" t="s">
        <v>6</v>
      </c>
      <c r="H9" s="131">
        <f>SUMIF(70:70,G9,71:71)-SUMIF(70:70,C9,71:71)+100</f>
        <v>100</v>
      </c>
      <c r="I9" s="2164" t="s">
        <v>6</v>
      </c>
      <c r="J9" s="131">
        <f>SUMIF(70:70,I9,71:71)-SUMIF(70:70,C9,71:71)+100</f>
        <v>100</v>
      </c>
      <c r="K9" s="568"/>
      <c r="L9" s="2947"/>
      <c r="M9" s="2948"/>
      <c r="N9" s="2948"/>
      <c r="O9" s="3002"/>
      <c r="P9" s="3332" t="s">
        <v>2375</v>
      </c>
      <c r="Q9" s="1528" t="str">
        <f t="shared" ref="Q9:Q15" si="6">B9</f>
        <v>用途</v>
      </c>
      <c r="R9" s="710" t="s">
        <v>17</v>
      </c>
      <c r="S9" s="711">
        <f t="shared" si="0"/>
        <v>100</v>
      </c>
      <c r="T9" s="710" t="s">
        <v>17</v>
      </c>
      <c r="U9" s="711">
        <f t="shared" si="1"/>
        <v>100</v>
      </c>
      <c r="V9" s="710" t="s">
        <v>17</v>
      </c>
      <c r="W9" s="711">
        <f t="shared" si="2"/>
        <v>100</v>
      </c>
      <c r="X9" s="712"/>
      <c r="Y9" s="3202" t="s">
        <v>2376</v>
      </c>
      <c r="Z9" s="55" t="str">
        <f t="shared" ref="Z9:Z15" si="7">Q9</f>
        <v>用途</v>
      </c>
      <c r="AA9" s="713">
        <f t="shared" si="3"/>
        <v>1</v>
      </c>
      <c r="AB9" s="713">
        <f t="shared" si="4"/>
        <v>1</v>
      </c>
      <c r="AC9" s="713">
        <f t="shared" si="5"/>
        <v>1</v>
      </c>
    </row>
    <row r="10" spans="1:29" s="386" customFormat="1" ht="27">
      <c r="A10" s="380"/>
      <c r="B10" s="381" t="s">
        <v>2377</v>
      </c>
      <c r="C10" s="391">
        <f>项目基本情况!G15</f>
        <v>44.72</v>
      </c>
      <c r="D10" s="132">
        <v>100</v>
      </c>
      <c r="E10" s="391" t="s">
        <v>3297</v>
      </c>
      <c r="F10" s="132">
        <f>ROUND(100/'数据-取费表'!G16,0)</f>
        <v>103</v>
      </c>
      <c r="G10" s="391" t="s">
        <v>3297</v>
      </c>
      <c r="H10" s="132">
        <f>ROUND(100/'数据-取费表'!G16,0)</f>
        <v>103</v>
      </c>
      <c r="I10" s="391" t="s">
        <v>3297</v>
      </c>
      <c r="J10" s="132">
        <f>ROUND(100/'数据-取费表'!G16,0)</f>
        <v>103</v>
      </c>
      <c r="K10" s="628"/>
      <c r="L10" s="2949"/>
      <c r="M10" s="2950"/>
      <c r="N10" s="2950"/>
      <c r="O10" s="3003"/>
      <c r="P10" s="3332"/>
      <c r="Q10" s="1528" t="str">
        <f t="shared" si="6"/>
        <v>土地使用年限（年）</v>
      </c>
      <c r="R10" s="710" t="s">
        <v>17</v>
      </c>
      <c r="S10" s="711">
        <f t="shared" si="0"/>
        <v>103</v>
      </c>
      <c r="T10" s="710" t="s">
        <v>17</v>
      </c>
      <c r="U10" s="711">
        <f t="shared" si="1"/>
        <v>103</v>
      </c>
      <c r="V10" s="710" t="s">
        <v>17</v>
      </c>
      <c r="W10" s="711">
        <f t="shared" si="2"/>
        <v>103</v>
      </c>
      <c r="X10" s="712"/>
      <c r="Y10" s="3202"/>
      <c r="Z10" s="55" t="str">
        <f t="shared" si="7"/>
        <v>土地使用年限（年）</v>
      </c>
      <c r="AA10" s="713">
        <f t="shared" si="3"/>
        <v>0.970873786407767</v>
      </c>
      <c r="AB10" s="713">
        <f t="shared" si="4"/>
        <v>0.970873786407767</v>
      </c>
      <c r="AC10" s="713">
        <f t="shared" si="5"/>
        <v>0.970873786407767</v>
      </c>
    </row>
    <row r="11" spans="1:29" ht="15">
      <c r="A11" s="387"/>
      <c r="B11" s="381" t="s">
        <v>2378</v>
      </c>
      <c r="C11" s="388">
        <f>'数据-汇总表'!I6</f>
        <v>1.18</v>
      </c>
      <c r="D11" s="132">
        <v>100</v>
      </c>
      <c r="E11" s="388">
        <v>2</v>
      </c>
      <c r="F11" s="132">
        <f>LOOKUP(E11,75:75,76:76)-LOOKUP(C11,75:75,76:76)+100</f>
        <v>102</v>
      </c>
      <c r="G11" s="389">
        <v>2</v>
      </c>
      <c r="H11" s="132">
        <f>LOOKUP(G11,75:75,76:76)-LOOKUP(C11,75:75,76:76)+100</f>
        <v>102</v>
      </c>
      <c r="I11" s="388">
        <v>1.7</v>
      </c>
      <c r="J11" s="132">
        <f>LOOKUP(I11,75:75,76:76)-LOOKUP(C11,75:75,76:76)+100</f>
        <v>100</v>
      </c>
      <c r="K11" s="629">
        <v>2</v>
      </c>
      <c r="L11" s="2951"/>
      <c r="M11" s="2946"/>
      <c r="N11" s="2946"/>
      <c r="O11" s="3004"/>
      <c r="P11" s="3332"/>
      <c r="Q11" s="1528" t="str">
        <f t="shared" si="6"/>
        <v>容积率</v>
      </c>
      <c r="R11" s="710" t="s">
        <v>17</v>
      </c>
      <c r="S11" s="711">
        <f t="shared" si="0"/>
        <v>102</v>
      </c>
      <c r="T11" s="710" t="s">
        <v>17</v>
      </c>
      <c r="U11" s="711">
        <f t="shared" si="1"/>
        <v>102</v>
      </c>
      <c r="V11" s="710" t="s">
        <v>17</v>
      </c>
      <c r="W11" s="711">
        <f t="shared" si="2"/>
        <v>100</v>
      </c>
      <c r="X11" s="712"/>
      <c r="Y11" s="3202"/>
      <c r="Z11" s="55" t="str">
        <f t="shared" si="7"/>
        <v>容积率</v>
      </c>
      <c r="AA11" s="713">
        <f t="shared" si="3"/>
        <v>0.98039215686274506</v>
      </c>
      <c r="AB11" s="713">
        <f t="shared" si="4"/>
        <v>0.98039215686274506</v>
      </c>
      <c r="AC11" s="713">
        <f t="shared" si="5"/>
        <v>1</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32"/>
      <c r="Q12" s="1528">
        <f t="shared" si="6"/>
        <v>111</v>
      </c>
      <c r="R12" s="710" t="s">
        <v>17</v>
      </c>
      <c r="S12" s="711">
        <f t="shared" si="0"/>
        <v>100</v>
      </c>
      <c r="T12" s="710" t="s">
        <v>17</v>
      </c>
      <c r="U12" s="711">
        <f t="shared" si="1"/>
        <v>100</v>
      </c>
      <c r="V12" s="710" t="s">
        <v>17</v>
      </c>
      <c r="W12" s="711">
        <f t="shared" si="2"/>
        <v>100</v>
      </c>
      <c r="X12" s="712"/>
      <c r="Y12" s="3202"/>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32"/>
      <c r="Q13" s="1528">
        <f t="shared" si="6"/>
        <v>111</v>
      </c>
      <c r="R13" s="710" t="s">
        <v>17</v>
      </c>
      <c r="S13" s="711">
        <f t="shared" si="0"/>
        <v>100</v>
      </c>
      <c r="T13" s="710" t="s">
        <v>17</v>
      </c>
      <c r="U13" s="711">
        <f t="shared" si="1"/>
        <v>100</v>
      </c>
      <c r="V13" s="710" t="s">
        <v>17</v>
      </c>
      <c r="W13" s="711">
        <f t="shared" si="2"/>
        <v>100</v>
      </c>
      <c r="X13" s="712"/>
      <c r="Y13" s="3202"/>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32"/>
      <c r="Q14" s="1528">
        <f t="shared" si="6"/>
        <v>111</v>
      </c>
      <c r="R14" s="710" t="s">
        <v>17</v>
      </c>
      <c r="S14" s="711">
        <f t="shared" si="0"/>
        <v>100</v>
      </c>
      <c r="T14" s="710" t="s">
        <v>17</v>
      </c>
      <c r="U14" s="711">
        <f t="shared" si="1"/>
        <v>100</v>
      </c>
      <c r="V14" s="710" t="s">
        <v>17</v>
      </c>
      <c r="W14" s="711">
        <f t="shared" si="2"/>
        <v>100</v>
      </c>
      <c r="X14" s="712"/>
      <c r="Y14" s="3202"/>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100</v>
      </c>
      <c r="K15" s="629">
        <v>2</v>
      </c>
      <c r="L15" s="2952"/>
      <c r="M15" s="2946"/>
      <c r="N15" s="2946"/>
      <c r="O15" s="3004"/>
      <c r="P15" s="3334" t="s">
        <v>2380</v>
      </c>
      <c r="Q15" s="1537" t="str">
        <f t="shared" si="6"/>
        <v>产业集聚程度</v>
      </c>
      <c r="R15" s="714" t="s">
        <v>17</v>
      </c>
      <c r="S15" s="715">
        <f t="shared" si="0"/>
        <v>100</v>
      </c>
      <c r="T15" s="714" t="s">
        <v>17</v>
      </c>
      <c r="U15" s="715">
        <f t="shared" si="1"/>
        <v>100</v>
      </c>
      <c r="V15" s="714" t="s">
        <v>17</v>
      </c>
      <c r="W15" s="715">
        <f t="shared" si="2"/>
        <v>100</v>
      </c>
      <c r="X15" s="1540"/>
      <c r="Y15" s="3334" t="s">
        <v>2380</v>
      </c>
      <c r="Z15" s="1541" t="str">
        <f t="shared" si="7"/>
        <v>产业集聚程度</v>
      </c>
      <c r="AA15" s="1538">
        <f t="shared" si="3"/>
        <v>1</v>
      </c>
      <c r="AB15" s="1538">
        <f t="shared" si="4"/>
        <v>1</v>
      </c>
      <c r="AC15" s="1538">
        <f t="shared" si="5"/>
        <v>1</v>
      </c>
    </row>
    <row r="16" spans="1:29" ht="15">
      <c r="A16" s="387"/>
      <c r="B16" s="586"/>
      <c r="C16" s="406" t="s">
        <v>3298</v>
      </c>
      <c r="D16" s="407"/>
      <c r="E16" s="2091" t="s">
        <v>3298</v>
      </c>
      <c r="F16" s="407"/>
      <c r="G16" s="2091" t="s">
        <v>3298</v>
      </c>
      <c r="H16" s="409"/>
      <c r="I16" s="2091" t="s">
        <v>3298</v>
      </c>
      <c r="J16" s="407"/>
      <c r="K16" s="628"/>
      <c r="L16" s="2952"/>
      <c r="M16" s="2946"/>
      <c r="N16" s="2946"/>
      <c r="O16" s="3004"/>
      <c r="P16" s="3335"/>
      <c r="Q16" s="1537"/>
      <c r="R16" s="714"/>
      <c r="S16" s="715"/>
      <c r="T16" s="714"/>
      <c r="U16" s="715"/>
      <c r="V16" s="714"/>
      <c r="W16" s="715"/>
      <c r="X16" s="1540"/>
      <c r="Y16" s="3335"/>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1"/>
      <c r="J17" s="409">
        <f>SUMIF(85:85,I18,86:86)-SUMIF(85:85,C18,86:86)+100</f>
        <v>100</v>
      </c>
      <c r="K17" s="629">
        <v>1</v>
      </c>
      <c r="L17" s="2952"/>
      <c r="M17" s="2946"/>
      <c r="N17" s="2946"/>
      <c r="O17" s="3004"/>
      <c r="P17" s="3335"/>
      <c r="Q17" s="1537" t="str">
        <f>B17</f>
        <v>交通便捷度</v>
      </c>
      <c r="R17" s="714" t="s">
        <v>17</v>
      </c>
      <c r="S17" s="715">
        <f>F17</f>
        <v>100</v>
      </c>
      <c r="T17" s="714" t="s">
        <v>17</v>
      </c>
      <c r="U17" s="715">
        <f>H17</f>
        <v>100</v>
      </c>
      <c r="V17" s="714" t="s">
        <v>17</v>
      </c>
      <c r="W17" s="715">
        <f>J17</f>
        <v>100</v>
      </c>
      <c r="X17" s="1540"/>
      <c r="Y17" s="3335"/>
      <c r="Z17" s="1541" t="str">
        <f>Q17</f>
        <v>交通便捷度</v>
      </c>
      <c r="AA17" s="1538">
        <f t="shared" si="3"/>
        <v>1</v>
      </c>
      <c r="AB17" s="1538">
        <f t="shared" si="4"/>
        <v>1</v>
      </c>
      <c r="AC17" s="1538">
        <f t="shared" si="5"/>
        <v>1</v>
      </c>
    </row>
    <row r="18" spans="1:29" ht="15">
      <c r="A18" s="387"/>
      <c r="B18" s="588"/>
      <c r="C18" s="406" t="s">
        <v>3298</v>
      </c>
      <c r="D18" s="407"/>
      <c r="E18" s="2085" t="s">
        <v>3298</v>
      </c>
      <c r="F18" s="407"/>
      <c r="G18" s="2085" t="s">
        <v>3298</v>
      </c>
      <c r="H18" s="407"/>
      <c r="I18" s="2085" t="s">
        <v>3298</v>
      </c>
      <c r="J18" s="407"/>
      <c r="K18" s="628"/>
      <c r="L18" s="2952"/>
      <c r="M18" s="2946"/>
      <c r="N18" s="2946"/>
      <c r="O18" s="3004"/>
      <c r="P18" s="3335"/>
      <c r="Q18" s="1537"/>
      <c r="R18" s="714"/>
      <c r="S18" s="715"/>
      <c r="T18" s="714"/>
      <c r="U18" s="715"/>
      <c r="V18" s="714"/>
      <c r="W18" s="715"/>
      <c r="X18" s="1540"/>
      <c r="Y18" s="3335"/>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52"/>
      <c r="M19" s="2946"/>
      <c r="N19" s="2946"/>
      <c r="O19" s="3004"/>
      <c r="P19" s="3335"/>
      <c r="Q19" s="1537" t="str">
        <f t="shared" ref="Q19:Q33" si="8">B19</f>
        <v>区域土地利用方向</v>
      </c>
      <c r="R19" s="714" t="s">
        <v>17</v>
      </c>
      <c r="S19" s="715">
        <f>F19</f>
        <v>100</v>
      </c>
      <c r="T19" s="714" t="s">
        <v>17</v>
      </c>
      <c r="U19" s="715">
        <f>H19</f>
        <v>100</v>
      </c>
      <c r="V19" s="714" t="s">
        <v>17</v>
      </c>
      <c r="W19" s="715">
        <f>J19</f>
        <v>100</v>
      </c>
      <c r="X19" s="1540"/>
      <c r="Y19" s="3335"/>
      <c r="Z19" s="1541" t="str">
        <f>Q19</f>
        <v>区域土地利用方向</v>
      </c>
      <c r="AA19" s="1538">
        <f t="shared" si="3"/>
        <v>1</v>
      </c>
      <c r="AB19" s="1538">
        <f t="shared" si="4"/>
        <v>1</v>
      </c>
      <c r="AC19" s="1538">
        <f t="shared" si="5"/>
        <v>1</v>
      </c>
    </row>
    <row r="20" spans="1:29" ht="15">
      <c r="A20" s="364"/>
      <c r="B20" s="588"/>
      <c r="C20" s="406" t="s">
        <v>3298</v>
      </c>
      <c r="D20" s="407"/>
      <c r="E20" s="2085" t="s">
        <v>3298</v>
      </c>
      <c r="F20" s="407"/>
      <c r="G20" s="2085" t="s">
        <v>3298</v>
      </c>
      <c r="H20" s="407"/>
      <c r="I20" s="2085" t="s">
        <v>3298</v>
      </c>
      <c r="J20" s="407"/>
      <c r="K20" s="751"/>
      <c r="L20" s="2952"/>
      <c r="M20" s="2946"/>
      <c r="N20" s="2946"/>
      <c r="O20" s="3004"/>
      <c r="P20" s="3335"/>
      <c r="Q20" s="1537"/>
      <c r="R20" s="714"/>
      <c r="S20" s="715"/>
      <c r="T20" s="714"/>
      <c r="U20" s="715"/>
      <c r="V20" s="714"/>
      <c r="W20" s="715"/>
      <c r="X20" s="1540"/>
      <c r="Y20" s="3335"/>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1</v>
      </c>
      <c r="L21" s="2952"/>
      <c r="M21" s="2946"/>
      <c r="N21" s="2946"/>
      <c r="O21" s="3004"/>
      <c r="P21" s="3335"/>
      <c r="Q21" s="1537" t="str">
        <f t="shared" si="8"/>
        <v>环境状况</v>
      </c>
      <c r="R21" s="714" t="s">
        <v>17</v>
      </c>
      <c r="S21" s="715">
        <f>F21</f>
        <v>100</v>
      </c>
      <c r="T21" s="714" t="s">
        <v>17</v>
      </c>
      <c r="U21" s="715">
        <f>H21</f>
        <v>100</v>
      </c>
      <c r="V21" s="714" t="s">
        <v>17</v>
      </c>
      <c r="W21" s="715">
        <f>J21</f>
        <v>100</v>
      </c>
      <c r="X21" s="1540"/>
      <c r="Y21" s="3335"/>
      <c r="Z21" s="1541" t="str">
        <f>Q21</f>
        <v>环境状况</v>
      </c>
      <c r="AA21" s="1538">
        <f t="shared" si="3"/>
        <v>1</v>
      </c>
      <c r="AB21" s="1538">
        <f t="shared" si="4"/>
        <v>1</v>
      </c>
      <c r="AC21" s="1538">
        <f t="shared" si="5"/>
        <v>1</v>
      </c>
    </row>
    <row r="22" spans="1:29" ht="15">
      <c r="A22" s="364"/>
      <c r="B22" s="588"/>
      <c r="C22" s="406" t="s">
        <v>3298</v>
      </c>
      <c r="D22" s="407"/>
      <c r="E22" s="2091" t="s">
        <v>3298</v>
      </c>
      <c r="F22" s="407"/>
      <c r="G22" s="2091" t="s">
        <v>3298</v>
      </c>
      <c r="H22" s="407"/>
      <c r="I22" s="2091" t="s">
        <v>3298</v>
      </c>
      <c r="J22" s="407"/>
      <c r="K22" s="628"/>
      <c r="L22" s="2952"/>
      <c r="M22" s="2946"/>
      <c r="N22" s="2946"/>
      <c r="O22" s="3004"/>
      <c r="P22" s="3335"/>
      <c r="Q22" s="1537"/>
      <c r="R22" s="714"/>
      <c r="S22" s="715"/>
      <c r="T22" s="714"/>
      <c r="U22" s="715"/>
      <c r="V22" s="714"/>
      <c r="W22" s="715"/>
      <c r="X22" s="1540"/>
      <c r="Y22" s="3335"/>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2</v>
      </c>
      <c r="L23" s="2947"/>
      <c r="M23" s="2948"/>
      <c r="N23" s="2948"/>
      <c r="O23" s="3002"/>
      <c r="P23" s="3335"/>
      <c r="Q23" s="1528" t="str">
        <f t="shared" si="8"/>
        <v>公共配套设施</v>
      </c>
      <c r="R23" s="710" t="s">
        <v>17</v>
      </c>
      <c r="S23" s="711">
        <f>F23</f>
        <v>100</v>
      </c>
      <c r="T23" s="710" t="s">
        <v>17</v>
      </c>
      <c r="U23" s="711">
        <f>H23</f>
        <v>100</v>
      </c>
      <c r="V23" s="710" t="s">
        <v>17</v>
      </c>
      <c r="W23" s="711">
        <f>J23</f>
        <v>100</v>
      </c>
      <c r="X23" s="712"/>
      <c r="Y23" s="3335"/>
      <c r="Z23" s="55" t="str">
        <f>Q23</f>
        <v>公共配套设施</v>
      </c>
      <c r="AA23" s="1538">
        <f>D23/F23</f>
        <v>1</v>
      </c>
      <c r="AB23" s="1538">
        <f>D23/H23</f>
        <v>1</v>
      </c>
      <c r="AC23" s="1538">
        <f>D23/J23</f>
        <v>1</v>
      </c>
    </row>
    <row r="24" spans="1:29" s="113" customFormat="1" ht="15">
      <c r="A24" s="605"/>
      <c r="B24" s="588"/>
      <c r="C24" s="2165" t="s">
        <v>3299</v>
      </c>
      <c r="D24" s="407"/>
      <c r="E24" s="2091" t="s">
        <v>3299</v>
      </c>
      <c r="F24" s="407"/>
      <c r="G24" s="2091" t="s">
        <v>3299</v>
      </c>
      <c r="H24" s="407"/>
      <c r="I24" s="2091" t="s">
        <v>3299</v>
      </c>
      <c r="J24" s="407"/>
      <c r="K24" s="628"/>
      <c r="L24" s="2947"/>
      <c r="M24" s="2948"/>
      <c r="N24" s="2948"/>
      <c r="O24" s="3002"/>
      <c r="P24" s="3335"/>
      <c r="Q24" s="1528"/>
      <c r="R24" s="710"/>
      <c r="S24" s="711"/>
      <c r="T24" s="710"/>
      <c r="U24" s="711"/>
      <c r="V24" s="710"/>
      <c r="W24" s="711"/>
      <c r="X24" s="712"/>
      <c r="Y24" s="3335"/>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7"/>
      <c r="M25" s="2948"/>
      <c r="N25" s="2948"/>
      <c r="O25" s="3002"/>
      <c r="P25" s="3335"/>
      <c r="Q25" s="1528" t="str">
        <f t="shared" ref="Q25" si="9">B25</f>
        <v>基础设施水平</v>
      </c>
      <c r="R25" s="710" t="s">
        <v>17</v>
      </c>
      <c r="S25" s="711">
        <f>F25</f>
        <v>100</v>
      </c>
      <c r="T25" s="710" t="s">
        <v>17</v>
      </c>
      <c r="U25" s="711">
        <f>H25</f>
        <v>100</v>
      </c>
      <c r="V25" s="710" t="s">
        <v>17</v>
      </c>
      <c r="W25" s="711">
        <f>J25</f>
        <v>100</v>
      </c>
      <c r="X25" s="712"/>
      <c r="Y25" s="3335"/>
      <c r="Z25" s="55" t="str">
        <f>Q25</f>
        <v>基础设施水平</v>
      </c>
      <c r="AA25" s="1538">
        <f>D25/F25</f>
        <v>1</v>
      </c>
      <c r="AB25" s="1538">
        <f>D25/H25</f>
        <v>1</v>
      </c>
      <c r="AC25" s="1538">
        <f>D25/J25</f>
        <v>1</v>
      </c>
    </row>
    <row r="26" spans="1:29" s="113" customFormat="1" ht="15.75" thickBot="1">
      <c r="A26" s="605"/>
      <c r="B26" s="588"/>
      <c r="C26" s="2165" t="s">
        <v>3292</v>
      </c>
      <c r="D26" s="407"/>
      <c r="E26" s="2166" t="s">
        <v>3292</v>
      </c>
      <c r="F26" s="407"/>
      <c r="G26" s="2166" t="s">
        <v>3292</v>
      </c>
      <c r="H26" s="407"/>
      <c r="I26" s="2166" t="s">
        <v>3292</v>
      </c>
      <c r="J26" s="407"/>
      <c r="K26" s="628"/>
      <c r="L26" s="2947"/>
      <c r="M26" s="2948"/>
      <c r="N26" s="2948"/>
      <c r="O26" s="3002"/>
      <c r="P26" s="3335"/>
      <c r="Q26" s="1528"/>
      <c r="R26" s="710"/>
      <c r="S26" s="711"/>
      <c r="T26" s="710"/>
      <c r="U26" s="711"/>
      <c r="V26" s="710"/>
      <c r="W26" s="711"/>
      <c r="X26" s="712"/>
      <c r="Y26" s="3335"/>
      <c r="Z26" s="55"/>
      <c r="AA26" s="713">
        <v>1</v>
      </c>
      <c r="AB26" s="713">
        <v>1</v>
      </c>
      <c r="AC26" s="713">
        <v>1</v>
      </c>
    </row>
    <row r="27" spans="1:29" ht="15" hidden="1">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3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35"/>
      <c r="Z27" s="1541" t="str">
        <f t="shared" ref="Z27:Z40" si="13">Q27</f>
        <v>临街状况</v>
      </c>
      <c r="AA27" s="1538">
        <f t="shared" si="3"/>
        <v>1</v>
      </c>
      <c r="AB27" s="1538">
        <f t="shared" si="4"/>
        <v>1</v>
      </c>
      <c r="AC27" s="1538">
        <f t="shared" si="5"/>
        <v>1</v>
      </c>
    </row>
    <row r="28" spans="1:29" ht="27" hidden="1">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35"/>
      <c r="Q28" s="1537" t="str">
        <f t="shared" si="8"/>
        <v>毗邻道路的类型与等级</v>
      </c>
      <c r="R28" s="714" t="s">
        <v>17</v>
      </c>
      <c r="S28" s="715">
        <f t="shared" si="10"/>
        <v>100</v>
      </c>
      <c r="T28" s="714" t="s">
        <v>17</v>
      </c>
      <c r="U28" s="715">
        <f t="shared" si="11"/>
        <v>100</v>
      </c>
      <c r="V28" s="714" t="s">
        <v>17</v>
      </c>
      <c r="W28" s="715">
        <f t="shared" si="12"/>
        <v>100</v>
      </c>
      <c r="X28" s="1540"/>
      <c r="Y28" s="3335"/>
      <c r="Z28" s="1541" t="str">
        <f t="shared" si="13"/>
        <v>毗邻道路的类型与等级</v>
      </c>
      <c r="AA28" s="1538">
        <f t="shared" si="3"/>
        <v>1</v>
      </c>
      <c r="AB28" s="1538">
        <f t="shared" si="4"/>
        <v>1</v>
      </c>
      <c r="AC28" s="1538">
        <f t="shared" si="5"/>
        <v>1</v>
      </c>
    </row>
    <row r="29" spans="1:29" ht="15" hidden="1">
      <c r="A29" s="387"/>
      <c r="B29" s="588"/>
      <c r="C29" s="406"/>
      <c r="D29" s="407"/>
      <c r="E29" s="2091"/>
      <c r="F29" s="407"/>
      <c r="G29" s="2091"/>
      <c r="H29" s="407"/>
      <c r="I29" s="2091"/>
      <c r="J29" s="407"/>
      <c r="K29" s="570"/>
      <c r="L29" s="2952"/>
      <c r="M29" s="2946"/>
      <c r="N29" s="2946"/>
      <c r="O29" s="3004"/>
      <c r="P29" s="3335"/>
      <c r="Q29" s="1537"/>
      <c r="R29" s="714"/>
      <c r="S29" s="715"/>
      <c r="T29" s="714"/>
      <c r="U29" s="715"/>
      <c r="V29" s="714"/>
      <c r="W29" s="715"/>
      <c r="X29" s="1540"/>
      <c r="Y29" s="3335"/>
      <c r="Z29" s="1541"/>
      <c r="AA29" s="1538">
        <v>1</v>
      </c>
      <c r="AB29" s="1538">
        <v>1</v>
      </c>
      <c r="AC29" s="1538">
        <v>1</v>
      </c>
    </row>
    <row r="30" spans="1:29" ht="15" hidden="1">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35"/>
      <c r="Q30" s="1537" t="str">
        <f t="shared" si="8"/>
        <v>土地级别</v>
      </c>
      <c r="R30" s="714" t="s">
        <v>17</v>
      </c>
      <c r="S30" s="715">
        <f t="shared" si="10"/>
        <v>100</v>
      </c>
      <c r="T30" s="714" t="s">
        <v>17</v>
      </c>
      <c r="U30" s="715">
        <f t="shared" si="11"/>
        <v>100</v>
      </c>
      <c r="V30" s="714" t="s">
        <v>17</v>
      </c>
      <c r="W30" s="715">
        <f t="shared" si="12"/>
        <v>100</v>
      </c>
      <c r="X30" s="1540"/>
      <c r="Y30" s="3335"/>
      <c r="Z30" s="1541" t="str">
        <f t="shared" si="13"/>
        <v>土地级别</v>
      </c>
      <c r="AA30" s="1538">
        <f t="shared" si="3"/>
        <v>1</v>
      </c>
      <c r="AB30" s="1538">
        <f t="shared" si="4"/>
        <v>1</v>
      </c>
      <c r="AC30" s="1538">
        <f t="shared" si="5"/>
        <v>1</v>
      </c>
    </row>
    <row r="31" spans="1:29" ht="15" hidden="1">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35"/>
      <c r="Q31" s="1537">
        <f t="shared" si="8"/>
        <v>111</v>
      </c>
      <c r="R31" s="714" t="s">
        <v>17</v>
      </c>
      <c r="S31" s="715">
        <f t="shared" si="10"/>
        <v>100</v>
      </c>
      <c r="T31" s="714" t="s">
        <v>17</v>
      </c>
      <c r="U31" s="715">
        <f t="shared" si="11"/>
        <v>100</v>
      </c>
      <c r="V31" s="714" t="s">
        <v>17</v>
      </c>
      <c r="W31" s="715">
        <f t="shared" si="12"/>
        <v>100</v>
      </c>
      <c r="X31" s="1540"/>
      <c r="Y31" s="3335"/>
      <c r="Z31" s="1541">
        <f t="shared" si="13"/>
        <v>111</v>
      </c>
      <c r="AA31" s="1538">
        <f t="shared" si="3"/>
        <v>1</v>
      </c>
      <c r="AB31" s="1538">
        <f t="shared" si="4"/>
        <v>1</v>
      </c>
      <c r="AC31" s="1538">
        <f t="shared" si="5"/>
        <v>1</v>
      </c>
    </row>
    <row r="32" spans="1:29" ht="15" hidden="1">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90" t="s">
        <v>2385</v>
      </c>
      <c r="Q32" s="1537">
        <f t="shared" si="8"/>
        <v>111</v>
      </c>
      <c r="R32" s="714" t="s">
        <v>17</v>
      </c>
      <c r="S32" s="715">
        <f t="shared" si="10"/>
        <v>100</v>
      </c>
      <c r="T32" s="714" t="s">
        <v>17</v>
      </c>
      <c r="U32" s="715">
        <f t="shared" si="11"/>
        <v>100</v>
      </c>
      <c r="V32" s="714" t="s">
        <v>17</v>
      </c>
      <c r="W32" s="715">
        <f t="shared" si="12"/>
        <v>100</v>
      </c>
      <c r="X32" s="1540"/>
      <c r="Y32" s="3339" t="s">
        <v>2385</v>
      </c>
      <c r="Z32" s="1541">
        <f t="shared" si="13"/>
        <v>111</v>
      </c>
      <c r="AA32" s="1538">
        <f t="shared" si="3"/>
        <v>1</v>
      </c>
      <c r="AB32" s="1538">
        <f t="shared" si="4"/>
        <v>1</v>
      </c>
      <c r="AC32" s="1538">
        <f t="shared" si="5"/>
        <v>1</v>
      </c>
    </row>
    <row r="33" spans="1:31" s="430" customFormat="1" ht="15.75" hidden="1"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39"/>
      <c r="Q33" s="1537">
        <f t="shared" si="8"/>
        <v>111</v>
      </c>
      <c r="R33" s="717" t="s">
        <v>17</v>
      </c>
      <c r="S33" s="718">
        <f t="shared" si="10"/>
        <v>100</v>
      </c>
      <c r="T33" s="717" t="s">
        <v>17</v>
      </c>
      <c r="U33" s="718">
        <f t="shared" si="11"/>
        <v>100</v>
      </c>
      <c r="V33" s="717" t="s">
        <v>17</v>
      </c>
      <c r="W33" s="718">
        <f t="shared" si="12"/>
        <v>100</v>
      </c>
      <c r="X33" s="719"/>
      <c r="Y33" s="3339"/>
      <c r="Z33" s="720">
        <f t="shared" si="13"/>
        <v>111</v>
      </c>
      <c r="AA33" s="1538">
        <f t="shared" si="3"/>
        <v>1</v>
      </c>
      <c r="AB33" s="1538">
        <f t="shared" si="4"/>
        <v>1</v>
      </c>
      <c r="AC33" s="1538">
        <f t="shared" si="5"/>
        <v>1</v>
      </c>
    </row>
    <row r="34" spans="1:31" ht="15">
      <c r="A34" s="399" t="s">
        <v>2383</v>
      </c>
      <c r="B34" s="415" t="s">
        <v>2571</v>
      </c>
      <c r="C34" s="635">
        <f>'数据-汇总表'!D3</f>
        <v>106517.9</v>
      </c>
      <c r="D34" s="426">
        <v>100</v>
      </c>
      <c r="E34" s="635">
        <f>案例!D53</f>
        <v>10730.4</v>
      </c>
      <c r="F34" s="426">
        <f>LOOKUP(E34,108:108,109:109)-LOOKUP(C34,108:108,109:109)+100</f>
        <v>96</v>
      </c>
      <c r="G34" s="635">
        <f>案例!E19</f>
        <v>27213.200000000001</v>
      </c>
      <c r="H34" s="426">
        <f>LOOKUP(G34,108:108,109:109)-LOOKUP(C34,108:108,109:109)+100</f>
        <v>97</v>
      </c>
      <c r="I34" s="487">
        <f>案例!D25</f>
        <v>30911.9</v>
      </c>
      <c r="J34" s="426">
        <f>LOOKUP(I34,108:108,109:109)-LOOKUP(C34,108:108,109:109)+100</f>
        <v>97</v>
      </c>
      <c r="K34" s="570"/>
      <c r="L34" s="2952"/>
      <c r="M34" s="2946"/>
      <c r="N34" s="2946"/>
      <c r="O34" s="3004"/>
      <c r="P34" s="3339"/>
      <c r="Q34" s="1537" t="str">
        <f>B34</f>
        <v>宗地面积</v>
      </c>
      <c r="R34" s="714" t="s">
        <v>17</v>
      </c>
      <c r="S34" s="715">
        <f t="shared" si="10"/>
        <v>96</v>
      </c>
      <c r="T34" s="714" t="s">
        <v>17</v>
      </c>
      <c r="U34" s="715">
        <f t="shared" si="11"/>
        <v>97</v>
      </c>
      <c r="V34" s="714" t="s">
        <v>17</v>
      </c>
      <c r="W34" s="715">
        <f t="shared" si="12"/>
        <v>97</v>
      </c>
      <c r="X34" s="1540"/>
      <c r="Y34" s="3339"/>
      <c r="Z34" s="1541" t="str">
        <f t="shared" si="13"/>
        <v>宗地面积</v>
      </c>
      <c r="AA34" s="1538">
        <f t="shared" si="3"/>
        <v>1.0416666666666667</v>
      </c>
      <c r="AB34" s="1538">
        <f t="shared" si="4"/>
        <v>1.0309278350515463</v>
      </c>
      <c r="AC34" s="1538">
        <f t="shared" si="5"/>
        <v>1.0309278350515463</v>
      </c>
    </row>
    <row r="35" spans="1:31" ht="15">
      <c r="A35" s="431"/>
      <c r="B35" s="381" t="s">
        <v>2572</v>
      </c>
      <c r="C35" s="2093" t="s">
        <v>3300</v>
      </c>
      <c r="D35" s="394">
        <v>100</v>
      </c>
      <c r="E35" s="2093" t="s">
        <v>3300</v>
      </c>
      <c r="F35" s="394">
        <f>SUMIF(110:110,E35,111:111)-SUMIF(110:110,C35,111:111)+100</f>
        <v>100</v>
      </c>
      <c r="G35" s="2093" t="s">
        <v>3300</v>
      </c>
      <c r="H35" s="394">
        <f>SUMIF(110:110,G35,111:111)-SUMIF(110:110,C35,111:111)+100</f>
        <v>100</v>
      </c>
      <c r="I35" s="2093" t="s">
        <v>3300</v>
      </c>
      <c r="J35" s="394">
        <f>SUMIF(110:110,I35,111:111)-SUMIF(110:110,C35,111:111)+100</f>
        <v>100</v>
      </c>
      <c r="K35" s="569">
        <v>2</v>
      </c>
      <c r="L35" s="2952"/>
      <c r="M35" s="2946"/>
      <c r="N35" s="2946"/>
      <c r="O35" s="3004"/>
      <c r="P35" s="3339"/>
      <c r="Q35" s="1537" t="str">
        <f t="shared" ref="Q35:Q40" si="14">B35</f>
        <v>宗地形状</v>
      </c>
      <c r="R35" s="714" t="s">
        <v>17</v>
      </c>
      <c r="S35" s="715">
        <f t="shared" si="10"/>
        <v>100</v>
      </c>
      <c r="T35" s="714" t="s">
        <v>17</v>
      </c>
      <c r="U35" s="715">
        <f t="shared" si="11"/>
        <v>100</v>
      </c>
      <c r="V35" s="714" t="s">
        <v>17</v>
      </c>
      <c r="W35" s="715">
        <f t="shared" si="12"/>
        <v>100</v>
      </c>
      <c r="X35" s="1540"/>
      <c r="Y35" s="3339"/>
      <c r="Z35" s="1541" t="str">
        <f t="shared" si="13"/>
        <v>宗地形状</v>
      </c>
      <c r="AA35" s="1538">
        <f t="shared" si="3"/>
        <v>1</v>
      </c>
      <c r="AB35" s="1538">
        <f t="shared" si="4"/>
        <v>1</v>
      </c>
      <c r="AC35" s="1538">
        <f t="shared" si="5"/>
        <v>1</v>
      </c>
    </row>
    <row r="36" spans="1:31" s="113" customFormat="1" ht="15">
      <c r="A36" s="432"/>
      <c r="B36" s="381" t="s">
        <v>2574</v>
      </c>
      <c r="C36" s="2167" t="s">
        <v>3292</v>
      </c>
      <c r="D36" s="132">
        <v>100</v>
      </c>
      <c r="E36" s="2167" t="s">
        <v>3293</v>
      </c>
      <c r="F36" s="394">
        <f>SUMIF(112:112,E36,113:113)-SUMIF(112:112,C36,113:113)+100</f>
        <v>98</v>
      </c>
      <c r="G36" s="2167" t="s">
        <v>3292</v>
      </c>
      <c r="H36" s="394">
        <f>SUMIF(112:112,G36,113:113)-SUMIF(112:112,C36,113:113)+100</f>
        <v>100</v>
      </c>
      <c r="I36" s="2167" t="s">
        <v>3292</v>
      </c>
      <c r="J36" s="394">
        <f>SUMIF(112:112,I36,113:113)-SUMIF(112:112,C36,113:113)+100</f>
        <v>100</v>
      </c>
      <c r="K36" s="569">
        <v>2</v>
      </c>
      <c r="L36" s="2947"/>
      <c r="M36" s="2948"/>
      <c r="N36" s="2948"/>
      <c r="O36" s="3002"/>
      <c r="P36" s="3339"/>
      <c r="Q36" s="1537" t="str">
        <f t="shared" si="14"/>
        <v>宗地开发程度</v>
      </c>
      <c r="R36" s="710" t="s">
        <v>17</v>
      </c>
      <c r="S36" s="711">
        <f t="shared" si="10"/>
        <v>98</v>
      </c>
      <c r="T36" s="710" t="s">
        <v>17</v>
      </c>
      <c r="U36" s="711">
        <f t="shared" si="11"/>
        <v>100</v>
      </c>
      <c r="V36" s="710" t="s">
        <v>17</v>
      </c>
      <c r="W36" s="711">
        <f t="shared" si="12"/>
        <v>100</v>
      </c>
      <c r="X36" s="712"/>
      <c r="Y36" s="3339"/>
      <c r="Z36" s="55" t="str">
        <f t="shared" si="13"/>
        <v>宗地开发程度</v>
      </c>
      <c r="AA36" s="713">
        <f t="shared" si="3"/>
        <v>1.0204081632653061</v>
      </c>
      <c r="AB36" s="713">
        <f t="shared" si="4"/>
        <v>1</v>
      </c>
      <c r="AC36" s="713">
        <f t="shared" si="5"/>
        <v>1</v>
      </c>
    </row>
    <row r="37" spans="1:31" ht="15">
      <c r="A37" s="431"/>
      <c r="B37" s="381" t="s">
        <v>2575</v>
      </c>
      <c r="C37" s="2093" t="s">
        <v>3298</v>
      </c>
      <c r="D37" s="394">
        <v>100</v>
      </c>
      <c r="E37" s="2093" t="s">
        <v>3298</v>
      </c>
      <c r="F37" s="394">
        <f>SUMIF(114:114,E37,115:115)-SUMIF(114:114,C37,115:115)+100</f>
        <v>100</v>
      </c>
      <c r="G37" s="2093" t="s">
        <v>3298</v>
      </c>
      <c r="H37" s="394">
        <f>SUMIF(114:114,G37,115:115)-SUMIF(114:114,C37,115:115)+100</f>
        <v>100</v>
      </c>
      <c r="I37" s="2093" t="s">
        <v>3298</v>
      </c>
      <c r="J37" s="394">
        <f>SUMIF(114:114,I37,115:115)-SUMIF(114:114,C37,115:115)+100</f>
        <v>100</v>
      </c>
      <c r="K37" s="569">
        <v>2</v>
      </c>
      <c r="L37" s="2952"/>
      <c r="M37" s="2946"/>
      <c r="N37" s="2946"/>
      <c r="O37" s="3004"/>
      <c r="P37" s="3339" t="s">
        <v>2385</v>
      </c>
      <c r="Q37" s="1537" t="str">
        <f t="shared" si="14"/>
        <v>工程地质条件</v>
      </c>
      <c r="R37" s="714" t="s">
        <v>17</v>
      </c>
      <c r="S37" s="715">
        <f t="shared" si="10"/>
        <v>100</v>
      </c>
      <c r="T37" s="714" t="s">
        <v>17</v>
      </c>
      <c r="U37" s="715">
        <f t="shared" si="11"/>
        <v>100</v>
      </c>
      <c r="V37" s="714" t="s">
        <v>17</v>
      </c>
      <c r="W37" s="715">
        <f t="shared" si="12"/>
        <v>100</v>
      </c>
      <c r="X37" s="1540"/>
      <c r="Y37" s="3339"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39"/>
      <c r="Q38" s="1537">
        <f t="shared" si="14"/>
        <v>111</v>
      </c>
      <c r="R38" s="714" t="s">
        <v>17</v>
      </c>
      <c r="S38" s="715">
        <f t="shared" si="10"/>
        <v>100</v>
      </c>
      <c r="T38" s="714" t="s">
        <v>17</v>
      </c>
      <c r="U38" s="715">
        <f t="shared" si="11"/>
        <v>100</v>
      </c>
      <c r="V38" s="714" t="s">
        <v>17</v>
      </c>
      <c r="W38" s="715">
        <f t="shared" si="12"/>
        <v>100</v>
      </c>
      <c r="X38" s="1540"/>
      <c r="Y38" s="333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39"/>
      <c r="Q39" s="1537">
        <f t="shared" si="14"/>
        <v>111</v>
      </c>
      <c r="R39" s="714" t="s">
        <v>17</v>
      </c>
      <c r="S39" s="715">
        <f t="shared" si="10"/>
        <v>100</v>
      </c>
      <c r="T39" s="714" t="s">
        <v>17</v>
      </c>
      <c r="U39" s="715">
        <f t="shared" si="11"/>
        <v>100</v>
      </c>
      <c r="V39" s="714" t="s">
        <v>17</v>
      </c>
      <c r="W39" s="715">
        <f t="shared" si="12"/>
        <v>100</v>
      </c>
      <c r="X39" s="1540"/>
      <c r="Y39" s="3339"/>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39"/>
      <c r="Q40" s="1537">
        <f t="shared" si="14"/>
        <v>111</v>
      </c>
      <c r="R40" s="717" t="s">
        <v>17</v>
      </c>
      <c r="S40" s="718">
        <f t="shared" si="10"/>
        <v>100</v>
      </c>
      <c r="T40" s="717" t="s">
        <v>17</v>
      </c>
      <c r="U40" s="718">
        <f t="shared" si="11"/>
        <v>100</v>
      </c>
      <c r="V40" s="717" t="s">
        <v>17</v>
      </c>
      <c r="W40" s="718">
        <f t="shared" si="12"/>
        <v>100</v>
      </c>
      <c r="X40" s="719"/>
      <c r="Y40" s="3339"/>
      <c r="Z40" s="720">
        <f t="shared" si="13"/>
        <v>111</v>
      </c>
      <c r="AA40" s="1538">
        <f t="shared" si="3"/>
        <v>1</v>
      </c>
      <c r="AB40" s="1538">
        <f t="shared" si="4"/>
        <v>1</v>
      </c>
      <c r="AC40" s="1538">
        <f t="shared" si="5"/>
        <v>1</v>
      </c>
    </row>
    <row r="41" spans="1:31" ht="15">
      <c r="A41" s="438" t="s">
        <v>2540</v>
      </c>
      <c r="B41" s="2169" t="s">
        <v>3305</v>
      </c>
      <c r="C41" s="638" t="s">
        <v>1</v>
      </c>
      <c r="D41" s="440"/>
      <c r="E41" s="441">
        <f>案例!S53</f>
        <v>2206</v>
      </c>
      <c r="F41" s="442"/>
      <c r="G41" s="443">
        <f>案例!S54</f>
        <v>2206</v>
      </c>
      <c r="H41" s="444"/>
      <c r="I41" s="441">
        <f>案例!S55</f>
        <v>1875</v>
      </c>
      <c r="J41" s="444"/>
      <c r="K41" s="723"/>
      <c r="L41" s="2954"/>
      <c r="M41" s="2946"/>
      <c r="N41" s="2946"/>
      <c r="O41" s="2955"/>
      <c r="P41" s="3332" t="str">
        <f>A41</f>
        <v>成交单价</v>
      </c>
      <c r="Q41" s="3332"/>
      <c r="R41" s="3363">
        <f>E41</f>
        <v>2206</v>
      </c>
      <c r="S41" s="3363"/>
      <c r="T41" s="3363">
        <f>G41</f>
        <v>2206</v>
      </c>
      <c r="U41" s="3363"/>
      <c r="V41" s="3363">
        <f>I41</f>
        <v>1875</v>
      </c>
      <c r="W41" s="3363"/>
      <c r="X41" s="699"/>
      <c r="Y41" s="721"/>
      <c r="Z41" s="699"/>
      <c r="AA41" s="699"/>
      <c r="AB41" s="699"/>
      <c r="AC41" s="699"/>
    </row>
    <row r="42" spans="1:31" ht="15.75" thickBot="1">
      <c r="A42" s="445" t="s">
        <v>2489</v>
      </c>
      <c r="B42" s="639"/>
      <c r="C42" s="448">
        <f>R43</f>
        <v>2130</v>
      </c>
      <c r="D42" s="2539" t="s">
        <v>2879</v>
      </c>
      <c r="E42" s="448">
        <f>R42</f>
        <v>2289</v>
      </c>
      <c r="F42" s="2540"/>
      <c r="G42" s="447">
        <f>T42</f>
        <v>2187</v>
      </c>
      <c r="H42" s="2540"/>
      <c r="I42" s="448">
        <f>V42</f>
        <v>1915</v>
      </c>
      <c r="J42" s="2540"/>
      <c r="K42" s="2542">
        <f>F42+H42+J42</f>
        <v>0</v>
      </c>
      <c r="L42" s="2954"/>
      <c r="M42" s="2946"/>
      <c r="N42" s="2946"/>
      <c r="O42" s="2955"/>
      <c r="P42" s="3332" t="str">
        <f>A42</f>
        <v>比较价值（元/平方米）</v>
      </c>
      <c r="Q42" s="3332"/>
      <c r="R42" s="3392">
        <f>ROUND(PRODUCT(R41,AA7:AA40),0)</f>
        <v>2289</v>
      </c>
      <c r="S42" s="3392"/>
      <c r="T42" s="3392">
        <f>ROUND(PRODUCT(T41,AB7:AB40),0)</f>
        <v>2187</v>
      </c>
      <c r="U42" s="3392"/>
      <c r="V42" s="3392">
        <f>ROUND(PRODUCT(V41,AC7:AC40),0)</f>
        <v>1915</v>
      </c>
      <c r="W42" s="3392"/>
      <c r="X42" s="699"/>
      <c r="Y42" s="699"/>
      <c r="Z42" s="699"/>
      <c r="AA42" s="699"/>
      <c r="AB42" s="699"/>
      <c r="AC42" s="699"/>
    </row>
    <row r="43" spans="1:31" ht="15.75" thickBot="1">
      <c r="A43" s="449" t="s">
        <v>2490</v>
      </c>
      <c r="B43" s="450"/>
      <c r="C43" s="451">
        <f>R43</f>
        <v>2130</v>
      </c>
      <c r="D43" s="451"/>
      <c r="E43" s="451"/>
      <c r="F43" s="451"/>
      <c r="G43" s="451"/>
      <c r="H43" s="451"/>
      <c r="I43" s="451"/>
      <c r="J43" s="451"/>
      <c r="K43" s="724"/>
      <c r="L43" s="2954"/>
      <c r="M43" s="2946"/>
      <c r="N43" s="2946"/>
      <c r="O43" s="2955"/>
      <c r="P43" s="3329" t="str">
        <f>A43</f>
        <v>估价对象XX用房的比较价值（楼面单价，元/平方米）</v>
      </c>
      <c r="Q43" s="3330"/>
      <c r="R43" s="3393">
        <f>ROUND(IF(D42="简单平均",AVERAGE(R42:W42),R42*F42+T42*H42+V42*J42),0)</f>
        <v>2130</v>
      </c>
      <c r="S43" s="3393"/>
      <c r="T43" s="3393"/>
      <c r="U43" s="3393"/>
      <c r="V43" s="3393"/>
      <c r="W43" s="3393"/>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f>IF(E41&lt;E42,E42/E41-1,E41/E42-1)</f>
        <v>3.7624660018132472E-2</v>
      </c>
      <c r="F46" s="457" t="str">
        <f>IF(OR(E46&gt;=0.3,E46&lt;=-0.3),"超过30%","")</f>
        <v/>
      </c>
      <c r="G46" s="456">
        <f>IF(G41&lt;G42,G42/G41-1,G41/G42-1)</f>
        <v>8.6877000457248332E-3</v>
      </c>
      <c r="H46" s="457" t="str">
        <f>IF(OR(G46&gt;=0.3,G46&lt;=-0.3),"超过30%","")</f>
        <v/>
      </c>
      <c r="I46" s="456">
        <f>IF(I41&lt;I42,I42/I41-1,I41/I42-1)</f>
        <v>2.1333333333333426E-2</v>
      </c>
      <c r="J46" s="457" t="str">
        <f>IF(OR(I46&gt;=0.3,I46&lt;=-0.3),"超过30%","")</f>
        <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f>IF(E42&lt;G42,G42/E42-1,E42/G42-1)</f>
        <v>4.6639231824417093E-2</v>
      </c>
      <c r="F47" s="457" t="str">
        <f>IF(OR(E47&gt;=0.2,E47&lt;=-0.2),"超过20%","")</f>
        <v/>
      </c>
      <c r="G47" s="456">
        <f>IF(G42&lt;I42,I42/G42-1,G42/I42-1)</f>
        <v>0.14203655352480427</v>
      </c>
      <c r="H47" s="457" t="str">
        <f>IF(OR(G47&gt;=0.2,G47&lt;=-0.2),"超过20%","")</f>
        <v/>
      </c>
      <c r="I47" s="456">
        <f>IF(I42&lt;E42,E42/I42-1,I42/E42-1)</f>
        <v>0.1953002610966057</v>
      </c>
      <c r="J47" s="457" t="str">
        <f>IF(OR(I47&gt;=0.2,I47&lt;=-0.2),"超过20%","")</f>
        <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f>IF(E41&lt;G41,G41/E41-1,E41/G41-1)</f>
        <v>0</v>
      </c>
      <c r="F48" s="457" t="str">
        <f>IF(OR(E48&gt;=0.3,E48&lt;=-0.3),"超过30%","")</f>
        <v/>
      </c>
      <c r="G48" s="456">
        <f>IF(G41&lt;I41,I41/G41-1,G41/I41-1)</f>
        <v>0.17653333333333343</v>
      </c>
      <c r="H48" s="457" t="str">
        <f>IF(OR(G48&gt;=0.3,G48&lt;=-0.3),"超过30%","")</f>
        <v/>
      </c>
      <c r="I48" s="456">
        <f>IF(I41&lt;E41,E41/I41-1,I41/E41-1)</f>
        <v>0.17653333333333343</v>
      </c>
      <c r="J48" s="457" t="str">
        <f>IF(OR(I48&gt;=0.3,I48&lt;=-0.3),"超过30%","")</f>
        <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347" t="s">
        <v>2584</v>
      </c>
      <c r="H50" s="3394"/>
      <c r="I50" s="1541" t="s">
        <v>2620</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f>C43</f>
        <v>2130</v>
      </c>
      <c r="C51" s="646">
        <v>1</v>
      </c>
      <c r="D51" s="1075">
        <v>1</v>
      </c>
      <c r="E51" s="646">
        <f>'数据-汇总表'!E8+'数据-汇总表'!E9</f>
        <v>125965.92</v>
      </c>
      <c r="F51" s="647">
        <f t="shared" ref="F51:F60" si="15">ROUND(B51*E51/10000,0)</f>
        <v>26831</v>
      </c>
      <c r="G51" s="3343"/>
      <c r="H51" s="333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f>ROUND($C$43*C52*D52,0)</f>
        <v>0</v>
      </c>
      <c r="C52" s="176">
        <f t="shared" ref="C52:C60" si="16">IF($C$50="北京市系数",I52,J52)</f>
        <v>0</v>
      </c>
      <c r="D52" s="1076">
        <v>0.25</v>
      </c>
      <c r="E52" s="650"/>
      <c r="F52" s="647">
        <f t="shared" si="15"/>
        <v>0</v>
      </c>
      <c r="G52" s="3395" t="s">
        <v>2589</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f t="shared" ref="B53:B60" si="17">ROUND($C$43*C53*D53,0)</f>
        <v>0</v>
      </c>
      <c r="C53" s="176">
        <f t="shared" si="16"/>
        <v>0</v>
      </c>
      <c r="D53" s="1076">
        <v>0.25</v>
      </c>
      <c r="E53" s="650"/>
      <c r="F53" s="647">
        <f t="shared" si="15"/>
        <v>0</v>
      </c>
      <c r="G53" s="3395"/>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f t="shared" si="17"/>
        <v>0</v>
      </c>
      <c r="C54" s="176">
        <f t="shared" si="16"/>
        <v>0</v>
      </c>
      <c r="D54" s="1076">
        <v>0.25</v>
      </c>
      <c r="E54" s="650"/>
      <c r="F54" s="647">
        <f t="shared" si="15"/>
        <v>0</v>
      </c>
      <c r="G54" s="3395"/>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f t="shared" si="17"/>
        <v>0</v>
      </c>
      <c r="C55" s="176">
        <f t="shared" si="16"/>
        <v>0</v>
      </c>
      <c r="D55" s="1076">
        <v>0.25</v>
      </c>
      <c r="E55" s="650"/>
      <c r="F55" s="647">
        <f t="shared" si="15"/>
        <v>0</v>
      </c>
      <c r="G55" s="3395"/>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f t="shared" si="17"/>
        <v>0</v>
      </c>
      <c r="C56" s="176">
        <f t="shared" si="16"/>
        <v>0</v>
      </c>
      <c r="D56" s="1076">
        <v>0.25</v>
      </c>
      <c r="E56" s="223">
        <f>'数据-汇总表'!E11</f>
        <v>0</v>
      </c>
      <c r="F56" s="647">
        <f t="shared" si="15"/>
        <v>0</v>
      </c>
      <c r="G56" s="2174" t="s">
        <v>2594</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f t="shared" si="17"/>
        <v>0</v>
      </c>
      <c r="C57" s="176">
        <f t="shared" si="16"/>
        <v>0</v>
      </c>
      <c r="D57" s="1076">
        <v>0.25</v>
      </c>
      <c r="E57" s="223">
        <f>'数据-汇总表'!E12</f>
        <v>0</v>
      </c>
      <c r="F57" s="647">
        <f t="shared" si="15"/>
        <v>0</v>
      </c>
      <c r="G57" s="1023" t="s">
        <v>3306</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f t="shared" si="17"/>
        <v>0</v>
      </c>
      <c r="C58" s="176">
        <f t="shared" si="16"/>
        <v>0</v>
      </c>
      <c r="D58" s="1076">
        <v>0.25</v>
      </c>
      <c r="E58" s="223">
        <f>'数据-汇总表'!E13</f>
        <v>34590.520000000004</v>
      </c>
      <c r="F58" s="647">
        <f t="shared" si="15"/>
        <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f t="shared" si="17"/>
        <v>0</v>
      </c>
      <c r="C59" s="176">
        <f t="shared" si="16"/>
        <v>0</v>
      </c>
      <c r="D59" s="1076">
        <v>0.25</v>
      </c>
      <c r="E59" s="223">
        <f>'数据-汇总表'!E14</f>
        <v>0</v>
      </c>
      <c r="F59" s="647">
        <f t="shared" si="15"/>
        <v>0</v>
      </c>
      <c r="G59" s="2174" t="s">
        <v>2589</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f t="shared" si="17"/>
        <v>0</v>
      </c>
      <c r="C60" s="176">
        <f t="shared" si="16"/>
        <v>0</v>
      </c>
      <c r="D60" s="1076">
        <v>0.25</v>
      </c>
      <c r="E60" s="223">
        <f>'数据-汇总表'!E15</f>
        <v>0</v>
      </c>
      <c r="F60" s="647">
        <f t="shared" si="15"/>
        <v>0</v>
      </c>
      <c r="G60" s="2175" t="s">
        <v>2594</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106517.9</v>
      </c>
      <c r="F61" s="653">
        <f>IF(B41="楼面地价",SUM(F51:F60),ROUND(C43*E61/10000,0))</f>
        <v>22688</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2621</v>
      </c>
      <c r="B66" s="294" t="str">
        <f>"北京市平均增长率"&amp;TEXT(基准地价修正!P24,"0.00%")</f>
        <v>北京市平均增长率1.19%</v>
      </c>
      <c r="C66" s="560">
        <v>100</v>
      </c>
      <c r="D66" s="552">
        <f>C66-0.5</f>
        <v>99.5</v>
      </c>
      <c r="E66" s="552">
        <f t="shared" ref="E66:K66" si="20">D66-0.5</f>
        <v>99</v>
      </c>
      <c r="F66" s="552">
        <f t="shared" si="20"/>
        <v>98.5</v>
      </c>
      <c r="G66" s="552">
        <f t="shared" si="20"/>
        <v>98</v>
      </c>
      <c r="H66" s="552">
        <f t="shared" si="20"/>
        <v>97.5</v>
      </c>
      <c r="I66" s="552">
        <f t="shared" si="20"/>
        <v>97</v>
      </c>
      <c r="J66" s="552">
        <f t="shared" si="20"/>
        <v>96.5</v>
      </c>
      <c r="K66" s="552">
        <f t="shared" si="20"/>
        <v>96</v>
      </c>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3101" t="s">
        <v>3290</v>
      </c>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v>100</v>
      </c>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v>0</v>
      </c>
      <c r="D75" s="506">
        <v>1</v>
      </c>
      <c r="E75" s="506">
        <v>2</v>
      </c>
      <c r="F75" s="506">
        <v>3</v>
      </c>
      <c r="G75" s="506">
        <v>4</v>
      </c>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102</v>
      </c>
      <c r="E76" s="501">
        <f t="shared" ref="E76:M76" si="22">IF($B$41="单位面积地价",D76+$K11,D76-$K11)</f>
        <v>104</v>
      </c>
      <c r="F76" s="501">
        <f t="shared" si="22"/>
        <v>106</v>
      </c>
      <c r="G76" s="501">
        <f t="shared" si="22"/>
        <v>108</v>
      </c>
      <c r="H76" s="501">
        <f t="shared" si="22"/>
        <v>110</v>
      </c>
      <c r="I76" s="501">
        <f t="shared" si="22"/>
        <v>112</v>
      </c>
      <c r="J76" s="501">
        <f t="shared" si="22"/>
        <v>114</v>
      </c>
      <c r="K76" s="501">
        <f t="shared" si="22"/>
        <v>116</v>
      </c>
      <c r="L76" s="501">
        <f t="shared" si="22"/>
        <v>118</v>
      </c>
      <c r="M76" s="501">
        <f t="shared" si="22"/>
        <v>120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98</v>
      </c>
      <c r="E84" s="501">
        <f>D84-$K15</f>
        <v>96</v>
      </c>
      <c r="F84" s="501">
        <f>E84-$K15</f>
        <v>94</v>
      </c>
      <c r="G84" s="501">
        <f>F84-$K15</f>
        <v>92</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99</v>
      </c>
      <c r="E86" s="501">
        <f>D86-$K17</f>
        <v>98</v>
      </c>
      <c r="F86" s="501">
        <f>E86-$K17</f>
        <v>97</v>
      </c>
      <c r="G86" s="501">
        <f>F86-$K17</f>
        <v>96</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ht="28.5">
      <c r="A107" s="484" t="s">
        <v>2383</v>
      </c>
      <c r="B107" s="485" t="s">
        <v>2611</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504" t="str">
        <f t="shared" si="26"/>
        <v>(含)-</v>
      </c>
      <c r="L107" s="1504" t="str">
        <f t="shared" si="26"/>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9">
        <v>0</v>
      </c>
      <c r="D108" s="9">
        <v>10000</v>
      </c>
      <c r="E108" s="9">
        <v>20000</v>
      </c>
      <c r="F108" s="9">
        <v>50000</v>
      </c>
      <c r="G108" s="9">
        <v>80000</v>
      </c>
      <c r="H108" s="9">
        <v>100000</v>
      </c>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3102">
        <v>100</v>
      </c>
      <c r="D109" s="3103">
        <v>101</v>
      </c>
      <c r="E109" s="3103">
        <v>102</v>
      </c>
      <c r="F109" s="3103">
        <v>103</v>
      </c>
      <c r="G109" s="3103">
        <v>104</v>
      </c>
      <c r="H109" s="3103">
        <v>105</v>
      </c>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3104" t="s">
        <v>3291</v>
      </c>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t="s">
        <v>3292</v>
      </c>
      <c r="D112" s="511" t="s">
        <v>3293</v>
      </c>
      <c r="E112" s="511" t="s">
        <v>3294</v>
      </c>
      <c r="F112" s="511" t="s">
        <v>3295</v>
      </c>
      <c r="G112" s="511" t="s">
        <v>3296</v>
      </c>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3105" t="s">
        <v>3301</v>
      </c>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2623</v>
      </c>
      <c r="B1" s="203"/>
      <c r="C1" s="207" t="s">
        <v>2624</v>
      </c>
      <c r="D1" s="348">
        <f>SUM(D29:D30,D33:D39)</f>
        <v>0</v>
      </c>
      <c r="E1" s="2182"/>
      <c r="F1" s="2182"/>
      <c r="G1" s="2182"/>
      <c r="H1" s="2182"/>
      <c r="I1" s="2182"/>
      <c r="J1" s="2182"/>
      <c r="K1" s="1280"/>
      <c r="L1" s="2183" t="s">
        <v>2625</v>
      </c>
      <c r="M1" s="994">
        <f>SUMPRODUCT((区片价!B5:B9=I2)*(区片价!C3:F3=E2)*(区片价!C5:F9))</f>
        <v>0</v>
      </c>
      <c r="N1" s="997">
        <f>SUMPRODUCT((因素修正幅度!B5:B9=I2)*(因素修正幅度!C3:F3=E2)*(因素修正幅度!C5:F9))</f>
        <v>0</v>
      </c>
      <c r="O1" s="2184"/>
      <c r="P1" s="2184"/>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6" t="s">
        <v>2632</v>
      </c>
      <c r="D2" s="2187" t="s">
        <v>2633</v>
      </c>
      <c r="E2" s="2188"/>
      <c r="F2" s="2187" t="s">
        <v>2634</v>
      </c>
      <c r="G2" s="2189" t="str">
        <f>IF(E2="商业",项目基本情况!B37,IF(E2="办公",项目基本情况!C37,IF(E2="住宅",项目基本情况!D37,项目基本情况!E37)))</f>
        <v>七级</v>
      </c>
      <c r="H2" s="2187" t="s">
        <v>2635</v>
      </c>
      <c r="I2" s="2189" t="str">
        <f>IF(E2="商业",项目基本情况!B38,IF(E2="办公",项目基本情况!C38,IF(E2="住宅",项目基本情况!D38,项目基本情况!E38)))</f>
        <v>Ⅶ-BDA东</v>
      </c>
      <c r="J2" s="2190"/>
      <c r="K2" s="1280"/>
      <c r="L2" s="2191"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6" t="s">
        <v>2638</v>
      </c>
      <c r="D3" s="2187" t="s">
        <v>2639</v>
      </c>
      <c r="E3" s="2192"/>
      <c r="F3" s="2193" t="s">
        <v>2640</v>
      </c>
      <c r="G3" s="855">
        <f>IF(F3="宗地容积率",'数据-汇总表'!I4,IF(F3="估价对象容积率",'数据-汇总表'!I6,'数据-汇总表'!I7))</f>
        <v>1.18</v>
      </c>
      <c r="H3" s="175" t="s">
        <v>2641</v>
      </c>
      <c r="I3" s="881"/>
      <c r="J3" s="2190" t="s">
        <v>2642</v>
      </c>
      <c r="K3" s="1280"/>
      <c r="L3" s="2191"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03"/>
      <c r="B4" s="3404"/>
      <c r="C4" s="3404"/>
      <c r="D4" s="3405"/>
      <c r="E4" s="3405"/>
      <c r="F4" s="3405"/>
      <c r="G4" s="3405"/>
      <c r="H4" s="3405"/>
      <c r="I4" s="3405"/>
      <c r="J4" s="3406"/>
      <c r="K4" s="1280"/>
      <c r="L4" s="2191"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2645</v>
      </c>
      <c r="C5" s="856" t="e">
        <f>ROUND(IF(E2="商业",C6*C7+C16,(IF(E2="住宅",C6*C12+C16,C6+C16))),0)</f>
        <v>#DIV/0!</v>
      </c>
      <c r="D5" s="1524" t="e">
        <f>ROUND(C6+C16,0)</f>
        <v>#DIV/0!</v>
      </c>
      <c r="E5" s="1524"/>
      <c r="F5" s="2196"/>
      <c r="G5" s="2197"/>
      <c r="H5" s="2197"/>
      <c r="I5" s="2197"/>
      <c r="J5" s="2198"/>
      <c r="K5" s="2199"/>
      <c r="L5" s="2191"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2647</v>
      </c>
      <c r="B6" s="2205" t="s">
        <v>2648</v>
      </c>
      <c r="C6" s="857">
        <f>SUMIF(L1:L12,G2,M1:M12)</f>
        <v>0</v>
      </c>
      <c r="D6" s="2206" t="s">
        <v>2649</v>
      </c>
      <c r="E6" s="2207"/>
      <c r="F6" s="2207"/>
      <c r="G6" s="2208"/>
      <c r="H6" s="2208"/>
      <c r="I6" s="2208"/>
      <c r="J6" s="2209"/>
      <c r="K6" s="1569"/>
      <c r="L6" s="2191"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407" t="str">
        <f>IF(E2="商业",IF(C8="不临58条商业街","",2),"")</f>
        <v/>
      </c>
      <c r="B7" s="2210" t="s">
        <v>2651</v>
      </c>
      <c r="C7" s="858" t="e">
        <f>IF(C8="不临58条商业街",1,ROUND(1+(1.6*E8+1.2*E9+0.8*E10+0.4*E11)*C9,4))</f>
        <v>#DIV/0!</v>
      </c>
      <c r="D7" s="2211" t="s">
        <v>2652</v>
      </c>
      <c r="E7" s="882"/>
      <c r="F7" s="2212"/>
      <c r="G7" s="2213"/>
      <c r="H7" s="2213"/>
      <c r="I7" s="2213"/>
      <c r="J7" s="2214"/>
      <c r="K7" s="1569"/>
      <c r="L7" s="2191"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3" t="s">
        <v>2654</v>
      </c>
      <c r="X7" s="1376" t="str">
        <f>G2</f>
        <v>七级</v>
      </c>
      <c r="Y7" s="1376" t="s">
        <v>2655</v>
      </c>
      <c r="Z7" s="1377">
        <f>G3</f>
        <v>1.18</v>
      </c>
      <c r="AA7" s="1378"/>
      <c r="AB7" s="1378"/>
      <c r="AC7" s="1379"/>
      <c r="AD7" s="1380"/>
      <c r="AE7" s="1380"/>
      <c r="AF7" s="1380"/>
      <c r="AG7" s="1380"/>
      <c r="AH7" s="1380"/>
      <c r="AI7" s="1380"/>
      <c r="AJ7" s="1381"/>
    </row>
    <row r="8" spans="1:36" ht="15">
      <c r="A8" s="3408"/>
      <c r="B8" s="175" t="s">
        <v>2656</v>
      </c>
      <c r="C8" s="2215"/>
      <c r="D8" s="859" t="s">
        <v>139</v>
      </c>
      <c r="E8" s="860" t="e">
        <f>ROUND(C11/E7,4)</f>
        <v>#DIV/0!</v>
      </c>
      <c r="F8" s="2216" t="s">
        <v>2657</v>
      </c>
      <c r="G8" s="2217"/>
      <c r="H8" s="2217"/>
      <c r="I8" s="2217"/>
      <c r="J8" s="2218"/>
      <c r="K8" s="1280"/>
      <c r="L8" s="2191"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00" t="s">
        <v>2659</v>
      </c>
      <c r="X8" s="3401"/>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08"/>
      <c r="B9" s="175" t="s">
        <v>2672</v>
      </c>
      <c r="C9" s="861">
        <f>SUMIF(修正!C59:C119,C8,修正!E59:E119)</f>
        <v>0</v>
      </c>
      <c r="D9" s="176" t="s">
        <v>140</v>
      </c>
      <c r="E9" s="176" t="e">
        <f>ROUND(C11/E7,4)</f>
        <v>#DIV/0!</v>
      </c>
      <c r="F9" s="2216" t="s">
        <v>2673</v>
      </c>
      <c r="G9" s="2217"/>
      <c r="H9" s="2217"/>
      <c r="I9" s="2217"/>
      <c r="J9" s="2218"/>
      <c r="K9" s="1280"/>
      <c r="L9" s="2191"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02"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8"/>
      <c r="B10" s="175" t="s">
        <v>2677</v>
      </c>
      <c r="C10" s="176">
        <f>SUMIF(修正!C59:C119,C8,修正!F59:F119)</f>
        <v>0</v>
      </c>
      <c r="D10" s="176" t="s">
        <v>141</v>
      </c>
      <c r="E10" s="176" t="e">
        <f>ROUND(C11/E7,4)</f>
        <v>#DIV/0!</v>
      </c>
      <c r="F10" s="2216" t="s">
        <v>2678</v>
      </c>
      <c r="G10" s="2217"/>
      <c r="H10" s="2217"/>
      <c r="I10" s="2217"/>
      <c r="J10" s="2218"/>
      <c r="K10" s="1280"/>
      <c r="L10" s="2191"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0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8"/>
      <c r="B11" s="2219" t="s">
        <v>2680</v>
      </c>
      <c r="C11" s="862">
        <f>C10/4</f>
        <v>0</v>
      </c>
      <c r="D11" s="862" t="s">
        <v>142</v>
      </c>
      <c r="E11" s="862" t="e">
        <f>ROUND(C11/E7,4)</f>
        <v>#DIV/0!</v>
      </c>
      <c r="F11" s="2220" t="s">
        <v>2681</v>
      </c>
      <c r="G11" s="2221"/>
      <c r="H11" s="2221"/>
      <c r="I11" s="2221"/>
      <c r="J11" s="2222"/>
      <c r="K11" s="1280"/>
      <c r="L11" s="2191"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02" t="s">
        <v>2683</v>
      </c>
      <c r="X11" s="1386" t="s">
        <v>2684</v>
      </c>
      <c r="Y11" s="1387">
        <f>$G$3</f>
        <v>1.18</v>
      </c>
      <c r="Z11" s="1387">
        <f t="shared" ref="Z11:AJ11" si="3">$G$3</f>
        <v>1.18</v>
      </c>
      <c r="AA11" s="1387">
        <f t="shared" si="3"/>
        <v>1.18</v>
      </c>
      <c r="AB11" s="1387">
        <f t="shared" si="3"/>
        <v>1.18</v>
      </c>
      <c r="AC11" s="1387">
        <f t="shared" si="3"/>
        <v>1.18</v>
      </c>
      <c r="AD11" s="1387">
        <f t="shared" si="3"/>
        <v>1.18</v>
      </c>
      <c r="AE11" s="1387">
        <f t="shared" si="3"/>
        <v>1.18</v>
      </c>
      <c r="AF11" s="1387">
        <f t="shared" si="3"/>
        <v>1.18</v>
      </c>
      <c r="AG11" s="1387">
        <f t="shared" si="3"/>
        <v>1.18</v>
      </c>
      <c r="AH11" s="1387">
        <f t="shared" si="3"/>
        <v>1.18</v>
      </c>
      <c r="AI11" s="1387">
        <f t="shared" si="3"/>
        <v>1.18</v>
      </c>
      <c r="AJ11" s="1387">
        <f t="shared" si="3"/>
        <v>1.18</v>
      </c>
    </row>
    <row r="12" spans="1:36" ht="25.5" thickBot="1">
      <c r="A12" s="3407" t="s">
        <v>2685</v>
      </c>
      <c r="B12" s="2223" t="s">
        <v>2686</v>
      </c>
      <c r="C12" s="858">
        <f>ROUND(C15*D15*E15*F15*G15*H15*I15*J15,4)</f>
        <v>1</v>
      </c>
      <c r="D12" s="2224" t="s">
        <v>2687</v>
      </c>
      <c r="E12" s="2225"/>
      <c r="F12" s="2225"/>
      <c r="G12" s="2226"/>
      <c r="H12" s="2226"/>
      <c r="I12" s="2226"/>
      <c r="J12" s="2227"/>
      <c r="K12" s="1280"/>
      <c r="L12" s="2228"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02"/>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9"/>
      <c r="B13" s="2229" t="s">
        <v>2690</v>
      </c>
      <c r="C13" s="2230" t="s">
        <v>2691</v>
      </c>
      <c r="D13" s="1535" t="s">
        <v>2692</v>
      </c>
      <c r="E13" s="1535" t="s">
        <v>2693</v>
      </c>
      <c r="F13" s="30" t="s">
        <v>2694</v>
      </c>
      <c r="G13" s="2231" t="s">
        <v>2695</v>
      </c>
      <c r="H13" s="2231" t="s">
        <v>2695</v>
      </c>
      <c r="I13" s="2231" t="s">
        <v>2695</v>
      </c>
      <c r="J13" s="2232" t="s">
        <v>2695</v>
      </c>
      <c r="K13" s="1280"/>
      <c r="L13" s="1280"/>
      <c r="M13" s="1280"/>
      <c r="N13" s="1280"/>
      <c r="O13" s="1280"/>
      <c r="P13" s="1280"/>
      <c r="Q13" s="1280"/>
      <c r="R13" s="1374">
        <v>12</v>
      </c>
      <c r="S13" s="1375"/>
      <c r="T13" s="1374" t="e">
        <f t="shared" si="0"/>
        <v>#DIV/0!</v>
      </c>
      <c r="U13" s="1375"/>
      <c r="V13" s="1374" t="e">
        <f t="shared" si="1"/>
        <v>#DIV/0!</v>
      </c>
      <c r="W13" s="3402"/>
      <c r="X13" s="1388"/>
      <c r="Y13" s="1385">
        <f>(-0.163*(Y12^2)-0.59*Y12+7617)*(10^(-4))/Y11</f>
        <v>0.64550847457627125</v>
      </c>
      <c r="Z13" s="1385">
        <f t="shared" ref="Z13:AJ13" si="5">(-0.163*(Z12^2)-0.59*Z12+7617)*(10^(-4))/Z11</f>
        <v>0.64550847457627125</v>
      </c>
      <c r="AA13" s="1385">
        <f t="shared" si="5"/>
        <v>0.64550847457627125</v>
      </c>
      <c r="AB13" s="1385">
        <f t="shared" si="5"/>
        <v>0.64550847457627125</v>
      </c>
      <c r="AC13" s="1385">
        <f t="shared" si="5"/>
        <v>0.64550847457627125</v>
      </c>
      <c r="AD13" s="1385">
        <f t="shared" si="5"/>
        <v>0.64550847457627125</v>
      </c>
      <c r="AE13" s="1385">
        <f t="shared" si="5"/>
        <v>0.64550847457627125</v>
      </c>
      <c r="AF13" s="1385">
        <f t="shared" si="5"/>
        <v>0.64550847457627125</v>
      </c>
      <c r="AG13" s="1385">
        <f t="shared" si="5"/>
        <v>0.64550847457627125</v>
      </c>
      <c r="AH13" s="1385">
        <f t="shared" si="5"/>
        <v>0.64550847457627125</v>
      </c>
      <c r="AI13" s="1385">
        <f t="shared" si="5"/>
        <v>0.64550847457627125</v>
      </c>
      <c r="AJ13" s="1385">
        <f t="shared" si="5"/>
        <v>0.64550847457627125</v>
      </c>
    </row>
    <row r="14" spans="1:36" ht="15">
      <c r="A14" s="3409"/>
      <c r="B14" s="2233"/>
      <c r="C14" s="2234"/>
      <c r="D14" s="2235"/>
      <c r="E14" s="2235"/>
      <c r="F14" s="2236"/>
      <c r="G14" s="2237" t="s">
        <v>2696</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75" thickBot="1">
      <c r="A15" s="3410"/>
      <c r="B15" s="2241" t="s">
        <v>2697</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407" t="s">
        <v>2702</v>
      </c>
      <c r="B16" s="2210" t="s">
        <v>2703</v>
      </c>
      <c r="C16" s="2372" t="e">
        <f>ROUND(IF(F17="与级别开发程度一致",0,(G17-E17)/C17),0)</f>
        <v>#DIV/0!</v>
      </c>
      <c r="D16" s="3423" t="s">
        <v>2707</v>
      </c>
      <c r="E16" s="3424"/>
      <c r="F16" s="3423" t="s">
        <v>2704</v>
      </c>
      <c r="G16" s="3424"/>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5" thickBot="1">
      <c r="A17" s="3411"/>
      <c r="B17" s="2383" t="s">
        <v>2706</v>
      </c>
      <c r="C17" s="2384">
        <f>SUMPRODUCT((修正!A2:A5=E2)*(修正!B1:M1=G2)*(修正!B2:M5))</f>
        <v>0</v>
      </c>
      <c r="D17" s="193" t="str">
        <f>IF(OR(G2="八级",G2="九级",G2="十级",G2="十一级",G2="十二级"),"五通一平","七通一平")</f>
        <v>七通一平</v>
      </c>
      <c r="E17" s="2373">
        <f>SUMPRODUCT((修正!B1:M1=G2)*(修正!B15:M15))</f>
        <v>300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2709</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2710</v>
      </c>
      <c r="C19" s="863" t="e">
        <f>ROUND(IF(H19="按公示增长率计算",SUMPRODUCT((地价!A3:A33=YEAR(G19)&amp;"-"&amp;ROUNDUP(MONTH(G19)/3,0))*(地价!X2:AB2=E2)*(地价!X3:AB33)),IF(H19="地价指数",M20/M19,(1+I19)^O19)),4)</f>
        <v>#VALUE!</v>
      </c>
      <c r="D19" s="2252" t="s">
        <v>2711</v>
      </c>
      <c r="E19" s="864">
        <v>41640</v>
      </c>
      <c r="F19" s="2252" t="s">
        <v>2712</v>
      </c>
      <c r="G19" s="865">
        <f>'数据-取费表'!B2</f>
        <v>44249</v>
      </c>
      <c r="H19" s="2253"/>
      <c r="I19" s="866" t="str">
        <f>IF(H19="季度增幅（自定义）",SUMIF(N21:N24,E2,O21:O24),"")</f>
        <v/>
      </c>
      <c r="J19" s="2250"/>
      <c r="K19" s="1287"/>
      <c r="L19" s="2254" t="s">
        <v>2713</v>
      </c>
      <c r="M19" s="1497">
        <f>ROUND(SUMIF(地价!B2:F2,E2,地价!B33:F33),0)</f>
        <v>0</v>
      </c>
      <c r="N19" s="2255"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2715</v>
      </c>
      <c r="C20" s="868" t="e">
        <f>ROUND(POWER(1+G20,J20-I20)*(POWER(1+G20,I20)-1)/(POWER(1+G20,J20)-1),4)</f>
        <v>#DIV/0!</v>
      </c>
      <c r="D20" s="2259" t="s">
        <v>2716</v>
      </c>
      <c r="E20" s="1506">
        <f ca="1">存贷款利率!D4/100</f>
        <v>3.85E-2</v>
      </c>
      <c r="F20" s="2259" t="s">
        <v>2708</v>
      </c>
      <c r="G20" s="873">
        <f>SUMIF(M26:P26,E2,M28:P28)</f>
        <v>0</v>
      </c>
      <c r="H20" s="2259" t="s">
        <v>2717</v>
      </c>
      <c r="I20" s="874" t="e">
        <f>SUMIF('数据-取费表'!C6:C15,E2,'数据-取费表'!F6:F15)/COUNTIF('数据-取费表'!C6:C15,E2)</f>
        <v>#DIV/0!</v>
      </c>
      <c r="J20" s="875">
        <f>IF(E2="住宅",70,IF(E2="商业",40,50))</f>
        <v>50</v>
      </c>
      <c r="K20" s="1287"/>
      <c r="L20" s="2260" t="s">
        <v>2718</v>
      </c>
      <c r="M20" s="1498">
        <f>ROUND(SUMPRODUCT((地价!A4:A33=YEAR(G19)&amp;"-"&amp;ROUNDUP(MONTH(G19)/3,0))*(地价!B2:F2=E2)*(地价!B4:F33)),0)</f>
        <v>0</v>
      </c>
      <c r="N20" s="2261" t="s">
        <v>2719</v>
      </c>
      <c r="O20" s="2262" t="s">
        <v>2720</v>
      </c>
      <c r="P20" s="2263" t="s">
        <v>2721</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2722</v>
      </c>
      <c r="C21" s="876">
        <f>IF(B21="容积率修正",IF(G3&lt;=10,D22,J22),C23)</f>
        <v>0</v>
      </c>
      <c r="D21" s="2266"/>
      <c r="E21" s="2266"/>
      <c r="F21" s="2266"/>
      <c r="G21" s="2266"/>
      <c r="H21" s="2266"/>
      <c r="I21" s="2266"/>
      <c r="J21" s="2267"/>
      <c r="K21" s="1287"/>
      <c r="L21" s="3020"/>
      <c r="M21" s="3020"/>
      <c r="N21" s="2268" t="s">
        <v>2723</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0.8</v>
      </c>
      <c r="E22" s="855">
        <f>ROUNDDOWN(G3,1)</f>
        <v>1.1000000000000001</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1.2000000000000002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7" t="str">
        <f>IF(G3&gt;10,D113,"——")</f>
        <v>——</v>
      </c>
      <c r="K22" s="1287"/>
      <c r="L22" s="3020"/>
      <c r="M22" s="3020"/>
      <c r="N22" s="2268" t="s">
        <v>2727</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0</v>
      </c>
      <c r="D24" s="2249"/>
      <c r="E24" s="2276"/>
      <c r="F24" s="2276"/>
      <c r="G24" s="2276"/>
      <c r="H24" s="2276"/>
      <c r="I24" s="2276"/>
      <c r="J24" s="2277"/>
      <c r="K24" s="1287"/>
      <c r="L24" s="3020"/>
      <c r="M24" s="3020"/>
      <c r="N24" s="2278" t="s">
        <v>2732</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t="e">
        <f>IF(B21="容积率修正",E29+SUM(E33:E39),SUM(V2:V16)+SUM(E33:E39))</f>
        <v>#DIV/0!</v>
      </c>
      <c r="D26" s="2282"/>
      <c r="E26" s="2238"/>
      <c r="F26" s="2283"/>
      <c r="G26" s="2238"/>
      <c r="H26" s="2238"/>
      <c r="I26" s="2238"/>
      <c r="J26" s="2284"/>
      <c r="K26" s="1280"/>
      <c r="L26" s="3018" t="s">
        <v>2633</v>
      </c>
      <c r="M26" s="2211" t="s">
        <v>2698</v>
      </c>
      <c r="N26" s="2211" t="s">
        <v>2699</v>
      </c>
      <c r="O26" s="2211" t="s">
        <v>2700</v>
      </c>
      <c r="P26" s="3019" t="s">
        <v>2701</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t="e">
        <f>E30+SUM(I33:I39)</f>
        <v>#DIV/0!</v>
      </c>
      <c r="D27" s="2286"/>
      <c r="E27" s="2287"/>
      <c r="F27" s="2288"/>
      <c r="G27" s="2287"/>
      <c r="H27" s="2287"/>
      <c r="I27" s="2287"/>
      <c r="J27" s="2289"/>
      <c r="K27" s="1280"/>
      <c r="L27" s="2244"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t="e">
        <f>ROUND(C5*C18*C19*C20*C21*C24,0)</f>
        <v>#DIV/0!</v>
      </c>
      <c r="D29" s="2297"/>
      <c r="E29" s="879" t="e">
        <f>ROUND(C29*D29/10000,0)</f>
        <v>#DIV/0!</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t="e">
        <f>ROUND(IF(E2="工业",C29*M39,C29*M38),0)</f>
        <v>#DIV/0!</v>
      </c>
      <c r="D30" s="2303"/>
      <c r="E30" s="879" t="e">
        <f>ROUND(C30*D30/10000,0)</f>
        <v>#DIV/0!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20"/>
      <c r="B33" s="2313" t="s">
        <v>2749</v>
      </c>
      <c r="C33" s="180" t="e">
        <f>ROUND(D5*C19*C20*C24*F33,0)</f>
        <v>#DIV/0!</v>
      </c>
      <c r="D33" s="2297"/>
      <c r="E33" s="176" t="e">
        <f>ROUND(C33*D33/10000,0)</f>
        <v>#DIV/0!</v>
      </c>
      <c r="F33" s="176">
        <f>SUMIF(修正!A45:A56,G2,修正!B45:B56)</f>
        <v>0.7</v>
      </c>
      <c r="G33" s="176" t="e">
        <f t="shared" ref="G33" si="6">ROUND(IF(E2="工业",C33*$M$39,C33*$M$38),0)</f>
        <v>#DIV/0!</v>
      </c>
      <c r="H33" s="176">
        <f>D33</f>
        <v>0</v>
      </c>
      <c r="I33" s="176" t="e">
        <f>ROUND(G33*H33/10000,0)</f>
        <v>#DIV/0!</v>
      </c>
      <c r="J33" s="3425"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21"/>
      <c r="B34" s="2230" t="s">
        <v>2750</v>
      </c>
      <c r="C34" s="180" t="e">
        <f>ROUND(D5*C19*C20*C24*F34,0)</f>
        <v>#DIV/0!</v>
      </c>
      <c r="D34" s="2297"/>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42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21"/>
      <c r="B35" s="2230" t="s">
        <v>2751</v>
      </c>
      <c r="C35" s="180" t="e">
        <f>ROUND(D5*C19*C20*C24*F35,0)</f>
        <v>#DIV/0!</v>
      </c>
      <c r="D35" s="2297"/>
      <c r="E35" s="176" t="e">
        <f t="shared" si="7"/>
        <v>#DIV/0!</v>
      </c>
      <c r="F35" s="176">
        <f>SUMIF(修正!A45:A56,G2,修正!D45:D56)</f>
        <v>0.28000000000000003</v>
      </c>
      <c r="G35" s="176" t="e">
        <f>ROUND(IF(E2="工业",C35*$M$39,C35*$M$38),0)</f>
        <v>#DIV/0!</v>
      </c>
      <c r="H35" s="176">
        <f t="shared" si="8"/>
        <v>0</v>
      </c>
      <c r="I35" s="176" t="e">
        <f t="shared" si="9"/>
        <v>#DIV/0!</v>
      </c>
      <c r="J35" s="342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22"/>
      <c r="B36" s="2230" t="s">
        <v>2752</v>
      </c>
      <c r="C36" s="180" t="e">
        <f>ROUND(D5*C19*C20*C24*F36,0)</f>
        <v>#DIV/0!</v>
      </c>
      <c r="D36" s="2297"/>
      <c r="E36" s="176" t="e">
        <f t="shared" si="7"/>
        <v>#DIV/0!</v>
      </c>
      <c r="F36" s="176">
        <f>SUMIF(修正!A45:A56,G2,修正!E45:E56)</f>
        <v>0.25</v>
      </c>
      <c r="G36" s="176" t="e">
        <f>ROUND(IF(E2="工业",C36*$M$39,C36*$M$38),0)</f>
        <v>#DIV/0!</v>
      </c>
      <c r="H36" s="176">
        <f t="shared" si="8"/>
        <v>0</v>
      </c>
      <c r="I36" s="176" t="e">
        <f t="shared" si="9"/>
        <v>#DIV/0!</v>
      </c>
      <c r="J36" s="3422"/>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t="e">
        <f>ROUND(D5*C19*C20*C24*F37,0)</f>
        <v>#DIV/0!</v>
      </c>
      <c r="D37" s="2297"/>
      <c r="E37" s="176" t="e">
        <f t="shared" si="7"/>
        <v>#DIV/0!</v>
      </c>
      <c r="F37" s="180">
        <f>SUMIF(修正!A45:A56,G2,修正!F45:F56)</f>
        <v>0.25</v>
      </c>
      <c r="G37" s="176" t="e">
        <f>ROUND(IF(E2="工业",C37*$M$39,C37*$M$38),0)</f>
        <v>#DIV/0!</v>
      </c>
      <c r="H37" s="176">
        <f t="shared" si="8"/>
        <v>0</v>
      </c>
      <c r="I37" s="176" t="e">
        <f t="shared" si="9"/>
        <v>#DIV/0!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t="e">
        <f>ROUND(D5*C19*C41*C24*F38,0)</f>
        <v>#DIV/0!</v>
      </c>
      <c r="D38" s="2297"/>
      <c r="E38" s="176" t="e">
        <f t="shared" si="7"/>
        <v>#DIV/0!</v>
      </c>
      <c r="F38" s="180">
        <f>SUMIF(修正!A45:A56,G2,修正!G45:G56)</f>
        <v>0.25</v>
      </c>
      <c r="G38" s="176" t="e">
        <f>ROUND(IF(E2="工业",C38*$M$39,C38*$M$38),0)</f>
        <v>#DIV/0!</v>
      </c>
      <c r="H38" s="176">
        <f t="shared" si="8"/>
        <v>0</v>
      </c>
      <c r="I38" s="176" t="e">
        <f t="shared" si="9"/>
        <v>#DIV/0!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t="e">
        <f>ROUND(D5*C19*C41*C24*F39,0)</f>
        <v>#DIV/0!</v>
      </c>
      <c r="D39" s="2303"/>
      <c r="E39" s="193" t="e">
        <f t="shared" si="7"/>
        <v>#DIV/0!</v>
      </c>
      <c r="F39" s="871">
        <f>SUMIF(修正!A45:A56,G2,修正!H45:H56)</f>
        <v>0.2</v>
      </c>
      <c r="G39" s="193" t="e">
        <f>ROUND(IF(E2="工业",C39*$M$39,C39*$M$38),0)</f>
        <v>#DIV/0!</v>
      </c>
      <c r="H39" s="193">
        <f t="shared" si="8"/>
        <v>0</v>
      </c>
      <c r="I39" s="193" t="e">
        <f t="shared" si="9"/>
        <v>#DIV/0!</v>
      </c>
      <c r="J39" s="2320"/>
      <c r="K39" s="1280"/>
      <c r="L39" s="2321" t="s">
        <v>2701</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2708</v>
      </c>
      <c r="E41" s="2370">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2785</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2770</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2784</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2776</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2777</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2774</v>
      </c>
      <c r="B87" s="2336" t="s">
        <v>2788</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412" t="s">
        <v>2790</v>
      </c>
      <c r="B90" s="3412"/>
      <c r="C90" s="3412"/>
      <c r="D90" s="3412"/>
      <c r="E90" s="3412"/>
      <c r="F90" s="3412"/>
      <c r="G90" s="3412"/>
      <c r="H90" s="3412"/>
      <c r="I90" s="3412"/>
      <c r="J90" s="3412"/>
      <c r="K90" s="2344"/>
      <c r="L90" s="2344"/>
      <c r="M90" s="2344"/>
      <c r="N90" s="2344"/>
    </row>
    <row r="91" spans="1:37">
      <c r="A91" s="3414" t="s">
        <v>2791</v>
      </c>
      <c r="B91" s="3414" t="s">
        <v>2792</v>
      </c>
      <c r="C91" s="2298" t="s">
        <v>2793</v>
      </c>
      <c r="D91" s="2299"/>
      <c r="E91" s="2299"/>
      <c r="F91" s="2299"/>
      <c r="G91" s="2299"/>
      <c r="H91" s="2299"/>
      <c r="I91" s="2299"/>
      <c r="J91" s="2345"/>
      <c r="K91" s="2346"/>
      <c r="L91" s="2346"/>
      <c r="M91" s="2346"/>
      <c r="N91" s="2346"/>
    </row>
    <row r="92" spans="1:37">
      <c r="A92" s="3414"/>
      <c r="B92" s="3414"/>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15"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1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1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1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1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1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16"/>
      <c r="B99" s="2347" t="s">
        <v>2676</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17"/>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15" t="s">
        <v>2795</v>
      </c>
      <c r="B101" s="2351" t="s">
        <v>2796</v>
      </c>
      <c r="C101" s="2352">
        <f>$G$3</f>
        <v>1.18</v>
      </c>
      <c r="D101" s="2352">
        <f t="shared" ref="D101:N101" si="31">$G$3</f>
        <v>1.18</v>
      </c>
      <c r="E101" s="2352">
        <f t="shared" si="31"/>
        <v>1.18</v>
      </c>
      <c r="F101" s="2352">
        <f t="shared" si="31"/>
        <v>1.18</v>
      </c>
      <c r="G101" s="2352">
        <f t="shared" si="31"/>
        <v>1.18</v>
      </c>
      <c r="H101" s="2352">
        <f t="shared" si="31"/>
        <v>1.18</v>
      </c>
      <c r="I101" s="2352">
        <f t="shared" si="31"/>
        <v>1.18</v>
      </c>
      <c r="J101" s="2352">
        <f t="shared" si="31"/>
        <v>1.18</v>
      </c>
      <c r="K101" s="2352">
        <f t="shared" si="31"/>
        <v>1.18</v>
      </c>
      <c r="L101" s="2352">
        <f t="shared" si="31"/>
        <v>1.18</v>
      </c>
      <c r="M101" s="2352">
        <f t="shared" si="31"/>
        <v>1.18</v>
      </c>
      <c r="N101" s="2352">
        <f t="shared" si="31"/>
        <v>1.18</v>
      </c>
    </row>
    <row r="102" spans="1:14">
      <c r="A102" s="3416"/>
      <c r="B102" s="2347">
        <v>1</v>
      </c>
      <c r="C102" s="2348">
        <f>1.9362/C101</f>
        <v>1.6408474576271186</v>
      </c>
      <c r="D102" s="2348">
        <f>1.9362/D101</f>
        <v>1.6408474576271186</v>
      </c>
      <c r="E102" s="2348">
        <f>1.8629/E101</f>
        <v>1.578728813559322</v>
      </c>
      <c r="F102" s="2348">
        <f>1.8629/F101</f>
        <v>1.578728813559322</v>
      </c>
      <c r="G102" s="2348">
        <f>1.8629/G101</f>
        <v>1.578728813559322</v>
      </c>
      <c r="H102" s="2348">
        <f>1.8629/H101</f>
        <v>1.578728813559322</v>
      </c>
      <c r="I102" s="2348">
        <f>1.8629/I101</f>
        <v>1.578728813559322</v>
      </c>
      <c r="J102" s="2348">
        <f>1.942/J101</f>
        <v>1.6457627118644069</v>
      </c>
      <c r="K102" s="2348">
        <f>1.942/K101</f>
        <v>1.6457627118644069</v>
      </c>
      <c r="L102" s="2348">
        <f>1.942/L101</f>
        <v>1.6457627118644069</v>
      </c>
      <c r="M102" s="2348">
        <f>1.942/M101</f>
        <v>1.6457627118644069</v>
      </c>
      <c r="N102" s="2348">
        <f>1.942/N101</f>
        <v>1.6457627118644069</v>
      </c>
    </row>
    <row r="103" spans="1:14">
      <c r="A103" s="3416"/>
      <c r="B103" s="2347">
        <v>2</v>
      </c>
      <c r="C103" s="2348">
        <f>1.4198/C101</f>
        <v>1.2032203389830509</v>
      </c>
      <c r="D103" s="2348">
        <f>1.4198/D101</f>
        <v>1.2032203389830509</v>
      </c>
      <c r="E103" s="2348">
        <f>1.3372/E101</f>
        <v>1.1332203389830509</v>
      </c>
      <c r="F103" s="2348">
        <f>1.3372/F101</f>
        <v>1.1332203389830509</v>
      </c>
      <c r="G103" s="2348">
        <f>1.3372/G101</f>
        <v>1.1332203389830509</v>
      </c>
      <c r="H103" s="2348">
        <f>1.3372/H101</f>
        <v>1.1332203389830509</v>
      </c>
      <c r="I103" s="2348">
        <f>1.3372/I101</f>
        <v>1.1332203389830509</v>
      </c>
      <c r="J103" s="2348">
        <f>1.2799/J101</f>
        <v>1.0846610169491526</v>
      </c>
      <c r="K103" s="2348">
        <f>1.2799/K101</f>
        <v>1.0846610169491526</v>
      </c>
      <c r="L103" s="2348">
        <f>1.2799/L101</f>
        <v>1.0846610169491526</v>
      </c>
      <c r="M103" s="2348">
        <f>1.2799/M101</f>
        <v>1.0846610169491526</v>
      </c>
      <c r="N103" s="2348">
        <f>1.2799/N101</f>
        <v>1.0846610169491526</v>
      </c>
    </row>
    <row r="104" spans="1:14">
      <c r="A104" s="3416"/>
      <c r="B104" s="2347">
        <v>3</v>
      </c>
      <c r="C104" s="2348">
        <f>1.1594/C101</f>
        <v>0.98254237288135593</v>
      </c>
      <c r="D104" s="2348">
        <f>1.1594/D101</f>
        <v>0.98254237288135593</v>
      </c>
      <c r="E104" s="2348">
        <f>1.0788/E101</f>
        <v>0.91423728813559324</v>
      </c>
      <c r="F104" s="2348">
        <f>1.0788/F101</f>
        <v>0.91423728813559324</v>
      </c>
      <c r="G104" s="2348">
        <f>1.0788/G101</f>
        <v>0.91423728813559324</v>
      </c>
      <c r="H104" s="2348">
        <f>1.0788/H101</f>
        <v>0.91423728813559324</v>
      </c>
      <c r="I104" s="2348">
        <f>1.0788/I101</f>
        <v>0.91423728813559324</v>
      </c>
      <c r="J104" s="2348">
        <f>1.0072/J101</f>
        <v>0.85355932203389839</v>
      </c>
      <c r="K104" s="2348">
        <f>1.0072/K101</f>
        <v>0.85355932203389839</v>
      </c>
      <c r="L104" s="2348">
        <f>1.0072/L101</f>
        <v>0.85355932203389839</v>
      </c>
      <c r="M104" s="2348">
        <f>1.0072/M101</f>
        <v>0.85355932203389839</v>
      </c>
      <c r="N104" s="2348">
        <f>1.0072/N101</f>
        <v>0.85355932203389839</v>
      </c>
    </row>
    <row r="105" spans="1:14">
      <c r="A105" s="3416"/>
      <c r="B105" s="2347">
        <v>4</v>
      </c>
      <c r="C105" s="2348">
        <f>0.9622/C101</f>
        <v>0.8154237288135594</v>
      </c>
      <c r="D105" s="2348">
        <f>0.9622/D101</f>
        <v>0.8154237288135594</v>
      </c>
      <c r="E105" s="2348">
        <f>0.8656/E101</f>
        <v>0.7335593220338984</v>
      </c>
      <c r="F105" s="2348">
        <f>0.8656/F101</f>
        <v>0.7335593220338984</v>
      </c>
      <c r="G105" s="2348">
        <f>0.8656/G101</f>
        <v>0.7335593220338984</v>
      </c>
      <c r="H105" s="2348">
        <f>0.8656/H101</f>
        <v>0.7335593220338984</v>
      </c>
      <c r="I105" s="2348">
        <f>0.8656/I101</f>
        <v>0.7335593220338984</v>
      </c>
      <c r="J105" s="2348">
        <f>0.7525/J101</f>
        <v>0.63771186440677963</v>
      </c>
      <c r="K105" s="2348">
        <f>0.7525/K101</f>
        <v>0.63771186440677963</v>
      </c>
      <c r="L105" s="2348">
        <f>0.7525/L101</f>
        <v>0.63771186440677963</v>
      </c>
      <c r="M105" s="2348">
        <f>0.7525/M101</f>
        <v>0.63771186440677963</v>
      </c>
      <c r="N105" s="2348">
        <f>0.7525/N101</f>
        <v>0.63771186440677963</v>
      </c>
    </row>
    <row r="106" spans="1:14">
      <c r="A106" s="3416"/>
      <c r="B106" s="2347">
        <v>5</v>
      </c>
      <c r="C106" s="2348">
        <f>0.8417/C101</f>
        <v>0.71330508474576271</v>
      </c>
      <c r="D106" s="2348">
        <f>0.8417/D101</f>
        <v>0.71330508474576271</v>
      </c>
      <c r="E106" s="2348">
        <f>0.7371/E101</f>
        <v>0.62466101694915255</v>
      </c>
      <c r="F106" s="2348">
        <f>0.7371/F101</f>
        <v>0.62466101694915255</v>
      </c>
      <c r="G106" s="2348">
        <f>0.7371/G101</f>
        <v>0.62466101694915255</v>
      </c>
      <c r="H106" s="2348">
        <f>0.7371/H101</f>
        <v>0.62466101694915255</v>
      </c>
      <c r="I106" s="2348">
        <f>0.7371/I101</f>
        <v>0.62466101694915255</v>
      </c>
      <c r="J106" s="2348">
        <f>0.5659/J101</f>
        <v>0.47957627118644069</v>
      </c>
      <c r="K106" s="2348">
        <f>0.5659/K101</f>
        <v>0.47957627118644069</v>
      </c>
      <c r="L106" s="2348">
        <f>0.5659/L101</f>
        <v>0.47957627118644069</v>
      </c>
      <c r="M106" s="2348">
        <f>0.5659/M101</f>
        <v>0.47957627118644069</v>
      </c>
      <c r="N106" s="2348">
        <f>0.5659/N101</f>
        <v>0.47957627118644069</v>
      </c>
    </row>
    <row r="107" spans="1:14">
      <c r="A107" s="3416"/>
      <c r="B107" s="2347">
        <v>6</v>
      </c>
      <c r="C107" s="2348">
        <f>0.7608/C101</f>
        <v>0.64474576271186446</v>
      </c>
      <c r="D107" s="2348">
        <f>0.7608/D101</f>
        <v>0.64474576271186446</v>
      </c>
      <c r="E107" s="2348">
        <f>0.6482/E101</f>
        <v>0.54932203389830514</v>
      </c>
      <c r="F107" s="2348">
        <f>0.6482/F101</f>
        <v>0.54932203389830514</v>
      </c>
      <c r="G107" s="2348">
        <f>0.6482/G101</f>
        <v>0.54932203389830514</v>
      </c>
      <c r="H107" s="2348">
        <f>0.6482/H101</f>
        <v>0.54932203389830514</v>
      </c>
      <c r="I107" s="2348">
        <f>0.6482/I101</f>
        <v>0.54932203389830514</v>
      </c>
      <c r="J107" s="2348">
        <f>0.4525/J101</f>
        <v>0.38347457627118647</v>
      </c>
      <c r="K107" s="2348">
        <f>0.4525/K101</f>
        <v>0.38347457627118647</v>
      </c>
      <c r="L107" s="2348">
        <f>0.4525/L101</f>
        <v>0.38347457627118647</v>
      </c>
      <c r="M107" s="2348">
        <f>0.4525/M101</f>
        <v>0.38347457627118647</v>
      </c>
      <c r="N107" s="2348">
        <f>0.4525/N101</f>
        <v>0.38347457627118647</v>
      </c>
    </row>
    <row r="108" spans="1:14">
      <c r="A108" s="3416"/>
      <c r="B108" s="3418"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17"/>
      <c r="B109" s="3419"/>
      <c r="C109" s="2350">
        <f>(-0.163*(C108^2)-0.59*C108+7617)*(10^(-4))/C101</f>
        <v>0.64550847457627125</v>
      </c>
      <c r="D109" s="2350">
        <f>(-0.163*(D108^2)-0.59*D108+7617)*(10^(-4))/D101</f>
        <v>0.64550847457627125</v>
      </c>
      <c r="E109" s="2350">
        <f>(-0.161*(E108^2)-7.509*E108+6533)*(10^(-4))/E101</f>
        <v>0.55364406779661024</v>
      </c>
      <c r="F109" s="2350">
        <f>(-0.161*(F108^2)-7.509*F108+6533)*(10^(-4))/F101</f>
        <v>0.55364406779661024</v>
      </c>
      <c r="G109" s="2350">
        <f>(-0.161*(G108^2)-7.509*G108+6533)*(10^(-4))/G101</f>
        <v>0.55364406779661024</v>
      </c>
      <c r="H109" s="2350">
        <f>(-0.161*(H108^2)-7.509*H108+6533)*(10^(-4))/H101</f>
        <v>0.55364406779661024</v>
      </c>
      <c r="I109" s="2350">
        <f>(-0.161*(I108^2)-7.509*I108+6533)*(10^(-4))/I101</f>
        <v>0.55364406779661024</v>
      </c>
      <c r="J109" s="2350">
        <f>(-0.214*(J108^2)-21.991*J108+4665)*(10^(-4))/J101</f>
        <v>0.39533898305084753</v>
      </c>
      <c r="K109" s="2350">
        <f>(-0.214*(K108^2)-21.991*K108+4665)*(10^(-4))/K101</f>
        <v>0.39533898305084753</v>
      </c>
      <c r="L109" s="2350">
        <f>(-0.214*(L108^2)-21.991*L108+4665)*(10^(-4))/L101</f>
        <v>0.39533898305084753</v>
      </c>
      <c r="M109" s="2350">
        <f>(-0.214*(M108^2)-21.991*M108+4665)*(10^(-4))/M101</f>
        <v>0.39533898305084753</v>
      </c>
      <c r="N109" s="2350">
        <f>(-0.214*(N108^2)-21.991*N108+4665)*(10^(-4))/N101</f>
        <v>0.39533898305084753</v>
      </c>
    </row>
    <row r="110" spans="1:14">
      <c r="A110" s="3413" t="s">
        <v>2798</v>
      </c>
      <c r="B110" s="3413"/>
      <c r="C110" s="3413"/>
      <c r="D110" s="3413"/>
      <c r="E110" s="3413"/>
      <c r="F110" s="3413"/>
      <c r="G110" s="3413"/>
      <c r="H110" s="3413"/>
      <c r="I110" s="3413"/>
      <c r="J110" s="3413"/>
      <c r="K110" s="2353"/>
      <c r="L110" s="2353"/>
      <c r="M110" s="2353"/>
      <c r="N110" s="2353"/>
    </row>
    <row r="112" spans="1:14" ht="13.5" thickBot="1"/>
    <row r="113" spans="1:13" ht="25.5" thickBot="1">
      <c r="A113" s="842" t="s">
        <v>2799</v>
      </c>
      <c r="B113" s="1197">
        <f>G3</f>
        <v>1.18</v>
      </c>
      <c r="C113" s="843" t="s">
        <v>2800</v>
      </c>
      <c r="D113" s="844">
        <f>SUMPRODUCT((A115:A118=F113)*(B114:M114=H113)*B115:M118)</f>
        <v>0</v>
      </c>
      <c r="E113" s="2189" t="s">
        <v>2633</v>
      </c>
      <c r="F113" s="2355">
        <f>E2</f>
        <v>0</v>
      </c>
      <c r="G113" s="2189" t="s">
        <v>2634</v>
      </c>
      <c r="H113" s="2355" t="str">
        <f>G2</f>
        <v>七级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2698</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2699</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2700</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2701</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6" t="s">
        <v>183</v>
      </c>
      <c r="B18" s="821" t="s">
        <v>560</v>
      </c>
      <c r="C18" s="822" t="s">
        <v>561</v>
      </c>
      <c r="D18" s="823"/>
      <c r="E18" s="821">
        <v>1</v>
      </c>
      <c r="F18" s="824" t="s">
        <v>562</v>
      </c>
      <c r="G18" s="825"/>
      <c r="H18" s="817"/>
      <c r="I18" s="817"/>
    </row>
    <row r="19" spans="1:9" s="826" customFormat="1" ht="19.5" customHeight="1">
      <c r="A19" s="3426"/>
      <c r="B19" s="3426" t="s">
        <v>563</v>
      </c>
      <c r="C19" s="822" t="s">
        <v>564</v>
      </c>
      <c r="D19" s="823"/>
      <c r="E19" s="821">
        <v>0.9</v>
      </c>
      <c r="F19" s="824" t="s">
        <v>565</v>
      </c>
      <c r="G19" s="825"/>
      <c r="H19" s="817"/>
      <c r="I19" s="817"/>
    </row>
    <row r="20" spans="1:9" s="826" customFormat="1" ht="19.5" customHeight="1">
      <c r="A20" s="3426"/>
      <c r="B20" s="3426"/>
      <c r="C20" s="822" t="s">
        <v>566</v>
      </c>
      <c r="D20" s="823"/>
      <c r="E20" s="821">
        <v>1.1000000000000001</v>
      </c>
      <c r="F20" s="824" t="s">
        <v>567</v>
      </c>
      <c r="G20" s="825"/>
      <c r="H20" s="817"/>
      <c r="I20" s="817"/>
    </row>
    <row r="21" spans="1:9" s="826" customFormat="1" ht="19.5" customHeight="1">
      <c r="A21" s="3426"/>
      <c r="B21" s="3426"/>
      <c r="C21" s="822" t="s">
        <v>568</v>
      </c>
      <c r="D21" s="823"/>
      <c r="E21" s="821">
        <v>0.8</v>
      </c>
      <c r="F21" s="824" t="s">
        <v>569</v>
      </c>
      <c r="G21" s="825"/>
      <c r="H21" s="817"/>
      <c r="I21" s="817"/>
    </row>
    <row r="22" spans="1:9" s="826" customFormat="1" ht="19.5" customHeight="1">
      <c r="A22" s="3426"/>
      <c r="B22" s="3426"/>
      <c r="C22" s="822" t="s">
        <v>570</v>
      </c>
      <c r="D22" s="823"/>
      <c r="E22" s="821">
        <v>0.5</v>
      </c>
      <c r="F22" s="824"/>
      <c r="G22" s="825"/>
      <c r="H22" s="817"/>
      <c r="I22" s="817"/>
    </row>
    <row r="23" spans="1:9" s="826" customFormat="1" ht="19.5" customHeight="1">
      <c r="A23" s="3426" t="s">
        <v>184</v>
      </c>
      <c r="B23" s="821" t="s">
        <v>560</v>
      </c>
      <c r="C23" s="822" t="s">
        <v>571</v>
      </c>
      <c r="D23" s="823"/>
      <c r="E23" s="821">
        <v>1</v>
      </c>
      <c r="F23" s="824" t="s">
        <v>572</v>
      </c>
      <c r="G23" s="825"/>
      <c r="H23" s="817"/>
      <c r="I23" s="817"/>
    </row>
    <row r="24" spans="1:9" s="826" customFormat="1" ht="19.5" customHeight="1">
      <c r="A24" s="3426"/>
      <c r="B24" s="3426" t="s">
        <v>563</v>
      </c>
      <c r="C24" s="822" t="s">
        <v>573</v>
      </c>
      <c r="D24" s="823"/>
      <c r="E24" s="821">
        <v>0.5</v>
      </c>
      <c r="F24" s="824"/>
      <c r="G24" s="825"/>
      <c r="H24" s="817"/>
      <c r="I24" s="817"/>
    </row>
    <row r="25" spans="1:9" s="826" customFormat="1" ht="19.5" customHeight="1">
      <c r="A25" s="3426"/>
      <c r="B25" s="3426"/>
      <c r="C25" s="822" t="s">
        <v>574</v>
      </c>
      <c r="D25" s="823"/>
      <c r="E25" s="821">
        <v>1.1000000000000001</v>
      </c>
      <c r="F25" s="824"/>
      <c r="G25" s="825"/>
      <c r="H25" s="817"/>
      <c r="I25" s="817"/>
    </row>
    <row r="26" spans="1:9" s="826" customFormat="1" ht="19.5" customHeight="1">
      <c r="A26" s="3426"/>
      <c r="B26" s="3426"/>
      <c r="C26" s="822" t="s">
        <v>575</v>
      </c>
      <c r="D26" s="823"/>
      <c r="E26" s="821">
        <v>1.1000000000000001</v>
      </c>
      <c r="F26" s="824"/>
      <c r="G26" s="825"/>
      <c r="H26" s="817"/>
      <c r="I26" s="817"/>
    </row>
    <row r="27" spans="1:9" s="826" customFormat="1" ht="19.5" customHeight="1">
      <c r="A27" s="3426"/>
      <c r="B27" s="3426"/>
      <c r="C27" s="822" t="s">
        <v>576</v>
      </c>
      <c r="D27" s="823"/>
      <c r="E27" s="821">
        <v>0.9</v>
      </c>
      <c r="F27" s="824" t="s">
        <v>577</v>
      </c>
      <c r="G27" s="825"/>
      <c r="H27" s="817"/>
      <c r="I27" s="817"/>
    </row>
    <row r="28" spans="1:9" s="826" customFormat="1" ht="19.5" customHeight="1">
      <c r="A28" s="3426"/>
      <c r="B28" s="3426"/>
      <c r="C28" s="822" t="s">
        <v>578</v>
      </c>
      <c r="D28" s="823"/>
      <c r="E28" s="821">
        <v>0.9</v>
      </c>
      <c r="F28" s="824" t="s">
        <v>579</v>
      </c>
      <c r="G28" s="825"/>
      <c r="H28" s="817"/>
      <c r="I28" s="817"/>
    </row>
    <row r="29" spans="1:9" s="826" customFormat="1" ht="19.5" customHeight="1">
      <c r="A29" s="3426"/>
      <c r="B29" s="3426"/>
      <c r="C29" s="822" t="s">
        <v>580</v>
      </c>
      <c r="D29" s="823"/>
      <c r="E29" s="821">
        <v>0.9</v>
      </c>
      <c r="F29" s="824" t="s">
        <v>581</v>
      </c>
      <c r="G29" s="825"/>
      <c r="H29" s="817"/>
      <c r="I29" s="817"/>
    </row>
    <row r="30" spans="1:9" s="826" customFormat="1" ht="19.5" customHeight="1">
      <c r="A30" s="3426"/>
      <c r="B30" s="3426"/>
      <c r="C30" s="822" t="s">
        <v>582</v>
      </c>
      <c r="D30" s="823"/>
      <c r="E30" s="821">
        <v>0.9</v>
      </c>
      <c r="F30" s="824" t="s">
        <v>583</v>
      </c>
      <c r="G30" s="825"/>
      <c r="H30" s="817"/>
      <c r="I30" s="817"/>
    </row>
    <row r="31" spans="1:9" s="826" customFormat="1" ht="19.5" customHeight="1">
      <c r="A31" s="3426"/>
      <c r="B31" s="3426"/>
      <c r="C31" s="822" t="s">
        <v>584</v>
      </c>
      <c r="D31" s="823"/>
      <c r="E31" s="821">
        <v>0.8</v>
      </c>
      <c r="F31" s="824" t="s">
        <v>585</v>
      </c>
      <c r="G31" s="825"/>
      <c r="H31" s="817"/>
      <c r="I31" s="817"/>
    </row>
    <row r="32" spans="1:9" s="826" customFormat="1" ht="19.5" customHeight="1">
      <c r="A32" s="3426"/>
      <c r="B32" s="3426"/>
      <c r="C32" s="822" t="s">
        <v>586</v>
      </c>
      <c r="D32" s="823"/>
      <c r="E32" s="821">
        <v>0.8</v>
      </c>
      <c r="F32" s="824" t="s">
        <v>587</v>
      </c>
      <c r="G32" s="825"/>
      <c r="H32" s="817"/>
      <c r="I32" s="817"/>
    </row>
    <row r="33" spans="1:9" s="826" customFormat="1" ht="19.5" customHeight="1">
      <c r="A33" s="3426" t="s">
        <v>185</v>
      </c>
      <c r="B33" s="821" t="s">
        <v>560</v>
      </c>
      <c r="C33" s="822" t="s">
        <v>588</v>
      </c>
      <c r="D33" s="823"/>
      <c r="E33" s="821">
        <v>1</v>
      </c>
      <c r="F33" s="824" t="s">
        <v>589</v>
      </c>
      <c r="G33" s="825"/>
      <c r="H33" s="817"/>
      <c r="I33" s="817"/>
    </row>
    <row r="34" spans="1:9" s="826" customFormat="1" ht="19.5" customHeight="1">
      <c r="A34" s="3426"/>
      <c r="B34" s="821" t="s">
        <v>563</v>
      </c>
      <c r="C34" s="822" t="s">
        <v>590</v>
      </c>
      <c r="D34" s="823"/>
      <c r="E34" s="821">
        <v>1.5</v>
      </c>
      <c r="F34" s="824" t="s">
        <v>591</v>
      </c>
      <c r="G34" s="825"/>
      <c r="H34" s="817"/>
      <c r="I34" s="817"/>
    </row>
    <row r="35" spans="1:9" s="826" customFormat="1" ht="19.5" customHeight="1">
      <c r="A35" s="3426" t="s">
        <v>186</v>
      </c>
      <c r="B35" s="821" t="s">
        <v>560</v>
      </c>
      <c r="C35" s="822" t="s">
        <v>592</v>
      </c>
      <c r="D35" s="823"/>
      <c r="E35" s="821">
        <v>1</v>
      </c>
      <c r="F35" s="824" t="s">
        <v>593</v>
      </c>
      <c r="G35" s="825"/>
      <c r="H35" s="817"/>
      <c r="I35" s="817"/>
    </row>
    <row r="36" spans="1:9" s="826" customFormat="1" ht="19.5" customHeight="1">
      <c r="A36" s="3426"/>
      <c r="B36" s="3426" t="s">
        <v>563</v>
      </c>
      <c r="C36" s="822" t="s">
        <v>594</v>
      </c>
      <c r="D36" s="823"/>
      <c r="E36" s="821">
        <v>1</v>
      </c>
      <c r="F36" s="824" t="s">
        <v>595</v>
      </c>
      <c r="G36" s="825"/>
      <c r="H36" s="817"/>
      <c r="I36" s="817"/>
    </row>
    <row r="37" spans="1:9" s="826" customFormat="1" ht="19.5" customHeight="1">
      <c r="A37" s="3426"/>
      <c r="B37" s="3426"/>
      <c r="C37" s="822" t="s">
        <v>596</v>
      </c>
      <c r="D37" s="823"/>
      <c r="E37" s="821">
        <v>1.5</v>
      </c>
      <c r="F37" s="824" t="s">
        <v>597</v>
      </c>
      <c r="G37" s="825"/>
      <c r="H37" s="817"/>
      <c r="I37" s="817"/>
    </row>
    <row r="38" spans="1:9" s="826" customFormat="1" ht="19.5" customHeight="1">
      <c r="A38" s="3426"/>
      <c r="B38" s="3426"/>
      <c r="C38" s="822" t="s">
        <v>598</v>
      </c>
      <c r="D38" s="823"/>
      <c r="E38" s="821">
        <v>1</v>
      </c>
      <c r="F38" s="824" t="s">
        <v>599</v>
      </c>
      <c r="G38" s="825"/>
      <c r="H38" s="817"/>
      <c r="I38" s="817"/>
    </row>
    <row r="39" spans="1:9" s="826" customFormat="1" ht="19.5" customHeight="1">
      <c r="A39" s="3426"/>
      <c r="B39" s="34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6" t="s">
        <v>614</v>
      </c>
      <c r="C61" s="757" t="s">
        <v>615</v>
      </c>
      <c r="D61" s="757" t="s">
        <v>616</v>
      </c>
      <c r="E61" s="834">
        <v>0.5</v>
      </c>
      <c r="F61" s="821">
        <v>80</v>
      </c>
    </row>
    <row r="62" spans="1:8" s="817" customFormat="1" ht="24">
      <c r="A62" s="821">
        <v>2</v>
      </c>
      <c r="B62" s="3426"/>
      <c r="C62" s="757" t="s">
        <v>617</v>
      </c>
      <c r="D62" s="757" t="s">
        <v>618</v>
      </c>
      <c r="E62" s="834">
        <v>0.5</v>
      </c>
      <c r="F62" s="821">
        <v>80</v>
      </c>
    </row>
    <row r="63" spans="1:8" s="817" customFormat="1" ht="36">
      <c r="A63" s="821">
        <v>3</v>
      </c>
      <c r="B63" s="3426"/>
      <c r="C63" s="757" t="s">
        <v>619</v>
      </c>
      <c r="D63" s="757" t="s">
        <v>620</v>
      </c>
      <c r="E63" s="834">
        <v>0.5</v>
      </c>
      <c r="F63" s="821">
        <v>80</v>
      </c>
    </row>
    <row r="64" spans="1:8" s="817" customFormat="1" ht="36">
      <c r="A64" s="821">
        <v>4</v>
      </c>
      <c r="B64" s="3426"/>
      <c r="C64" s="757" t="s">
        <v>621</v>
      </c>
      <c r="D64" s="757" t="s">
        <v>622</v>
      </c>
      <c r="E64" s="834">
        <v>0.4</v>
      </c>
      <c r="F64" s="821">
        <v>60</v>
      </c>
    </row>
    <row r="65" spans="1:6" s="817" customFormat="1" ht="36">
      <c r="A65" s="821">
        <v>5</v>
      </c>
      <c r="B65" s="3426"/>
      <c r="C65" s="757" t="s">
        <v>623</v>
      </c>
      <c r="D65" s="757" t="s">
        <v>624</v>
      </c>
      <c r="E65" s="834">
        <v>0.2</v>
      </c>
      <c r="F65" s="821">
        <v>30</v>
      </c>
    </row>
    <row r="66" spans="1:6" s="817" customFormat="1" ht="36">
      <c r="A66" s="821">
        <v>6</v>
      </c>
      <c r="B66" s="3426"/>
      <c r="C66" s="757" t="s">
        <v>625</v>
      </c>
      <c r="D66" s="757" t="s">
        <v>626</v>
      </c>
      <c r="E66" s="834">
        <v>0.3</v>
      </c>
      <c r="F66" s="821">
        <v>50</v>
      </c>
    </row>
    <row r="67" spans="1:6" s="817" customFormat="1" ht="36">
      <c r="A67" s="821">
        <v>7</v>
      </c>
      <c r="B67" s="3426"/>
      <c r="C67" s="757" t="s">
        <v>627</v>
      </c>
      <c r="D67" s="757" t="s">
        <v>628</v>
      </c>
      <c r="E67" s="834">
        <v>0.2</v>
      </c>
      <c r="F67" s="821">
        <v>30</v>
      </c>
    </row>
    <row r="68" spans="1:6" s="817" customFormat="1" ht="36">
      <c r="A68" s="821">
        <v>8</v>
      </c>
      <c r="B68" s="3426"/>
      <c r="C68" s="757" t="s">
        <v>629</v>
      </c>
      <c r="D68" s="757" t="s">
        <v>630</v>
      </c>
      <c r="E68" s="834">
        <v>0.2</v>
      </c>
      <c r="F68" s="821">
        <v>30</v>
      </c>
    </row>
    <row r="69" spans="1:6" s="817" customFormat="1" ht="36">
      <c r="A69" s="821">
        <v>9</v>
      </c>
      <c r="B69" s="3426"/>
      <c r="C69" s="757" t="s">
        <v>631</v>
      </c>
      <c r="D69" s="757" t="s">
        <v>632</v>
      </c>
      <c r="E69" s="834">
        <v>0.2</v>
      </c>
      <c r="F69" s="821">
        <v>30</v>
      </c>
    </row>
    <row r="70" spans="1:6" s="817" customFormat="1" ht="48">
      <c r="A70" s="821">
        <v>10</v>
      </c>
      <c r="B70" s="3426"/>
      <c r="C70" s="757" t="s">
        <v>633</v>
      </c>
      <c r="D70" s="757" t="s">
        <v>634</v>
      </c>
      <c r="E70" s="834">
        <v>0.2</v>
      </c>
      <c r="F70" s="821">
        <v>30</v>
      </c>
    </row>
    <row r="71" spans="1:6" s="817" customFormat="1" ht="48">
      <c r="A71" s="821">
        <v>11</v>
      </c>
      <c r="B71" s="3426"/>
      <c r="C71" s="757" t="s">
        <v>635</v>
      </c>
      <c r="D71" s="757" t="s">
        <v>636</v>
      </c>
      <c r="E71" s="834">
        <v>0.2</v>
      </c>
      <c r="F71" s="821">
        <v>30</v>
      </c>
    </row>
    <row r="72" spans="1:6" s="817" customFormat="1" ht="36">
      <c r="A72" s="821">
        <v>12</v>
      </c>
      <c r="B72" s="3426"/>
      <c r="C72" s="757" t="s">
        <v>637</v>
      </c>
      <c r="D72" s="757" t="s">
        <v>638</v>
      </c>
      <c r="E72" s="834">
        <v>0.5</v>
      </c>
      <c r="F72" s="821">
        <v>80</v>
      </c>
    </row>
    <row r="73" spans="1:6" s="817" customFormat="1" ht="24">
      <c r="A73" s="821">
        <v>13</v>
      </c>
      <c r="B73" s="3426"/>
      <c r="C73" s="757" t="s">
        <v>639</v>
      </c>
      <c r="D73" s="757" t="s">
        <v>640</v>
      </c>
      <c r="E73" s="834">
        <v>0.4</v>
      </c>
      <c r="F73" s="821">
        <v>60</v>
      </c>
    </row>
    <row r="74" spans="1:6" s="817" customFormat="1" ht="24">
      <c r="A74" s="821">
        <v>14</v>
      </c>
      <c r="B74" s="3426"/>
      <c r="C74" s="757" t="s">
        <v>641</v>
      </c>
      <c r="D74" s="757" t="s">
        <v>642</v>
      </c>
      <c r="E74" s="834">
        <v>0.2</v>
      </c>
      <c r="F74" s="821">
        <v>30</v>
      </c>
    </row>
    <row r="75" spans="1:6" s="817" customFormat="1" ht="24">
      <c r="A75" s="821">
        <v>15</v>
      </c>
      <c r="B75" s="3426"/>
      <c r="C75" s="757" t="s">
        <v>643</v>
      </c>
      <c r="D75" s="757" t="s">
        <v>644</v>
      </c>
      <c r="E75" s="834">
        <v>0.2</v>
      </c>
      <c r="F75" s="821">
        <v>30</v>
      </c>
    </row>
    <row r="76" spans="1:6" s="817" customFormat="1" ht="24">
      <c r="A76" s="821">
        <v>16</v>
      </c>
      <c r="B76" s="3426" t="s">
        <v>645</v>
      </c>
      <c r="C76" s="757" t="s">
        <v>646</v>
      </c>
      <c r="D76" s="757" t="s">
        <v>647</v>
      </c>
      <c r="E76" s="834">
        <v>0.5</v>
      </c>
      <c r="F76" s="821">
        <v>80</v>
      </c>
    </row>
    <row r="77" spans="1:6" s="817" customFormat="1" ht="24">
      <c r="A77" s="821">
        <v>17</v>
      </c>
      <c r="B77" s="3426"/>
      <c r="C77" s="757" t="s">
        <v>648</v>
      </c>
      <c r="D77" s="757" t="s">
        <v>649</v>
      </c>
      <c r="E77" s="834">
        <v>0.5</v>
      </c>
      <c r="F77" s="821">
        <v>80</v>
      </c>
    </row>
    <row r="78" spans="1:6" s="817" customFormat="1" ht="24">
      <c r="A78" s="821">
        <v>18</v>
      </c>
      <c r="B78" s="3426"/>
      <c r="C78" s="757" t="s">
        <v>650</v>
      </c>
      <c r="D78" s="757" t="s">
        <v>651</v>
      </c>
      <c r="E78" s="834">
        <v>0.2</v>
      </c>
      <c r="F78" s="821">
        <v>30</v>
      </c>
    </row>
    <row r="79" spans="1:6" s="817" customFormat="1" ht="24">
      <c r="A79" s="821">
        <v>19</v>
      </c>
      <c r="B79" s="3426"/>
      <c r="C79" s="757" t="s">
        <v>652</v>
      </c>
      <c r="D79" s="757" t="s">
        <v>653</v>
      </c>
      <c r="E79" s="834">
        <v>0.5</v>
      </c>
      <c r="F79" s="821">
        <v>80</v>
      </c>
    </row>
    <row r="80" spans="1:6" s="817" customFormat="1" ht="36">
      <c r="A80" s="821">
        <v>20</v>
      </c>
      <c r="B80" s="3426"/>
      <c r="C80" s="757" t="s">
        <v>654</v>
      </c>
      <c r="D80" s="757" t="s">
        <v>655</v>
      </c>
      <c r="E80" s="834">
        <v>0.2</v>
      </c>
      <c r="F80" s="821">
        <v>30</v>
      </c>
    </row>
    <row r="81" spans="1:6" s="817" customFormat="1" ht="36">
      <c r="A81" s="821">
        <v>21</v>
      </c>
      <c r="B81" s="3426"/>
      <c r="C81" s="757" t="s">
        <v>656</v>
      </c>
      <c r="D81" s="757" t="s">
        <v>657</v>
      </c>
      <c r="E81" s="834">
        <v>0.2</v>
      </c>
      <c r="F81" s="821">
        <v>30</v>
      </c>
    </row>
    <row r="82" spans="1:6" s="817" customFormat="1" ht="48">
      <c r="A82" s="821">
        <v>22</v>
      </c>
      <c r="B82" s="3426"/>
      <c r="C82" s="757" t="s">
        <v>658</v>
      </c>
      <c r="D82" s="757" t="s">
        <v>659</v>
      </c>
      <c r="E82" s="834">
        <v>0.2</v>
      </c>
      <c r="F82" s="821">
        <v>30</v>
      </c>
    </row>
    <row r="83" spans="1:6" s="817" customFormat="1" ht="48">
      <c r="A83" s="821">
        <v>23</v>
      </c>
      <c r="B83" s="3426"/>
      <c r="C83" s="757" t="s">
        <v>660</v>
      </c>
      <c r="D83" s="757" t="s">
        <v>661</v>
      </c>
      <c r="E83" s="834">
        <v>0.2</v>
      </c>
      <c r="F83" s="821">
        <v>30</v>
      </c>
    </row>
    <row r="84" spans="1:6" s="817" customFormat="1" ht="36">
      <c r="A84" s="821">
        <v>24</v>
      </c>
      <c r="B84" s="3426"/>
      <c r="C84" s="757" t="s">
        <v>662</v>
      </c>
      <c r="D84" s="757" t="s">
        <v>663</v>
      </c>
      <c r="E84" s="834">
        <v>0.2</v>
      </c>
      <c r="F84" s="821">
        <v>30</v>
      </c>
    </row>
    <row r="85" spans="1:6" s="817" customFormat="1" ht="36">
      <c r="A85" s="821">
        <v>25</v>
      </c>
      <c r="B85" s="3426"/>
      <c r="C85" s="757" t="s">
        <v>664</v>
      </c>
      <c r="D85" s="757" t="s">
        <v>665</v>
      </c>
      <c r="E85" s="834">
        <v>0.5</v>
      </c>
      <c r="F85" s="821">
        <v>80</v>
      </c>
    </row>
    <row r="86" spans="1:6" s="817" customFormat="1" ht="36">
      <c r="A86" s="821">
        <v>26</v>
      </c>
      <c r="B86" s="3426"/>
      <c r="C86" s="757" t="s">
        <v>666</v>
      </c>
      <c r="D86" s="757" t="s">
        <v>667</v>
      </c>
      <c r="E86" s="834">
        <v>0.2</v>
      </c>
      <c r="F86" s="821">
        <v>30</v>
      </c>
    </row>
    <row r="87" spans="1:6" s="817" customFormat="1" ht="36">
      <c r="A87" s="821">
        <v>27</v>
      </c>
      <c r="B87" s="3426"/>
      <c r="C87" s="757" t="s">
        <v>668</v>
      </c>
      <c r="D87" s="757" t="s">
        <v>669</v>
      </c>
      <c r="E87" s="834">
        <v>0.2</v>
      </c>
      <c r="F87" s="821">
        <v>30</v>
      </c>
    </row>
    <row r="88" spans="1:6" s="817" customFormat="1" ht="36">
      <c r="A88" s="821">
        <v>28</v>
      </c>
      <c r="B88" s="3426"/>
      <c r="C88" s="757" t="s">
        <v>670</v>
      </c>
      <c r="D88" s="757" t="s">
        <v>671</v>
      </c>
      <c r="E88" s="834">
        <v>0.2</v>
      </c>
      <c r="F88" s="821">
        <v>30</v>
      </c>
    </row>
    <row r="89" spans="1:6" s="817" customFormat="1" ht="24">
      <c r="A89" s="821">
        <v>29</v>
      </c>
      <c r="B89" s="3426"/>
      <c r="C89" s="757" t="s">
        <v>672</v>
      </c>
      <c r="D89" s="757" t="s">
        <v>673</v>
      </c>
      <c r="E89" s="834">
        <v>0.2</v>
      </c>
      <c r="F89" s="821">
        <v>30</v>
      </c>
    </row>
    <row r="90" spans="1:6" s="817" customFormat="1" ht="24">
      <c r="A90" s="821">
        <v>30</v>
      </c>
      <c r="B90" s="3426"/>
      <c r="C90" s="757" t="s">
        <v>674</v>
      </c>
      <c r="D90" s="757" t="s">
        <v>675</v>
      </c>
      <c r="E90" s="834">
        <v>0.2</v>
      </c>
      <c r="F90" s="821">
        <v>30</v>
      </c>
    </row>
    <row r="91" spans="1:6" s="817" customFormat="1" ht="36">
      <c r="A91" s="821">
        <v>31</v>
      </c>
      <c r="B91" s="3426"/>
      <c r="C91" s="757" t="s">
        <v>676</v>
      </c>
      <c r="D91" s="757" t="s">
        <v>677</v>
      </c>
      <c r="E91" s="834">
        <v>0.2</v>
      </c>
      <c r="F91" s="821">
        <v>30</v>
      </c>
    </row>
    <row r="92" spans="1:6" s="817" customFormat="1" ht="24">
      <c r="A92" s="821">
        <v>32</v>
      </c>
      <c r="B92" s="3426" t="s">
        <v>678</v>
      </c>
      <c r="C92" s="821" t="s">
        <v>679</v>
      </c>
      <c r="D92" s="757" t="s">
        <v>680</v>
      </c>
      <c r="E92" s="834">
        <v>0.2</v>
      </c>
      <c r="F92" s="821">
        <v>30</v>
      </c>
    </row>
    <row r="93" spans="1:6" s="817" customFormat="1" ht="36">
      <c r="A93" s="821">
        <v>33</v>
      </c>
      <c r="B93" s="3426"/>
      <c r="C93" s="821" t="s">
        <v>681</v>
      </c>
      <c r="D93" s="757" t="s">
        <v>682</v>
      </c>
      <c r="E93" s="834">
        <v>0.2</v>
      </c>
      <c r="F93" s="821">
        <v>30</v>
      </c>
    </row>
    <row r="94" spans="1:6" s="817" customFormat="1" ht="48">
      <c r="A94" s="821">
        <v>34</v>
      </c>
      <c r="B94" s="3426"/>
      <c r="C94" s="821" t="s">
        <v>683</v>
      </c>
      <c r="D94" s="757" t="s">
        <v>684</v>
      </c>
      <c r="E94" s="834">
        <v>0.2</v>
      </c>
      <c r="F94" s="821">
        <v>30</v>
      </c>
    </row>
    <row r="95" spans="1:6" s="817" customFormat="1" ht="36">
      <c r="A95" s="821">
        <v>35</v>
      </c>
      <c r="B95" s="3426"/>
      <c r="C95" s="821" t="s">
        <v>685</v>
      </c>
      <c r="D95" s="757" t="s">
        <v>686</v>
      </c>
      <c r="E95" s="834">
        <v>0.2</v>
      </c>
      <c r="F95" s="821">
        <v>30</v>
      </c>
    </row>
    <row r="96" spans="1:6" s="817" customFormat="1" ht="48">
      <c r="A96" s="821">
        <v>36</v>
      </c>
      <c r="B96" s="3426"/>
      <c r="C96" s="757" t="s">
        <v>687</v>
      </c>
      <c r="D96" s="757" t="s">
        <v>688</v>
      </c>
      <c r="E96" s="834">
        <v>0.2</v>
      </c>
      <c r="F96" s="821">
        <v>30</v>
      </c>
    </row>
    <row r="97" spans="1:6" s="817" customFormat="1" ht="36">
      <c r="A97" s="821">
        <v>37</v>
      </c>
      <c r="B97" s="3426"/>
      <c r="C97" s="821" t="s">
        <v>689</v>
      </c>
      <c r="D97" s="757" t="s">
        <v>690</v>
      </c>
      <c r="E97" s="834">
        <v>0.2</v>
      </c>
      <c r="F97" s="821">
        <v>30</v>
      </c>
    </row>
    <row r="98" spans="1:6" s="817" customFormat="1" ht="36">
      <c r="A98" s="821">
        <v>38</v>
      </c>
      <c r="B98" s="3426"/>
      <c r="C98" s="821" t="s">
        <v>691</v>
      </c>
      <c r="D98" s="757" t="s">
        <v>692</v>
      </c>
      <c r="E98" s="834">
        <v>0.2</v>
      </c>
      <c r="F98" s="821">
        <v>30</v>
      </c>
    </row>
    <row r="99" spans="1:6" s="817" customFormat="1" ht="36">
      <c r="A99" s="821">
        <v>39</v>
      </c>
      <c r="B99" s="3426" t="s">
        <v>693</v>
      </c>
      <c r="C99" s="821" t="s">
        <v>694</v>
      </c>
      <c r="D99" s="757" t="s">
        <v>695</v>
      </c>
      <c r="E99" s="834">
        <v>0.3</v>
      </c>
      <c r="F99" s="821">
        <v>50</v>
      </c>
    </row>
    <row r="100" spans="1:6" s="817" customFormat="1" ht="24">
      <c r="A100" s="821">
        <v>40</v>
      </c>
      <c r="B100" s="3426"/>
      <c r="C100" s="821" t="s">
        <v>696</v>
      </c>
      <c r="D100" s="757" t="s">
        <v>697</v>
      </c>
      <c r="E100" s="834">
        <v>0.2</v>
      </c>
      <c r="F100" s="821">
        <v>30</v>
      </c>
    </row>
    <row r="101" spans="1:6" s="817" customFormat="1" ht="36">
      <c r="A101" s="821">
        <v>41</v>
      </c>
      <c r="B101" s="34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6" t="s">
        <v>708</v>
      </c>
      <c r="C105" s="821" t="s">
        <v>709</v>
      </c>
      <c r="D105" s="757" t="s">
        <v>710</v>
      </c>
      <c r="E105" s="834">
        <v>0.2</v>
      </c>
      <c r="F105" s="821">
        <v>30</v>
      </c>
    </row>
    <row r="106" spans="1:6" s="817" customFormat="1" ht="36">
      <c r="A106" s="821">
        <v>46</v>
      </c>
      <c r="B106" s="3426"/>
      <c r="C106" s="821" t="s">
        <v>711</v>
      </c>
      <c r="D106" s="757" t="s">
        <v>712</v>
      </c>
      <c r="E106" s="834">
        <v>0.2</v>
      </c>
      <c r="F106" s="821">
        <v>30</v>
      </c>
    </row>
    <row r="107" spans="1:6" s="817" customFormat="1" ht="36">
      <c r="A107" s="821">
        <v>47</v>
      </c>
      <c r="B107" s="3426" t="s">
        <v>713</v>
      </c>
      <c r="C107" s="821" t="s">
        <v>714</v>
      </c>
      <c r="D107" s="757" t="s">
        <v>715</v>
      </c>
      <c r="E107" s="834">
        <v>0.3</v>
      </c>
      <c r="F107" s="821">
        <v>50</v>
      </c>
    </row>
    <row r="108" spans="1:6" s="817" customFormat="1" ht="36">
      <c r="A108" s="821">
        <v>48</v>
      </c>
      <c r="B108" s="34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6" t="s">
        <v>724</v>
      </c>
      <c r="C111" s="821" t="s">
        <v>725</v>
      </c>
      <c r="D111" s="757" t="s">
        <v>726</v>
      </c>
      <c r="E111" s="834">
        <v>0.2</v>
      </c>
      <c r="F111" s="821">
        <v>30</v>
      </c>
    </row>
    <row r="112" spans="1:6" s="817" customFormat="1" ht="24">
      <c r="A112" s="821">
        <v>52</v>
      </c>
      <c r="B112" s="3426"/>
      <c r="C112" s="821" t="s">
        <v>727</v>
      </c>
      <c r="D112" s="757" t="s">
        <v>728</v>
      </c>
      <c r="E112" s="834">
        <v>0.2</v>
      </c>
      <c r="F112" s="821">
        <v>30</v>
      </c>
    </row>
    <row r="113" spans="1:6" s="817" customFormat="1" ht="24">
      <c r="A113" s="821">
        <v>53</v>
      </c>
      <c r="B113" s="34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6" t="s">
        <v>737</v>
      </c>
      <c r="C116" s="821" t="s">
        <v>738</v>
      </c>
      <c r="D116" s="757" t="s">
        <v>739</v>
      </c>
      <c r="E116" s="834">
        <v>0.2</v>
      </c>
      <c r="F116" s="821">
        <v>30</v>
      </c>
    </row>
    <row r="117" spans="1:6" ht="36">
      <c r="A117" s="821">
        <v>57</v>
      </c>
      <c r="B117" s="34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t="e">
        <f ca="1">SUMIF(B6:B13,"&lt;&gt;#ref!",B6:B13)</f>
        <v>#DIV/0!</v>
      </c>
      <c r="C2" s="2362" t="s">
        <v>2814</v>
      </c>
      <c r="D2" s="2362" t="s">
        <v>2815</v>
      </c>
      <c r="E2" s="2839">
        <f ca="1">SUMIF(E6:E13,"&lt;&gt;#ref!",E6:E13)</f>
        <v>0</v>
      </c>
      <c r="F2" s="3025"/>
      <c r="G2" s="3025"/>
      <c r="H2" s="3025"/>
      <c r="I2" s="3025"/>
      <c r="J2" s="3025"/>
      <c r="K2" s="3025"/>
      <c r="L2" s="3025"/>
      <c r="M2" s="3025"/>
      <c r="N2" s="3025"/>
      <c r="O2" s="3025"/>
      <c r="P2" s="3025"/>
    </row>
    <row r="3" spans="1:16" ht="15.75">
      <c r="A3" s="2362" t="s">
        <v>2816</v>
      </c>
      <c r="B3" s="2829" t="e">
        <f ca="1">ROUND(B2*10000/E2,0)</f>
        <v>#DIV/0!</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t="e">
        <f ca="1">SUMIF(INDIRECT("'"&amp;A6&amp;"'"&amp;"!A:A"),"总价",INDIRECT("'"&amp;A6&amp;"'"&amp;"!B:B"))</f>
        <v>#DIV/0!</v>
      </c>
      <c r="C6" s="2362" t="s">
        <v>2814</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32" t="s">
        <v>1117</v>
      </c>
      <c r="C1" s="3432"/>
      <c r="D1" s="3432"/>
      <c r="E1" s="3432"/>
      <c r="F1" s="3432"/>
      <c r="G1" s="3431" t="s">
        <v>1118</v>
      </c>
      <c r="H1" s="3431"/>
      <c r="I1" s="3431"/>
      <c r="J1" s="3431"/>
      <c r="K1" s="3431"/>
      <c r="L1" s="3431"/>
      <c r="N1" s="3431" t="s">
        <v>1119</v>
      </c>
      <c r="O1" s="3431"/>
      <c r="P1" s="3431"/>
      <c r="Q1" s="3431"/>
      <c r="S1" s="3431" t="s">
        <v>1120</v>
      </c>
      <c r="T1" s="3431"/>
      <c r="U1" s="3431"/>
      <c r="V1" s="3431"/>
      <c r="X1" s="3430" t="s">
        <v>1121</v>
      </c>
      <c r="Y1" s="3431"/>
      <c r="Z1" s="3431"/>
      <c r="AA1" s="3431"/>
      <c r="AB1" s="3431"/>
      <c r="AD1" s="3430" t="s">
        <v>1122</v>
      </c>
      <c r="AE1" s="3431"/>
      <c r="AF1" s="3431"/>
      <c r="AG1" s="3431"/>
      <c r="AH1" s="3431"/>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3057</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2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2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2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37"/>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33">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2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2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37"/>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33">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2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2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2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2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2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2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2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2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2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2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2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34">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35"/>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35"/>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36"/>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2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2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2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2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2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2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2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2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2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2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2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2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2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2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2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2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2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2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2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2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2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2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2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2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2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2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2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2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2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2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2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2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2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2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2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2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2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2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2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2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2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2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2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2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41" t="s">
        <v>2824</v>
      </c>
      <c r="D1" s="3442"/>
      <c r="E1" s="3442"/>
      <c r="F1" s="3442"/>
      <c r="G1" s="3442"/>
      <c r="H1" s="3442"/>
      <c r="I1" s="3442"/>
      <c r="J1" s="3442"/>
      <c r="K1" s="3442"/>
      <c r="L1" s="3442"/>
      <c r="M1" s="3442"/>
      <c r="N1" s="3442"/>
      <c r="O1" s="3442"/>
      <c r="P1" s="3442"/>
      <c r="Q1" s="3442"/>
      <c r="R1" s="3442"/>
      <c r="S1" s="3443"/>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38" t="s">
        <v>33</v>
      </c>
      <c r="D22" s="3439"/>
      <c r="E22" s="3439"/>
      <c r="F22" s="3439"/>
      <c r="G22" s="3439"/>
      <c r="H22" s="3439"/>
      <c r="I22" s="3439"/>
      <c r="J22" s="3439"/>
      <c r="K22" s="3439"/>
      <c r="L22" s="3439"/>
      <c r="M22" s="3439"/>
      <c r="N22" s="3439"/>
      <c r="O22" s="3439"/>
      <c r="P22" s="3439"/>
      <c r="Q22" s="3440"/>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79"/>
      <c r="B4" s="3113" t="s">
        <v>1595</v>
      </c>
      <c r="C4" s="3113"/>
      <c r="D4" s="3113"/>
      <c r="E4" s="1679"/>
    </row>
    <row r="5" spans="1:5" ht="16.5" thickTop="1">
      <c r="A5" s="1677"/>
      <c r="B5" s="3111" t="s">
        <v>1587</v>
      </c>
      <c r="C5" s="1680" t="s">
        <v>1588</v>
      </c>
      <c r="D5" s="959">
        <f ca="1">结果表!H101</f>
        <v>121567</v>
      </c>
      <c r="E5" s="1677"/>
    </row>
    <row r="6" spans="1:5" ht="15.75">
      <c r="A6" s="1677"/>
      <c r="B6" s="3111"/>
      <c r="C6" s="1680" t="s">
        <v>1589</v>
      </c>
      <c r="D6" s="959" t="str">
        <f ca="1">NUMBERSTRING(INT(D5*10000),2)&amp;"元整"</f>
        <v>壹拾贰亿壹仟伍佰陆拾柒万元整</v>
      </c>
      <c r="E6" s="1677"/>
    </row>
    <row r="7" spans="1:5" ht="15.75">
      <c r="A7" s="1677"/>
      <c r="B7" s="3116"/>
      <c r="C7" s="1681" t="s">
        <v>1590</v>
      </c>
      <c r="D7" s="960">
        <f ca="1">结果表!H102</f>
        <v>7568</v>
      </c>
      <c r="E7" s="1677"/>
    </row>
    <row r="8" spans="1:5" ht="15.75">
      <c r="A8" s="1677"/>
      <c r="B8" s="3117" t="str">
        <f>结果表!E103</f>
        <v>2.估价师知悉的法定优先受偿款</v>
      </c>
      <c r="C8" s="1682" t="s">
        <v>1591</v>
      </c>
      <c r="D8" s="960">
        <f>结果表!H103</f>
        <v>0</v>
      </c>
      <c r="E8" s="1677"/>
    </row>
    <row r="9" spans="1:5" ht="15.75">
      <c r="A9" s="1677"/>
      <c r="B9" s="3119"/>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10" t="str">
        <f>结果表!E107</f>
        <v>3.房地产抵押价值</v>
      </c>
      <c r="C13" s="1685" t="s">
        <v>1588</v>
      </c>
      <c r="D13" s="962">
        <f ca="1">结果表!H107</f>
        <v>121567</v>
      </c>
      <c r="E13" s="1677"/>
    </row>
    <row r="14" spans="1:5" ht="15.75">
      <c r="A14" s="1677"/>
      <c r="B14" s="3111"/>
      <c r="C14" s="1680" t="s">
        <v>1589</v>
      </c>
      <c r="D14" s="959" t="str">
        <f ca="1">NUMBERSTRING(INT(D13*10000),2)&amp;"元整"</f>
        <v>壹拾贰亿壹仟伍佰陆拾柒万元整</v>
      </c>
      <c r="E14" s="1677"/>
    </row>
    <row r="15" spans="1:5" ht="15">
      <c r="A15" s="1677"/>
      <c r="B15" s="3116"/>
      <c r="C15" s="1681" t="s">
        <v>1599</v>
      </c>
      <c r="D15" s="968">
        <f ca="1">结果表!H108</f>
        <v>7568</v>
      </c>
      <c r="E15" s="1677"/>
    </row>
    <row r="16" spans="1:5" ht="15">
      <c r="A16" s="1677"/>
      <c r="B16" s="3117" t="str">
        <f>结果表!E109</f>
        <v>——</v>
      </c>
      <c r="C16" s="1685" t="s">
        <v>1600</v>
      </c>
      <c r="D16" s="1686" t="str">
        <f>结果表!H109</f>
        <v>——</v>
      </c>
      <c r="E16" s="1677"/>
    </row>
    <row r="17" spans="1:5" ht="15.75">
      <c r="A17" s="1677"/>
      <c r="B17" s="3118"/>
      <c r="C17" s="1680" t="s">
        <v>1601</v>
      </c>
      <c r="D17" s="959" t="e">
        <f>NUMBERSTRING(INT(D16*10000),2)&amp;"元整"</f>
        <v>#VALUE!</v>
      </c>
      <c r="E17" s="1677"/>
    </row>
    <row r="18" spans="1:5" ht="15">
      <c r="A18" s="1677"/>
      <c r="B18" s="3119"/>
      <c r="C18" s="1681" t="s">
        <v>1590</v>
      </c>
      <c r="D18" s="968" t="str">
        <f>结果表!H110</f>
        <v>——</v>
      </c>
      <c r="E18" s="1677"/>
    </row>
    <row r="19" spans="1:5" ht="15.75">
      <c r="A19" s="1677"/>
      <c r="B19" s="3110" t="str">
        <f>结果表!E111</f>
        <v>——</v>
      </c>
      <c r="C19" s="1685" t="s">
        <v>1588</v>
      </c>
      <c r="D19" s="960" t="str">
        <f>结果表!H111</f>
        <v>——</v>
      </c>
      <c r="E19" s="1677"/>
    </row>
    <row r="20" spans="1:5" ht="15.75">
      <c r="A20" s="1677"/>
      <c r="B20" s="3111"/>
      <c r="C20" s="1680" t="s">
        <v>1601</v>
      </c>
      <c r="D20" s="959" t="e">
        <f>NUMBERSTRING(INT(D19*10000),2)&amp;"元整"</f>
        <v>#VALUE!</v>
      </c>
      <c r="E20" s="1677"/>
    </row>
    <row r="21" spans="1:5" ht="15.75" thickBot="1">
      <c r="A21" s="1677"/>
      <c r="B21" s="3112"/>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116846</v>
      </c>
      <c r="C2" s="2" t="s">
        <v>133</v>
      </c>
      <c r="D2" s="205"/>
      <c r="E2" s="205"/>
      <c r="F2" s="205"/>
      <c r="G2" s="205"/>
    </row>
    <row r="3" spans="1:7" s="206" customFormat="1" ht="18" customHeight="1" thickBot="1">
      <c r="A3" s="209" t="s">
        <v>85</v>
      </c>
      <c r="B3" s="210">
        <f ca="1">ROUND(B2*10000/'数据-汇总表'!E3,0)</f>
        <v>7274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20000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0</v>
      </c>
      <c r="D7" s="226"/>
      <c r="E7" s="224"/>
      <c r="F7" s="227">
        <f>'数据-取费表'!B48+'数据-取费表'!B49</f>
        <v>0</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464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1840</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1570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252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2368</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2368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30182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70354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64250</v>
      </c>
      <c r="D34" s="223"/>
      <c r="E34" s="226"/>
      <c r="F34" s="263">
        <f>IF('数据-取费表'!B24=0,1,'数据-取费表'!N16)</f>
        <v>1</v>
      </c>
      <c r="G34" s="225" t="s">
        <v>116</v>
      </c>
    </row>
    <row r="35" spans="1:7" ht="13.5" customHeight="1">
      <c r="A35" s="888" t="s">
        <v>796</v>
      </c>
      <c r="B35" s="221" t="s">
        <v>60</v>
      </c>
      <c r="C35" s="226">
        <f>ROUND(C34*F35,0)</f>
        <v>1928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964</v>
      </c>
      <c r="D38" s="226"/>
      <c r="E38" s="226"/>
      <c r="F38" s="265">
        <f>'数据-取费表'!B36</f>
        <v>1.4999999999999999E-2</v>
      </c>
      <c r="G38" s="225" t="s">
        <v>117</v>
      </c>
    </row>
    <row r="39" spans="1:7" s="220" customFormat="1" ht="13.5" customHeight="1">
      <c r="A39" s="885" t="s">
        <v>783</v>
      </c>
      <c r="B39" s="216" t="s">
        <v>104</v>
      </c>
      <c r="C39" s="238">
        <f>ROUND(C33*F20,0)</f>
        <v>1407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2763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2709</v>
      </c>
      <c r="D42" s="244"/>
      <c r="E42" s="244"/>
      <c r="F42" s="245"/>
      <c r="G42" s="3298" t="s">
        <v>121</v>
      </c>
    </row>
    <row r="43" spans="1:7" ht="13.5" customHeight="1">
      <c r="A43" s="888" t="s">
        <v>792</v>
      </c>
      <c r="B43" s="221" t="s">
        <v>1032</v>
      </c>
      <c r="C43" s="244">
        <f ca="1">ROUND(IF('数据-取费表'!B22&lt;=1,C39*F22*'数据-取费表'!B21/2,C39*(POWER((1+F22),'数据-取费表'!B21/2)-1)),0)</f>
        <v>54</v>
      </c>
      <c r="D43" s="244"/>
      <c r="E43" s="244"/>
      <c r="F43" s="245"/>
      <c r="G43" s="3299"/>
    </row>
    <row r="44" spans="1:7" ht="13.5" customHeight="1">
      <c r="A44" s="888" t="s">
        <v>793</v>
      </c>
      <c r="B44" s="221" t="s">
        <v>1034</v>
      </c>
      <c r="C44" s="244">
        <f ca="1">ROUND(IF('数据-取费表'!B22&lt;=1,C40*F22*'数据-取费表'!B21/2,C40*(POWER((1+F22),'数据-取费表'!B21/2)-1)),4)</f>
        <v>8.0000000000000004E-4</v>
      </c>
      <c r="D44" s="244"/>
      <c r="E44" s="244"/>
      <c r="F44" s="245"/>
      <c r="G44" s="3300"/>
    </row>
    <row r="45" spans="1:7" s="220" customFormat="1" ht="13.5" customHeight="1">
      <c r="A45" s="885" t="s">
        <v>786</v>
      </c>
      <c r="B45" s="250" t="s">
        <v>112</v>
      </c>
      <c r="C45" s="251">
        <f>C46</f>
        <v>7176</v>
      </c>
      <c r="D45" s="241">
        <f>C47</f>
        <v>2E-3</v>
      </c>
      <c r="E45" s="242" t="s">
        <v>129</v>
      </c>
      <c r="F45" s="252"/>
      <c r="G45" s="253" t="s">
        <v>1040</v>
      </c>
    </row>
    <row r="46" spans="1:7" s="220" customFormat="1" ht="13.5" customHeight="1">
      <c r="A46" s="888" t="s">
        <v>794</v>
      </c>
      <c r="B46" s="254" t="s">
        <v>1033</v>
      </c>
      <c r="C46" s="255">
        <f>ROUND((C33+C39)*F27,0)</f>
        <v>7176</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88433</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86664</v>
      </c>
      <c r="D51" s="238"/>
      <c r="E51" s="238"/>
      <c r="F51" s="270"/>
      <c r="G51" s="240" t="s">
        <v>64</v>
      </c>
    </row>
    <row r="52" spans="1:7" s="214" customFormat="1" ht="16.5" thickBot="1">
      <c r="A52" s="271" t="s">
        <v>65</v>
      </c>
      <c r="B52" s="272"/>
      <c r="C52" s="273">
        <f ca="1">C31+C51</f>
        <v>116846</v>
      </c>
      <c r="D52" s="272"/>
      <c r="E52" s="272"/>
      <c r="F52" s="272"/>
      <c r="G52" s="274"/>
    </row>
    <row r="55" spans="1:7" ht="15">
      <c r="B55" s="276" t="s">
        <v>66</v>
      </c>
      <c r="C55" s="277"/>
    </row>
    <row r="56" spans="1:7">
      <c r="B56" s="279" t="s">
        <v>67</v>
      </c>
      <c r="C56" s="280">
        <f ca="1">ROUND(C51/C52,3)</f>
        <v>0.74199999999999999</v>
      </c>
    </row>
    <row r="57" spans="1:7">
      <c r="B57" s="279" t="s">
        <v>68</v>
      </c>
      <c r="C57" s="281">
        <f ca="1">1-C56</f>
        <v>0.25800000000000001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4" t="s">
        <v>156</v>
      </c>
      <c r="B1" s="3444"/>
      <c r="C1" s="3444"/>
      <c r="D1" s="3444"/>
      <c r="E1" s="3444"/>
      <c r="F1" s="34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5" t="s">
        <v>169</v>
      </c>
      <c r="B2" s="3445"/>
      <c r="C2" s="3445"/>
      <c r="D2" s="3445"/>
      <c r="E2" s="3445"/>
      <c r="F2" s="34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4" t="s">
        <v>839</v>
      </c>
      <c r="B1" s="34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44249</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B52" workbookViewId="0">
      <selection activeCell="K61" sqref="K61:K62"/>
    </sheetView>
  </sheetViews>
  <sheetFormatPr defaultRowHeight="13.5"/>
  <cols>
    <col min="1" max="1" width="72.125" style="1407" customWidth="1"/>
    <col min="2" max="2" width="6.25" style="1407" customWidth="1"/>
    <col min="3" max="3" width="7.875" style="1407" customWidth="1"/>
    <col min="4" max="5" width="13.875" style="1407" customWidth="1"/>
    <col min="6" max="6" width="8.75" style="1407" customWidth="1"/>
    <col min="7" max="7" width="7.875" style="1407" customWidth="1"/>
    <col min="8" max="8" width="14.375" style="1407" customWidth="1"/>
    <col min="9" max="9" width="9" style="1407" hidden="1" customWidth="1"/>
    <col min="10" max="10" width="11.5" style="1407" customWidth="1"/>
    <col min="11" max="12" width="10.625" style="1407" customWidth="1"/>
    <col min="13" max="14" width="14.375" style="1407" customWidth="1"/>
    <col min="15" max="15" width="6.25" style="1407" customWidth="1"/>
    <col min="16" max="16" width="30.375" style="1407" customWidth="1"/>
    <col min="17" max="17" width="7.875" style="1407" customWidth="1"/>
    <col min="18" max="257" width="9" style="1407"/>
    <col min="258" max="258" width="72.125" style="1407" customWidth="1"/>
    <col min="259" max="259" width="6.25" style="1407" customWidth="1"/>
    <col min="260" max="260" width="7.875" style="1407" customWidth="1"/>
    <col min="261" max="262" width="13.875" style="1407" customWidth="1"/>
    <col min="263" max="263" width="8.75" style="1407" customWidth="1"/>
    <col min="264" max="264" width="7.875" style="1407" customWidth="1"/>
    <col min="265" max="265" width="14.375" style="1407" customWidth="1"/>
    <col min="266" max="267" width="9" style="1407" customWidth="1"/>
    <col min="268" max="269" width="10.625" style="1407" customWidth="1"/>
    <col min="270" max="270" width="14.375" style="1407" customWidth="1"/>
    <col min="271" max="271" width="6.25" style="1407" customWidth="1"/>
    <col min="272" max="272" width="30.375" style="1407" customWidth="1"/>
    <col min="273" max="273" width="7.875" style="1407" customWidth="1"/>
    <col min="274" max="513" width="9" style="1407"/>
    <col min="514" max="514" width="72.125" style="1407" customWidth="1"/>
    <col min="515" max="515" width="6.25" style="1407" customWidth="1"/>
    <col min="516" max="516" width="7.875" style="1407" customWidth="1"/>
    <col min="517" max="518" width="13.875" style="1407" customWidth="1"/>
    <col min="519" max="519" width="8.75" style="1407" customWidth="1"/>
    <col min="520" max="520" width="7.875" style="1407" customWidth="1"/>
    <col min="521" max="521" width="14.375" style="1407" customWidth="1"/>
    <col min="522" max="523" width="9" style="1407" customWidth="1"/>
    <col min="524" max="525" width="10.625" style="1407" customWidth="1"/>
    <col min="526" max="526" width="14.375" style="1407" customWidth="1"/>
    <col min="527" max="527" width="6.25" style="1407" customWidth="1"/>
    <col min="528" max="528" width="30.375" style="1407" customWidth="1"/>
    <col min="529" max="529" width="7.875" style="1407" customWidth="1"/>
    <col min="530" max="769" width="9" style="1407"/>
    <col min="770" max="770" width="72.125" style="1407" customWidth="1"/>
    <col min="771" max="771" width="6.25" style="1407" customWidth="1"/>
    <col min="772" max="772" width="7.875" style="1407" customWidth="1"/>
    <col min="773" max="774" width="13.875" style="1407" customWidth="1"/>
    <col min="775" max="775" width="8.75" style="1407" customWidth="1"/>
    <col min="776" max="776" width="7.875" style="1407" customWidth="1"/>
    <col min="777" max="777" width="14.375" style="1407" customWidth="1"/>
    <col min="778" max="779" width="9" style="1407" customWidth="1"/>
    <col min="780" max="781" width="10.625" style="1407" customWidth="1"/>
    <col min="782" max="782" width="14.375" style="1407" customWidth="1"/>
    <col min="783" max="783" width="6.25" style="1407" customWidth="1"/>
    <col min="784" max="784" width="30.375" style="1407" customWidth="1"/>
    <col min="785" max="785" width="7.875" style="1407" customWidth="1"/>
    <col min="786" max="1025" width="9" style="1407"/>
    <col min="1026" max="1026" width="72.125" style="1407" customWidth="1"/>
    <col min="1027" max="1027" width="6.25" style="1407" customWidth="1"/>
    <col min="1028" max="1028" width="7.875" style="1407" customWidth="1"/>
    <col min="1029" max="1030" width="13.875" style="1407" customWidth="1"/>
    <col min="1031" max="1031" width="8.75" style="1407" customWidth="1"/>
    <col min="1032" max="1032" width="7.875" style="1407" customWidth="1"/>
    <col min="1033" max="1033" width="14.375" style="1407" customWidth="1"/>
    <col min="1034" max="1035" width="9" style="1407" customWidth="1"/>
    <col min="1036" max="1037" width="10.625" style="1407" customWidth="1"/>
    <col min="1038" max="1038" width="14.375" style="1407" customWidth="1"/>
    <col min="1039" max="1039" width="6.25" style="1407" customWidth="1"/>
    <col min="1040" max="1040" width="30.375" style="1407" customWidth="1"/>
    <col min="1041" max="1041" width="7.875" style="1407" customWidth="1"/>
    <col min="1042" max="1281" width="9" style="1407"/>
    <col min="1282" max="1282" width="72.125" style="1407" customWidth="1"/>
    <col min="1283" max="1283" width="6.25" style="1407" customWidth="1"/>
    <col min="1284" max="1284" width="7.875" style="1407" customWidth="1"/>
    <col min="1285" max="1286" width="13.875" style="1407" customWidth="1"/>
    <col min="1287" max="1287" width="8.75" style="1407" customWidth="1"/>
    <col min="1288" max="1288" width="7.875" style="1407" customWidth="1"/>
    <col min="1289" max="1289" width="14.375" style="1407" customWidth="1"/>
    <col min="1290" max="1291" width="9" style="1407" customWidth="1"/>
    <col min="1292" max="1293" width="10.625" style="1407" customWidth="1"/>
    <col min="1294" max="1294" width="14.375" style="1407" customWidth="1"/>
    <col min="1295" max="1295" width="6.25" style="1407" customWidth="1"/>
    <col min="1296" max="1296" width="30.375" style="1407" customWidth="1"/>
    <col min="1297" max="1297" width="7.875" style="1407" customWidth="1"/>
    <col min="1298" max="1537" width="9" style="1407"/>
    <col min="1538" max="1538" width="72.125" style="1407" customWidth="1"/>
    <col min="1539" max="1539" width="6.25" style="1407" customWidth="1"/>
    <col min="1540" max="1540" width="7.875" style="1407" customWidth="1"/>
    <col min="1541" max="1542" width="13.875" style="1407" customWidth="1"/>
    <col min="1543" max="1543" width="8.75" style="1407" customWidth="1"/>
    <col min="1544" max="1544" width="7.875" style="1407" customWidth="1"/>
    <col min="1545" max="1545" width="14.375" style="1407" customWidth="1"/>
    <col min="1546" max="1547" width="9" style="1407" customWidth="1"/>
    <col min="1548" max="1549" width="10.625" style="1407" customWidth="1"/>
    <col min="1550" max="1550" width="14.375" style="1407" customWidth="1"/>
    <col min="1551" max="1551" width="6.25" style="1407" customWidth="1"/>
    <col min="1552" max="1552" width="30.375" style="1407" customWidth="1"/>
    <col min="1553" max="1553" width="7.875" style="1407" customWidth="1"/>
    <col min="1554" max="1793" width="9" style="1407"/>
    <col min="1794" max="1794" width="72.125" style="1407" customWidth="1"/>
    <col min="1795" max="1795" width="6.25" style="1407" customWidth="1"/>
    <col min="1796" max="1796" width="7.875" style="1407" customWidth="1"/>
    <col min="1797" max="1798" width="13.875" style="1407" customWidth="1"/>
    <col min="1799" max="1799" width="8.75" style="1407" customWidth="1"/>
    <col min="1800" max="1800" width="7.875" style="1407" customWidth="1"/>
    <col min="1801" max="1801" width="14.375" style="1407" customWidth="1"/>
    <col min="1802" max="1803" width="9" style="1407" customWidth="1"/>
    <col min="1804" max="1805" width="10.625" style="1407" customWidth="1"/>
    <col min="1806" max="1806" width="14.375" style="1407" customWidth="1"/>
    <col min="1807" max="1807" width="6.25" style="1407" customWidth="1"/>
    <col min="1808" max="1808" width="30.375" style="1407" customWidth="1"/>
    <col min="1809" max="1809" width="7.875" style="1407" customWidth="1"/>
    <col min="1810" max="2049" width="9" style="1407"/>
    <col min="2050" max="2050" width="72.125" style="1407" customWidth="1"/>
    <col min="2051" max="2051" width="6.25" style="1407" customWidth="1"/>
    <col min="2052" max="2052" width="7.875" style="1407" customWidth="1"/>
    <col min="2053" max="2054" width="13.875" style="1407" customWidth="1"/>
    <col min="2055" max="2055" width="8.75" style="1407" customWidth="1"/>
    <col min="2056" max="2056" width="7.875" style="1407" customWidth="1"/>
    <col min="2057" max="2057" width="14.375" style="1407" customWidth="1"/>
    <col min="2058" max="2059" width="9" style="1407" customWidth="1"/>
    <col min="2060" max="2061" width="10.625" style="1407" customWidth="1"/>
    <col min="2062" max="2062" width="14.375" style="1407" customWidth="1"/>
    <col min="2063" max="2063" width="6.25" style="1407" customWidth="1"/>
    <col min="2064" max="2064" width="30.375" style="1407" customWidth="1"/>
    <col min="2065" max="2065" width="7.875" style="1407" customWidth="1"/>
    <col min="2066" max="2305" width="9" style="1407"/>
    <col min="2306" max="2306" width="72.125" style="1407" customWidth="1"/>
    <col min="2307" max="2307" width="6.25" style="1407" customWidth="1"/>
    <col min="2308" max="2308" width="7.875" style="1407" customWidth="1"/>
    <col min="2309" max="2310" width="13.875" style="1407" customWidth="1"/>
    <col min="2311" max="2311" width="8.75" style="1407" customWidth="1"/>
    <col min="2312" max="2312" width="7.875" style="1407" customWidth="1"/>
    <col min="2313" max="2313" width="14.375" style="1407" customWidth="1"/>
    <col min="2314" max="2315" width="9" style="1407" customWidth="1"/>
    <col min="2316" max="2317" width="10.625" style="1407" customWidth="1"/>
    <col min="2318" max="2318" width="14.375" style="1407" customWidth="1"/>
    <col min="2319" max="2319" width="6.25" style="1407" customWidth="1"/>
    <col min="2320" max="2320" width="30.375" style="1407" customWidth="1"/>
    <col min="2321" max="2321" width="7.875" style="1407" customWidth="1"/>
    <col min="2322" max="2561" width="9" style="1407"/>
    <col min="2562" max="2562" width="72.125" style="1407" customWidth="1"/>
    <col min="2563" max="2563" width="6.25" style="1407" customWidth="1"/>
    <col min="2564" max="2564" width="7.875" style="1407" customWidth="1"/>
    <col min="2565" max="2566" width="13.875" style="1407" customWidth="1"/>
    <col min="2567" max="2567" width="8.75" style="1407" customWidth="1"/>
    <col min="2568" max="2568" width="7.875" style="1407" customWidth="1"/>
    <col min="2569" max="2569" width="14.375" style="1407" customWidth="1"/>
    <col min="2570" max="2571" width="9" style="1407" customWidth="1"/>
    <col min="2572" max="2573" width="10.625" style="1407" customWidth="1"/>
    <col min="2574" max="2574" width="14.375" style="1407" customWidth="1"/>
    <col min="2575" max="2575" width="6.25" style="1407" customWidth="1"/>
    <col min="2576" max="2576" width="30.375" style="1407" customWidth="1"/>
    <col min="2577" max="2577" width="7.875" style="1407" customWidth="1"/>
    <col min="2578" max="2817" width="9" style="1407"/>
    <col min="2818" max="2818" width="72.125" style="1407" customWidth="1"/>
    <col min="2819" max="2819" width="6.25" style="1407" customWidth="1"/>
    <col min="2820" max="2820" width="7.875" style="1407" customWidth="1"/>
    <col min="2821" max="2822" width="13.875" style="1407" customWidth="1"/>
    <col min="2823" max="2823" width="8.75" style="1407" customWidth="1"/>
    <col min="2824" max="2824" width="7.875" style="1407" customWidth="1"/>
    <col min="2825" max="2825" width="14.375" style="1407" customWidth="1"/>
    <col min="2826" max="2827" width="9" style="1407" customWidth="1"/>
    <col min="2828" max="2829" width="10.625" style="1407" customWidth="1"/>
    <col min="2830" max="2830" width="14.375" style="1407" customWidth="1"/>
    <col min="2831" max="2831" width="6.25" style="1407" customWidth="1"/>
    <col min="2832" max="2832" width="30.375" style="1407" customWidth="1"/>
    <col min="2833" max="2833" width="7.875" style="1407" customWidth="1"/>
    <col min="2834" max="3073" width="9" style="1407"/>
    <col min="3074" max="3074" width="72.125" style="1407" customWidth="1"/>
    <col min="3075" max="3075" width="6.25" style="1407" customWidth="1"/>
    <col min="3076" max="3076" width="7.875" style="1407" customWidth="1"/>
    <col min="3077" max="3078" width="13.875" style="1407" customWidth="1"/>
    <col min="3079" max="3079" width="8.75" style="1407" customWidth="1"/>
    <col min="3080" max="3080" width="7.875" style="1407" customWidth="1"/>
    <col min="3081" max="3081" width="14.375" style="1407" customWidth="1"/>
    <col min="3082" max="3083" width="9" style="1407" customWidth="1"/>
    <col min="3084" max="3085" width="10.625" style="1407" customWidth="1"/>
    <col min="3086" max="3086" width="14.375" style="1407" customWidth="1"/>
    <col min="3087" max="3087" width="6.25" style="1407" customWidth="1"/>
    <col min="3088" max="3088" width="30.375" style="1407" customWidth="1"/>
    <col min="3089" max="3089" width="7.875" style="1407" customWidth="1"/>
    <col min="3090" max="3329" width="9" style="1407"/>
    <col min="3330" max="3330" width="72.125" style="1407" customWidth="1"/>
    <col min="3331" max="3331" width="6.25" style="1407" customWidth="1"/>
    <col min="3332" max="3332" width="7.875" style="1407" customWidth="1"/>
    <col min="3333" max="3334" width="13.875" style="1407" customWidth="1"/>
    <col min="3335" max="3335" width="8.75" style="1407" customWidth="1"/>
    <col min="3336" max="3336" width="7.875" style="1407" customWidth="1"/>
    <col min="3337" max="3337" width="14.375" style="1407" customWidth="1"/>
    <col min="3338" max="3339" width="9" style="1407" customWidth="1"/>
    <col min="3340" max="3341" width="10.625" style="1407" customWidth="1"/>
    <col min="3342" max="3342" width="14.375" style="1407" customWidth="1"/>
    <col min="3343" max="3343" width="6.25" style="1407" customWidth="1"/>
    <col min="3344" max="3344" width="30.375" style="1407" customWidth="1"/>
    <col min="3345" max="3345" width="7.875" style="1407" customWidth="1"/>
    <col min="3346" max="3585" width="9" style="1407"/>
    <col min="3586" max="3586" width="72.125" style="1407" customWidth="1"/>
    <col min="3587" max="3587" width="6.25" style="1407" customWidth="1"/>
    <col min="3588" max="3588" width="7.875" style="1407" customWidth="1"/>
    <col min="3589" max="3590" width="13.875" style="1407" customWidth="1"/>
    <col min="3591" max="3591" width="8.75" style="1407" customWidth="1"/>
    <col min="3592" max="3592" width="7.875" style="1407" customWidth="1"/>
    <col min="3593" max="3593" width="14.375" style="1407" customWidth="1"/>
    <col min="3594" max="3595" width="9" style="1407" customWidth="1"/>
    <col min="3596" max="3597" width="10.625" style="1407" customWidth="1"/>
    <col min="3598" max="3598" width="14.375" style="1407" customWidth="1"/>
    <col min="3599" max="3599" width="6.25" style="1407" customWidth="1"/>
    <col min="3600" max="3600" width="30.375" style="1407" customWidth="1"/>
    <col min="3601" max="3601" width="7.875" style="1407" customWidth="1"/>
    <col min="3602" max="3841" width="9" style="1407"/>
    <col min="3842" max="3842" width="72.125" style="1407" customWidth="1"/>
    <col min="3843" max="3843" width="6.25" style="1407" customWidth="1"/>
    <col min="3844" max="3844" width="7.875" style="1407" customWidth="1"/>
    <col min="3845" max="3846" width="13.875" style="1407" customWidth="1"/>
    <col min="3847" max="3847" width="8.75" style="1407" customWidth="1"/>
    <col min="3848" max="3848" width="7.875" style="1407" customWidth="1"/>
    <col min="3849" max="3849" width="14.375" style="1407" customWidth="1"/>
    <col min="3850" max="3851" width="9" style="1407" customWidth="1"/>
    <col min="3852" max="3853" width="10.625" style="1407" customWidth="1"/>
    <col min="3854" max="3854" width="14.375" style="1407" customWidth="1"/>
    <col min="3855" max="3855" width="6.25" style="1407" customWidth="1"/>
    <col min="3856" max="3856" width="30.375" style="1407" customWidth="1"/>
    <col min="3857" max="3857" width="7.875" style="1407" customWidth="1"/>
    <col min="3858" max="4097" width="9" style="1407"/>
    <col min="4098" max="4098" width="72.125" style="1407" customWidth="1"/>
    <col min="4099" max="4099" width="6.25" style="1407" customWidth="1"/>
    <col min="4100" max="4100" width="7.875" style="1407" customWidth="1"/>
    <col min="4101" max="4102" width="13.875" style="1407" customWidth="1"/>
    <col min="4103" max="4103" width="8.75" style="1407" customWidth="1"/>
    <col min="4104" max="4104" width="7.875" style="1407" customWidth="1"/>
    <col min="4105" max="4105" width="14.375" style="1407" customWidth="1"/>
    <col min="4106" max="4107" width="9" style="1407" customWidth="1"/>
    <col min="4108" max="4109" width="10.625" style="1407" customWidth="1"/>
    <col min="4110" max="4110" width="14.375" style="1407" customWidth="1"/>
    <col min="4111" max="4111" width="6.25" style="1407" customWidth="1"/>
    <col min="4112" max="4112" width="30.375" style="1407" customWidth="1"/>
    <col min="4113" max="4113" width="7.875" style="1407" customWidth="1"/>
    <col min="4114" max="4353" width="9" style="1407"/>
    <col min="4354" max="4354" width="72.125" style="1407" customWidth="1"/>
    <col min="4355" max="4355" width="6.25" style="1407" customWidth="1"/>
    <col min="4356" max="4356" width="7.875" style="1407" customWidth="1"/>
    <col min="4357" max="4358" width="13.875" style="1407" customWidth="1"/>
    <col min="4359" max="4359" width="8.75" style="1407" customWidth="1"/>
    <col min="4360" max="4360" width="7.875" style="1407" customWidth="1"/>
    <col min="4361" max="4361" width="14.375" style="1407" customWidth="1"/>
    <col min="4362" max="4363" width="9" style="1407" customWidth="1"/>
    <col min="4364" max="4365" width="10.625" style="1407" customWidth="1"/>
    <col min="4366" max="4366" width="14.375" style="1407" customWidth="1"/>
    <col min="4367" max="4367" width="6.25" style="1407" customWidth="1"/>
    <col min="4368" max="4368" width="30.375" style="1407" customWidth="1"/>
    <col min="4369" max="4369" width="7.875" style="1407" customWidth="1"/>
    <col min="4370" max="4609" width="9" style="1407"/>
    <col min="4610" max="4610" width="72.125" style="1407" customWidth="1"/>
    <col min="4611" max="4611" width="6.25" style="1407" customWidth="1"/>
    <col min="4612" max="4612" width="7.875" style="1407" customWidth="1"/>
    <col min="4613" max="4614" width="13.875" style="1407" customWidth="1"/>
    <col min="4615" max="4615" width="8.75" style="1407" customWidth="1"/>
    <col min="4616" max="4616" width="7.875" style="1407" customWidth="1"/>
    <col min="4617" max="4617" width="14.375" style="1407" customWidth="1"/>
    <col min="4618" max="4619" width="9" style="1407" customWidth="1"/>
    <col min="4620" max="4621" width="10.625" style="1407" customWidth="1"/>
    <col min="4622" max="4622" width="14.375" style="1407" customWidth="1"/>
    <col min="4623" max="4623" width="6.25" style="1407" customWidth="1"/>
    <col min="4624" max="4624" width="30.375" style="1407" customWidth="1"/>
    <col min="4625" max="4625" width="7.875" style="1407" customWidth="1"/>
    <col min="4626" max="4865" width="9" style="1407"/>
    <col min="4866" max="4866" width="72.125" style="1407" customWidth="1"/>
    <col min="4867" max="4867" width="6.25" style="1407" customWidth="1"/>
    <col min="4868" max="4868" width="7.875" style="1407" customWidth="1"/>
    <col min="4869" max="4870" width="13.875" style="1407" customWidth="1"/>
    <col min="4871" max="4871" width="8.75" style="1407" customWidth="1"/>
    <col min="4872" max="4872" width="7.875" style="1407" customWidth="1"/>
    <col min="4873" max="4873" width="14.375" style="1407" customWidth="1"/>
    <col min="4874" max="4875" width="9" style="1407" customWidth="1"/>
    <col min="4876" max="4877" width="10.625" style="1407" customWidth="1"/>
    <col min="4878" max="4878" width="14.375" style="1407" customWidth="1"/>
    <col min="4879" max="4879" width="6.25" style="1407" customWidth="1"/>
    <col min="4880" max="4880" width="30.375" style="1407" customWidth="1"/>
    <col min="4881" max="4881" width="7.875" style="1407" customWidth="1"/>
    <col min="4882" max="5121" width="9" style="1407"/>
    <col min="5122" max="5122" width="72.125" style="1407" customWidth="1"/>
    <col min="5123" max="5123" width="6.25" style="1407" customWidth="1"/>
    <col min="5124" max="5124" width="7.875" style="1407" customWidth="1"/>
    <col min="5125" max="5126" width="13.875" style="1407" customWidth="1"/>
    <col min="5127" max="5127" width="8.75" style="1407" customWidth="1"/>
    <col min="5128" max="5128" width="7.875" style="1407" customWidth="1"/>
    <col min="5129" max="5129" width="14.375" style="1407" customWidth="1"/>
    <col min="5130" max="5131" width="9" style="1407" customWidth="1"/>
    <col min="5132" max="5133" width="10.625" style="1407" customWidth="1"/>
    <col min="5134" max="5134" width="14.375" style="1407" customWidth="1"/>
    <col min="5135" max="5135" width="6.25" style="1407" customWidth="1"/>
    <col min="5136" max="5136" width="30.375" style="1407" customWidth="1"/>
    <col min="5137" max="5137" width="7.875" style="1407" customWidth="1"/>
    <col min="5138" max="5377" width="9" style="1407"/>
    <col min="5378" max="5378" width="72.125" style="1407" customWidth="1"/>
    <col min="5379" max="5379" width="6.25" style="1407" customWidth="1"/>
    <col min="5380" max="5380" width="7.875" style="1407" customWidth="1"/>
    <col min="5381" max="5382" width="13.875" style="1407" customWidth="1"/>
    <col min="5383" max="5383" width="8.75" style="1407" customWidth="1"/>
    <col min="5384" max="5384" width="7.875" style="1407" customWidth="1"/>
    <col min="5385" max="5385" width="14.375" style="1407" customWidth="1"/>
    <col min="5386" max="5387" width="9" style="1407" customWidth="1"/>
    <col min="5388" max="5389" width="10.625" style="1407" customWidth="1"/>
    <col min="5390" max="5390" width="14.375" style="1407" customWidth="1"/>
    <col min="5391" max="5391" width="6.25" style="1407" customWidth="1"/>
    <col min="5392" max="5392" width="30.375" style="1407" customWidth="1"/>
    <col min="5393" max="5393" width="7.875" style="1407" customWidth="1"/>
    <col min="5394" max="5633" width="9" style="1407"/>
    <col min="5634" max="5634" width="72.125" style="1407" customWidth="1"/>
    <col min="5635" max="5635" width="6.25" style="1407" customWidth="1"/>
    <col min="5636" max="5636" width="7.875" style="1407" customWidth="1"/>
    <col min="5637" max="5638" width="13.875" style="1407" customWidth="1"/>
    <col min="5639" max="5639" width="8.75" style="1407" customWidth="1"/>
    <col min="5640" max="5640" width="7.875" style="1407" customWidth="1"/>
    <col min="5641" max="5641" width="14.375" style="1407" customWidth="1"/>
    <col min="5642" max="5643" width="9" style="1407" customWidth="1"/>
    <col min="5644" max="5645" width="10.625" style="1407" customWidth="1"/>
    <col min="5646" max="5646" width="14.375" style="1407" customWidth="1"/>
    <col min="5647" max="5647" width="6.25" style="1407" customWidth="1"/>
    <col min="5648" max="5648" width="30.375" style="1407" customWidth="1"/>
    <col min="5649" max="5649" width="7.875" style="1407" customWidth="1"/>
    <col min="5650" max="5889" width="9" style="1407"/>
    <col min="5890" max="5890" width="72.125" style="1407" customWidth="1"/>
    <col min="5891" max="5891" width="6.25" style="1407" customWidth="1"/>
    <col min="5892" max="5892" width="7.875" style="1407" customWidth="1"/>
    <col min="5893" max="5894" width="13.875" style="1407" customWidth="1"/>
    <col min="5895" max="5895" width="8.75" style="1407" customWidth="1"/>
    <col min="5896" max="5896" width="7.875" style="1407" customWidth="1"/>
    <col min="5897" max="5897" width="14.375" style="1407" customWidth="1"/>
    <col min="5898" max="5899" width="9" style="1407" customWidth="1"/>
    <col min="5900" max="5901" width="10.625" style="1407" customWidth="1"/>
    <col min="5902" max="5902" width="14.375" style="1407" customWidth="1"/>
    <col min="5903" max="5903" width="6.25" style="1407" customWidth="1"/>
    <col min="5904" max="5904" width="30.375" style="1407" customWidth="1"/>
    <col min="5905" max="5905" width="7.875" style="1407" customWidth="1"/>
    <col min="5906" max="6145" width="9" style="1407"/>
    <col min="6146" max="6146" width="72.125" style="1407" customWidth="1"/>
    <col min="6147" max="6147" width="6.25" style="1407" customWidth="1"/>
    <col min="6148" max="6148" width="7.875" style="1407" customWidth="1"/>
    <col min="6149" max="6150" width="13.875" style="1407" customWidth="1"/>
    <col min="6151" max="6151" width="8.75" style="1407" customWidth="1"/>
    <col min="6152" max="6152" width="7.875" style="1407" customWidth="1"/>
    <col min="6153" max="6153" width="14.375" style="1407" customWidth="1"/>
    <col min="6154" max="6155" width="9" style="1407" customWidth="1"/>
    <col min="6156" max="6157" width="10.625" style="1407" customWidth="1"/>
    <col min="6158" max="6158" width="14.375" style="1407" customWidth="1"/>
    <col min="6159" max="6159" width="6.25" style="1407" customWidth="1"/>
    <col min="6160" max="6160" width="30.375" style="1407" customWidth="1"/>
    <col min="6161" max="6161" width="7.875" style="1407" customWidth="1"/>
    <col min="6162" max="6401" width="9" style="1407"/>
    <col min="6402" max="6402" width="72.125" style="1407" customWidth="1"/>
    <col min="6403" max="6403" width="6.25" style="1407" customWidth="1"/>
    <col min="6404" max="6404" width="7.875" style="1407" customWidth="1"/>
    <col min="6405" max="6406" width="13.875" style="1407" customWidth="1"/>
    <col min="6407" max="6407" width="8.75" style="1407" customWidth="1"/>
    <col min="6408" max="6408" width="7.875" style="1407" customWidth="1"/>
    <col min="6409" max="6409" width="14.375" style="1407" customWidth="1"/>
    <col min="6410" max="6411" width="9" style="1407" customWidth="1"/>
    <col min="6412" max="6413" width="10.625" style="1407" customWidth="1"/>
    <col min="6414" max="6414" width="14.375" style="1407" customWidth="1"/>
    <col min="6415" max="6415" width="6.25" style="1407" customWidth="1"/>
    <col min="6416" max="6416" width="30.375" style="1407" customWidth="1"/>
    <col min="6417" max="6417" width="7.875" style="1407" customWidth="1"/>
    <col min="6418" max="6657" width="9" style="1407"/>
    <col min="6658" max="6658" width="72.125" style="1407" customWidth="1"/>
    <col min="6659" max="6659" width="6.25" style="1407" customWidth="1"/>
    <col min="6660" max="6660" width="7.875" style="1407" customWidth="1"/>
    <col min="6661" max="6662" width="13.875" style="1407" customWidth="1"/>
    <col min="6663" max="6663" width="8.75" style="1407" customWidth="1"/>
    <col min="6664" max="6664" width="7.875" style="1407" customWidth="1"/>
    <col min="6665" max="6665" width="14.375" style="1407" customWidth="1"/>
    <col min="6666" max="6667" width="9" style="1407" customWidth="1"/>
    <col min="6668" max="6669" width="10.625" style="1407" customWidth="1"/>
    <col min="6670" max="6670" width="14.375" style="1407" customWidth="1"/>
    <col min="6671" max="6671" width="6.25" style="1407" customWidth="1"/>
    <col min="6672" max="6672" width="30.375" style="1407" customWidth="1"/>
    <col min="6673" max="6673" width="7.875" style="1407" customWidth="1"/>
    <col min="6674" max="6913" width="9" style="1407"/>
    <col min="6914" max="6914" width="72.125" style="1407" customWidth="1"/>
    <col min="6915" max="6915" width="6.25" style="1407" customWidth="1"/>
    <col min="6916" max="6916" width="7.875" style="1407" customWidth="1"/>
    <col min="6917" max="6918" width="13.875" style="1407" customWidth="1"/>
    <col min="6919" max="6919" width="8.75" style="1407" customWidth="1"/>
    <col min="6920" max="6920" width="7.875" style="1407" customWidth="1"/>
    <col min="6921" max="6921" width="14.375" style="1407" customWidth="1"/>
    <col min="6922" max="6923" width="9" style="1407" customWidth="1"/>
    <col min="6924" max="6925" width="10.625" style="1407" customWidth="1"/>
    <col min="6926" max="6926" width="14.375" style="1407" customWidth="1"/>
    <col min="6927" max="6927" width="6.25" style="1407" customWidth="1"/>
    <col min="6928" max="6928" width="30.375" style="1407" customWidth="1"/>
    <col min="6929" max="6929" width="7.875" style="1407" customWidth="1"/>
    <col min="6930" max="7169" width="9" style="1407"/>
    <col min="7170" max="7170" width="72.125" style="1407" customWidth="1"/>
    <col min="7171" max="7171" width="6.25" style="1407" customWidth="1"/>
    <col min="7172" max="7172" width="7.875" style="1407" customWidth="1"/>
    <col min="7173" max="7174" width="13.875" style="1407" customWidth="1"/>
    <col min="7175" max="7175" width="8.75" style="1407" customWidth="1"/>
    <col min="7176" max="7176" width="7.875" style="1407" customWidth="1"/>
    <col min="7177" max="7177" width="14.375" style="1407" customWidth="1"/>
    <col min="7178" max="7179" width="9" style="1407" customWidth="1"/>
    <col min="7180" max="7181" width="10.625" style="1407" customWidth="1"/>
    <col min="7182" max="7182" width="14.375" style="1407" customWidth="1"/>
    <col min="7183" max="7183" width="6.25" style="1407" customWidth="1"/>
    <col min="7184" max="7184" width="30.375" style="1407" customWidth="1"/>
    <col min="7185" max="7185" width="7.875" style="1407" customWidth="1"/>
    <col min="7186" max="7425" width="9" style="1407"/>
    <col min="7426" max="7426" width="72.125" style="1407" customWidth="1"/>
    <col min="7427" max="7427" width="6.25" style="1407" customWidth="1"/>
    <col min="7428" max="7428" width="7.875" style="1407" customWidth="1"/>
    <col min="7429" max="7430" width="13.875" style="1407" customWidth="1"/>
    <col min="7431" max="7431" width="8.75" style="1407" customWidth="1"/>
    <col min="7432" max="7432" width="7.875" style="1407" customWidth="1"/>
    <col min="7433" max="7433" width="14.375" style="1407" customWidth="1"/>
    <col min="7434" max="7435" width="9" style="1407" customWidth="1"/>
    <col min="7436" max="7437" width="10.625" style="1407" customWidth="1"/>
    <col min="7438" max="7438" width="14.375" style="1407" customWidth="1"/>
    <col min="7439" max="7439" width="6.25" style="1407" customWidth="1"/>
    <col min="7440" max="7440" width="30.375" style="1407" customWidth="1"/>
    <col min="7441" max="7441" width="7.875" style="1407" customWidth="1"/>
    <col min="7442" max="7681" width="9" style="1407"/>
    <col min="7682" max="7682" width="72.125" style="1407" customWidth="1"/>
    <col min="7683" max="7683" width="6.25" style="1407" customWidth="1"/>
    <col min="7684" max="7684" width="7.875" style="1407" customWidth="1"/>
    <col min="7685" max="7686" width="13.875" style="1407" customWidth="1"/>
    <col min="7687" max="7687" width="8.75" style="1407" customWidth="1"/>
    <col min="7688" max="7688" width="7.875" style="1407" customWidth="1"/>
    <col min="7689" max="7689" width="14.375" style="1407" customWidth="1"/>
    <col min="7690" max="7691" width="9" style="1407" customWidth="1"/>
    <col min="7692" max="7693" width="10.625" style="1407" customWidth="1"/>
    <col min="7694" max="7694" width="14.375" style="1407" customWidth="1"/>
    <col min="7695" max="7695" width="6.25" style="1407" customWidth="1"/>
    <col min="7696" max="7696" width="30.375" style="1407" customWidth="1"/>
    <col min="7697" max="7697" width="7.875" style="1407" customWidth="1"/>
    <col min="7698" max="7937" width="9" style="1407"/>
    <col min="7938" max="7938" width="72.125" style="1407" customWidth="1"/>
    <col min="7939" max="7939" width="6.25" style="1407" customWidth="1"/>
    <col min="7940" max="7940" width="7.875" style="1407" customWidth="1"/>
    <col min="7941" max="7942" width="13.875" style="1407" customWidth="1"/>
    <col min="7943" max="7943" width="8.75" style="1407" customWidth="1"/>
    <col min="7944" max="7944" width="7.875" style="1407" customWidth="1"/>
    <col min="7945" max="7945" width="14.375" style="1407" customWidth="1"/>
    <col min="7946" max="7947" width="9" style="1407" customWidth="1"/>
    <col min="7948" max="7949" width="10.625" style="1407" customWidth="1"/>
    <col min="7950" max="7950" width="14.375" style="1407" customWidth="1"/>
    <col min="7951" max="7951" width="6.25" style="1407" customWidth="1"/>
    <col min="7952" max="7952" width="30.375" style="1407" customWidth="1"/>
    <col min="7953" max="7953" width="7.875" style="1407" customWidth="1"/>
    <col min="7954" max="8193" width="9" style="1407"/>
    <col min="8194" max="8194" width="72.125" style="1407" customWidth="1"/>
    <col min="8195" max="8195" width="6.25" style="1407" customWidth="1"/>
    <col min="8196" max="8196" width="7.875" style="1407" customWidth="1"/>
    <col min="8197" max="8198" width="13.875" style="1407" customWidth="1"/>
    <col min="8199" max="8199" width="8.75" style="1407" customWidth="1"/>
    <col min="8200" max="8200" width="7.875" style="1407" customWidth="1"/>
    <col min="8201" max="8201" width="14.375" style="1407" customWidth="1"/>
    <col min="8202" max="8203" width="9" style="1407" customWidth="1"/>
    <col min="8204" max="8205" width="10.625" style="1407" customWidth="1"/>
    <col min="8206" max="8206" width="14.375" style="1407" customWidth="1"/>
    <col min="8207" max="8207" width="6.25" style="1407" customWidth="1"/>
    <col min="8208" max="8208" width="30.375" style="1407" customWidth="1"/>
    <col min="8209" max="8209" width="7.875" style="1407" customWidth="1"/>
    <col min="8210" max="8449" width="9" style="1407"/>
    <col min="8450" max="8450" width="72.125" style="1407" customWidth="1"/>
    <col min="8451" max="8451" width="6.25" style="1407" customWidth="1"/>
    <col min="8452" max="8452" width="7.875" style="1407" customWidth="1"/>
    <col min="8453" max="8454" width="13.875" style="1407" customWidth="1"/>
    <col min="8455" max="8455" width="8.75" style="1407" customWidth="1"/>
    <col min="8456" max="8456" width="7.875" style="1407" customWidth="1"/>
    <col min="8457" max="8457" width="14.375" style="1407" customWidth="1"/>
    <col min="8458" max="8459" width="9" style="1407" customWidth="1"/>
    <col min="8460" max="8461" width="10.625" style="1407" customWidth="1"/>
    <col min="8462" max="8462" width="14.375" style="1407" customWidth="1"/>
    <col min="8463" max="8463" width="6.25" style="1407" customWidth="1"/>
    <col min="8464" max="8464" width="30.375" style="1407" customWidth="1"/>
    <col min="8465" max="8465" width="7.875" style="1407" customWidth="1"/>
    <col min="8466" max="8705" width="9" style="1407"/>
    <col min="8706" max="8706" width="72.125" style="1407" customWidth="1"/>
    <col min="8707" max="8707" width="6.25" style="1407" customWidth="1"/>
    <col min="8708" max="8708" width="7.875" style="1407" customWidth="1"/>
    <col min="8709" max="8710" width="13.875" style="1407" customWidth="1"/>
    <col min="8711" max="8711" width="8.75" style="1407" customWidth="1"/>
    <col min="8712" max="8712" width="7.875" style="1407" customWidth="1"/>
    <col min="8713" max="8713" width="14.375" style="1407" customWidth="1"/>
    <col min="8714" max="8715" width="9" style="1407" customWidth="1"/>
    <col min="8716" max="8717" width="10.625" style="1407" customWidth="1"/>
    <col min="8718" max="8718" width="14.375" style="1407" customWidth="1"/>
    <col min="8719" max="8719" width="6.25" style="1407" customWidth="1"/>
    <col min="8720" max="8720" width="30.375" style="1407" customWidth="1"/>
    <col min="8721" max="8721" width="7.875" style="1407" customWidth="1"/>
    <col min="8722" max="8961" width="9" style="1407"/>
    <col min="8962" max="8962" width="72.125" style="1407" customWidth="1"/>
    <col min="8963" max="8963" width="6.25" style="1407" customWidth="1"/>
    <col min="8964" max="8964" width="7.875" style="1407" customWidth="1"/>
    <col min="8965" max="8966" width="13.875" style="1407" customWidth="1"/>
    <col min="8967" max="8967" width="8.75" style="1407" customWidth="1"/>
    <col min="8968" max="8968" width="7.875" style="1407" customWidth="1"/>
    <col min="8969" max="8969" width="14.375" style="1407" customWidth="1"/>
    <col min="8970" max="8971" width="9" style="1407" customWidth="1"/>
    <col min="8972" max="8973" width="10.625" style="1407" customWidth="1"/>
    <col min="8974" max="8974" width="14.375" style="1407" customWidth="1"/>
    <col min="8975" max="8975" width="6.25" style="1407" customWidth="1"/>
    <col min="8976" max="8976" width="30.375" style="1407" customWidth="1"/>
    <col min="8977" max="8977" width="7.875" style="1407" customWidth="1"/>
    <col min="8978" max="9217" width="9" style="1407"/>
    <col min="9218" max="9218" width="72.125" style="1407" customWidth="1"/>
    <col min="9219" max="9219" width="6.25" style="1407" customWidth="1"/>
    <col min="9220" max="9220" width="7.875" style="1407" customWidth="1"/>
    <col min="9221" max="9222" width="13.875" style="1407" customWidth="1"/>
    <col min="9223" max="9223" width="8.75" style="1407" customWidth="1"/>
    <col min="9224" max="9224" width="7.875" style="1407" customWidth="1"/>
    <col min="9225" max="9225" width="14.375" style="1407" customWidth="1"/>
    <col min="9226" max="9227" width="9" style="1407" customWidth="1"/>
    <col min="9228" max="9229" width="10.625" style="1407" customWidth="1"/>
    <col min="9230" max="9230" width="14.375" style="1407" customWidth="1"/>
    <col min="9231" max="9231" width="6.25" style="1407" customWidth="1"/>
    <col min="9232" max="9232" width="30.375" style="1407" customWidth="1"/>
    <col min="9233" max="9233" width="7.875" style="1407" customWidth="1"/>
    <col min="9234" max="9473" width="9" style="1407"/>
    <col min="9474" max="9474" width="72.125" style="1407" customWidth="1"/>
    <col min="9475" max="9475" width="6.25" style="1407" customWidth="1"/>
    <col min="9476" max="9476" width="7.875" style="1407" customWidth="1"/>
    <col min="9477" max="9478" width="13.875" style="1407" customWidth="1"/>
    <col min="9479" max="9479" width="8.75" style="1407" customWidth="1"/>
    <col min="9480" max="9480" width="7.875" style="1407" customWidth="1"/>
    <col min="9481" max="9481" width="14.375" style="1407" customWidth="1"/>
    <col min="9482" max="9483" width="9" style="1407" customWidth="1"/>
    <col min="9484" max="9485" width="10.625" style="1407" customWidth="1"/>
    <col min="9486" max="9486" width="14.375" style="1407" customWidth="1"/>
    <col min="9487" max="9487" width="6.25" style="1407" customWidth="1"/>
    <col min="9488" max="9488" width="30.375" style="1407" customWidth="1"/>
    <col min="9489" max="9489" width="7.875" style="1407" customWidth="1"/>
    <col min="9490" max="9729" width="9" style="1407"/>
    <col min="9730" max="9730" width="72.125" style="1407" customWidth="1"/>
    <col min="9731" max="9731" width="6.25" style="1407" customWidth="1"/>
    <col min="9732" max="9732" width="7.875" style="1407" customWidth="1"/>
    <col min="9733" max="9734" width="13.875" style="1407" customWidth="1"/>
    <col min="9735" max="9735" width="8.75" style="1407" customWidth="1"/>
    <col min="9736" max="9736" width="7.875" style="1407" customWidth="1"/>
    <col min="9737" max="9737" width="14.375" style="1407" customWidth="1"/>
    <col min="9738" max="9739" width="9" style="1407" customWidth="1"/>
    <col min="9740" max="9741" width="10.625" style="1407" customWidth="1"/>
    <col min="9742" max="9742" width="14.375" style="1407" customWidth="1"/>
    <col min="9743" max="9743" width="6.25" style="1407" customWidth="1"/>
    <col min="9744" max="9744" width="30.375" style="1407" customWidth="1"/>
    <col min="9745" max="9745" width="7.875" style="1407" customWidth="1"/>
    <col min="9746" max="9985" width="9" style="1407"/>
    <col min="9986" max="9986" width="72.125" style="1407" customWidth="1"/>
    <col min="9987" max="9987" width="6.25" style="1407" customWidth="1"/>
    <col min="9988" max="9988" width="7.875" style="1407" customWidth="1"/>
    <col min="9989" max="9990" width="13.875" style="1407" customWidth="1"/>
    <col min="9991" max="9991" width="8.75" style="1407" customWidth="1"/>
    <col min="9992" max="9992" width="7.875" style="1407" customWidth="1"/>
    <col min="9993" max="9993" width="14.375" style="1407" customWidth="1"/>
    <col min="9994" max="9995" width="9" style="1407" customWidth="1"/>
    <col min="9996" max="9997" width="10.625" style="1407" customWidth="1"/>
    <col min="9998" max="9998" width="14.375" style="1407" customWidth="1"/>
    <col min="9999" max="9999" width="6.25" style="1407" customWidth="1"/>
    <col min="10000" max="10000" width="30.375" style="1407" customWidth="1"/>
    <col min="10001" max="10001" width="7.875" style="1407" customWidth="1"/>
    <col min="10002" max="10241" width="9" style="1407"/>
    <col min="10242" max="10242" width="72.125" style="1407" customWidth="1"/>
    <col min="10243" max="10243" width="6.25" style="1407" customWidth="1"/>
    <col min="10244" max="10244" width="7.875" style="1407" customWidth="1"/>
    <col min="10245" max="10246" width="13.875" style="1407" customWidth="1"/>
    <col min="10247" max="10247" width="8.75" style="1407" customWidth="1"/>
    <col min="10248" max="10248" width="7.875" style="1407" customWidth="1"/>
    <col min="10249" max="10249" width="14.375" style="1407" customWidth="1"/>
    <col min="10250" max="10251" width="9" style="1407" customWidth="1"/>
    <col min="10252" max="10253" width="10.625" style="1407" customWidth="1"/>
    <col min="10254" max="10254" width="14.375" style="1407" customWidth="1"/>
    <col min="10255" max="10255" width="6.25" style="1407" customWidth="1"/>
    <col min="10256" max="10256" width="30.375" style="1407" customWidth="1"/>
    <col min="10257" max="10257" width="7.875" style="1407" customWidth="1"/>
    <col min="10258" max="10497" width="9" style="1407"/>
    <col min="10498" max="10498" width="72.125" style="1407" customWidth="1"/>
    <col min="10499" max="10499" width="6.25" style="1407" customWidth="1"/>
    <col min="10500" max="10500" width="7.875" style="1407" customWidth="1"/>
    <col min="10501" max="10502" width="13.875" style="1407" customWidth="1"/>
    <col min="10503" max="10503" width="8.75" style="1407" customWidth="1"/>
    <col min="10504" max="10504" width="7.875" style="1407" customWidth="1"/>
    <col min="10505" max="10505" width="14.375" style="1407" customWidth="1"/>
    <col min="10506" max="10507" width="9" style="1407" customWidth="1"/>
    <col min="10508" max="10509" width="10.625" style="1407" customWidth="1"/>
    <col min="10510" max="10510" width="14.375" style="1407" customWidth="1"/>
    <col min="10511" max="10511" width="6.25" style="1407" customWidth="1"/>
    <col min="10512" max="10512" width="30.375" style="1407" customWidth="1"/>
    <col min="10513" max="10513" width="7.875" style="1407" customWidth="1"/>
    <col min="10514" max="10753" width="9" style="1407"/>
    <col min="10754" max="10754" width="72.125" style="1407" customWidth="1"/>
    <col min="10755" max="10755" width="6.25" style="1407" customWidth="1"/>
    <col min="10756" max="10756" width="7.875" style="1407" customWidth="1"/>
    <col min="10757" max="10758" width="13.875" style="1407" customWidth="1"/>
    <col min="10759" max="10759" width="8.75" style="1407" customWidth="1"/>
    <col min="10760" max="10760" width="7.875" style="1407" customWidth="1"/>
    <col min="10761" max="10761" width="14.375" style="1407" customWidth="1"/>
    <col min="10762" max="10763" width="9" style="1407" customWidth="1"/>
    <col min="10764" max="10765" width="10.625" style="1407" customWidth="1"/>
    <col min="10766" max="10766" width="14.375" style="1407" customWidth="1"/>
    <col min="10767" max="10767" width="6.25" style="1407" customWidth="1"/>
    <col min="10768" max="10768" width="30.375" style="1407" customWidth="1"/>
    <col min="10769" max="10769" width="7.875" style="1407" customWidth="1"/>
    <col min="10770" max="11009" width="9" style="1407"/>
    <col min="11010" max="11010" width="72.125" style="1407" customWidth="1"/>
    <col min="11011" max="11011" width="6.25" style="1407" customWidth="1"/>
    <col min="11012" max="11012" width="7.875" style="1407" customWidth="1"/>
    <col min="11013" max="11014" width="13.875" style="1407" customWidth="1"/>
    <col min="11015" max="11015" width="8.75" style="1407" customWidth="1"/>
    <col min="11016" max="11016" width="7.875" style="1407" customWidth="1"/>
    <col min="11017" max="11017" width="14.375" style="1407" customWidth="1"/>
    <col min="11018" max="11019" width="9" style="1407" customWidth="1"/>
    <col min="11020" max="11021" width="10.625" style="1407" customWidth="1"/>
    <col min="11022" max="11022" width="14.375" style="1407" customWidth="1"/>
    <col min="11023" max="11023" width="6.25" style="1407" customWidth="1"/>
    <col min="11024" max="11024" width="30.375" style="1407" customWidth="1"/>
    <col min="11025" max="11025" width="7.875" style="1407" customWidth="1"/>
    <col min="11026" max="11265" width="9" style="1407"/>
    <col min="11266" max="11266" width="72.125" style="1407" customWidth="1"/>
    <col min="11267" max="11267" width="6.25" style="1407" customWidth="1"/>
    <col min="11268" max="11268" width="7.875" style="1407" customWidth="1"/>
    <col min="11269" max="11270" width="13.875" style="1407" customWidth="1"/>
    <col min="11271" max="11271" width="8.75" style="1407" customWidth="1"/>
    <col min="11272" max="11272" width="7.875" style="1407" customWidth="1"/>
    <col min="11273" max="11273" width="14.375" style="1407" customWidth="1"/>
    <col min="11274" max="11275" width="9" style="1407" customWidth="1"/>
    <col min="11276" max="11277" width="10.625" style="1407" customWidth="1"/>
    <col min="11278" max="11278" width="14.375" style="1407" customWidth="1"/>
    <col min="11279" max="11279" width="6.25" style="1407" customWidth="1"/>
    <col min="11280" max="11280" width="30.375" style="1407" customWidth="1"/>
    <col min="11281" max="11281" width="7.875" style="1407" customWidth="1"/>
    <col min="11282" max="11521" width="9" style="1407"/>
    <col min="11522" max="11522" width="72.125" style="1407" customWidth="1"/>
    <col min="11523" max="11523" width="6.25" style="1407" customWidth="1"/>
    <col min="11524" max="11524" width="7.875" style="1407" customWidth="1"/>
    <col min="11525" max="11526" width="13.875" style="1407" customWidth="1"/>
    <col min="11527" max="11527" width="8.75" style="1407" customWidth="1"/>
    <col min="11528" max="11528" width="7.875" style="1407" customWidth="1"/>
    <col min="11529" max="11529" width="14.375" style="1407" customWidth="1"/>
    <col min="11530" max="11531" width="9" style="1407" customWidth="1"/>
    <col min="11532" max="11533" width="10.625" style="1407" customWidth="1"/>
    <col min="11534" max="11534" width="14.375" style="1407" customWidth="1"/>
    <col min="11535" max="11535" width="6.25" style="1407" customWidth="1"/>
    <col min="11536" max="11536" width="30.375" style="1407" customWidth="1"/>
    <col min="11537" max="11537" width="7.875" style="1407" customWidth="1"/>
    <col min="11538" max="11777" width="9" style="1407"/>
    <col min="11778" max="11778" width="72.125" style="1407" customWidth="1"/>
    <col min="11779" max="11779" width="6.25" style="1407" customWidth="1"/>
    <col min="11780" max="11780" width="7.875" style="1407" customWidth="1"/>
    <col min="11781" max="11782" width="13.875" style="1407" customWidth="1"/>
    <col min="11783" max="11783" width="8.75" style="1407" customWidth="1"/>
    <col min="11784" max="11784" width="7.875" style="1407" customWidth="1"/>
    <col min="11785" max="11785" width="14.375" style="1407" customWidth="1"/>
    <col min="11786" max="11787" width="9" style="1407" customWidth="1"/>
    <col min="11788" max="11789" width="10.625" style="1407" customWidth="1"/>
    <col min="11790" max="11790" width="14.375" style="1407" customWidth="1"/>
    <col min="11791" max="11791" width="6.25" style="1407" customWidth="1"/>
    <col min="11792" max="11792" width="30.375" style="1407" customWidth="1"/>
    <col min="11793" max="11793" width="7.875" style="1407" customWidth="1"/>
    <col min="11794" max="12033" width="9" style="1407"/>
    <col min="12034" max="12034" width="72.125" style="1407" customWidth="1"/>
    <col min="12035" max="12035" width="6.25" style="1407" customWidth="1"/>
    <col min="12036" max="12036" width="7.875" style="1407" customWidth="1"/>
    <col min="12037" max="12038" width="13.875" style="1407" customWidth="1"/>
    <col min="12039" max="12039" width="8.75" style="1407" customWidth="1"/>
    <col min="12040" max="12040" width="7.875" style="1407" customWidth="1"/>
    <col min="12041" max="12041" width="14.375" style="1407" customWidth="1"/>
    <col min="12042" max="12043" width="9" style="1407" customWidth="1"/>
    <col min="12044" max="12045" width="10.625" style="1407" customWidth="1"/>
    <col min="12046" max="12046" width="14.375" style="1407" customWidth="1"/>
    <col min="12047" max="12047" width="6.25" style="1407" customWidth="1"/>
    <col min="12048" max="12048" width="30.375" style="1407" customWidth="1"/>
    <col min="12049" max="12049" width="7.875" style="1407" customWidth="1"/>
    <col min="12050" max="12289" width="9" style="1407"/>
    <col min="12290" max="12290" width="72.125" style="1407" customWidth="1"/>
    <col min="12291" max="12291" width="6.25" style="1407" customWidth="1"/>
    <col min="12292" max="12292" width="7.875" style="1407" customWidth="1"/>
    <col min="12293" max="12294" width="13.875" style="1407" customWidth="1"/>
    <col min="12295" max="12295" width="8.75" style="1407" customWidth="1"/>
    <col min="12296" max="12296" width="7.875" style="1407" customWidth="1"/>
    <col min="12297" max="12297" width="14.375" style="1407" customWidth="1"/>
    <col min="12298" max="12299" width="9" style="1407" customWidth="1"/>
    <col min="12300" max="12301" width="10.625" style="1407" customWidth="1"/>
    <col min="12302" max="12302" width="14.375" style="1407" customWidth="1"/>
    <col min="12303" max="12303" width="6.25" style="1407" customWidth="1"/>
    <col min="12304" max="12304" width="30.375" style="1407" customWidth="1"/>
    <col min="12305" max="12305" width="7.875" style="1407" customWidth="1"/>
    <col min="12306" max="12545" width="9" style="1407"/>
    <col min="12546" max="12546" width="72.125" style="1407" customWidth="1"/>
    <col min="12547" max="12547" width="6.25" style="1407" customWidth="1"/>
    <col min="12548" max="12548" width="7.875" style="1407" customWidth="1"/>
    <col min="12549" max="12550" width="13.875" style="1407" customWidth="1"/>
    <col min="12551" max="12551" width="8.75" style="1407" customWidth="1"/>
    <col min="12552" max="12552" width="7.875" style="1407" customWidth="1"/>
    <col min="12553" max="12553" width="14.375" style="1407" customWidth="1"/>
    <col min="12554" max="12555" width="9" style="1407" customWidth="1"/>
    <col min="12556" max="12557" width="10.625" style="1407" customWidth="1"/>
    <col min="12558" max="12558" width="14.375" style="1407" customWidth="1"/>
    <col min="12559" max="12559" width="6.25" style="1407" customWidth="1"/>
    <col min="12560" max="12560" width="30.375" style="1407" customWidth="1"/>
    <col min="12561" max="12561" width="7.875" style="1407" customWidth="1"/>
    <col min="12562" max="12801" width="9" style="1407"/>
    <col min="12802" max="12802" width="72.125" style="1407" customWidth="1"/>
    <col min="12803" max="12803" width="6.25" style="1407" customWidth="1"/>
    <col min="12804" max="12804" width="7.875" style="1407" customWidth="1"/>
    <col min="12805" max="12806" width="13.875" style="1407" customWidth="1"/>
    <col min="12807" max="12807" width="8.75" style="1407" customWidth="1"/>
    <col min="12808" max="12808" width="7.875" style="1407" customWidth="1"/>
    <col min="12809" max="12809" width="14.375" style="1407" customWidth="1"/>
    <col min="12810" max="12811" width="9" style="1407" customWidth="1"/>
    <col min="12812" max="12813" width="10.625" style="1407" customWidth="1"/>
    <col min="12814" max="12814" width="14.375" style="1407" customWidth="1"/>
    <col min="12815" max="12815" width="6.25" style="1407" customWidth="1"/>
    <col min="12816" max="12816" width="30.375" style="1407" customWidth="1"/>
    <col min="12817" max="12817" width="7.875" style="1407" customWidth="1"/>
    <col min="12818" max="13057" width="9" style="1407"/>
    <col min="13058" max="13058" width="72.125" style="1407" customWidth="1"/>
    <col min="13059" max="13059" width="6.25" style="1407" customWidth="1"/>
    <col min="13060" max="13060" width="7.875" style="1407" customWidth="1"/>
    <col min="13061" max="13062" width="13.875" style="1407" customWidth="1"/>
    <col min="13063" max="13063" width="8.75" style="1407" customWidth="1"/>
    <col min="13064" max="13064" width="7.875" style="1407" customWidth="1"/>
    <col min="13065" max="13065" width="14.375" style="1407" customWidth="1"/>
    <col min="13066" max="13067" width="9" style="1407" customWidth="1"/>
    <col min="13068" max="13069" width="10.625" style="1407" customWidth="1"/>
    <col min="13070" max="13070" width="14.375" style="1407" customWidth="1"/>
    <col min="13071" max="13071" width="6.25" style="1407" customWidth="1"/>
    <col min="13072" max="13072" width="30.375" style="1407" customWidth="1"/>
    <col min="13073" max="13073" width="7.875" style="1407" customWidth="1"/>
    <col min="13074" max="13313" width="9" style="1407"/>
    <col min="13314" max="13314" width="72.125" style="1407" customWidth="1"/>
    <col min="13315" max="13315" width="6.25" style="1407" customWidth="1"/>
    <col min="13316" max="13316" width="7.875" style="1407" customWidth="1"/>
    <col min="13317" max="13318" width="13.875" style="1407" customWidth="1"/>
    <col min="13319" max="13319" width="8.75" style="1407" customWidth="1"/>
    <col min="13320" max="13320" width="7.875" style="1407" customWidth="1"/>
    <col min="13321" max="13321" width="14.375" style="1407" customWidth="1"/>
    <col min="13322" max="13323" width="9" style="1407" customWidth="1"/>
    <col min="13324" max="13325" width="10.625" style="1407" customWidth="1"/>
    <col min="13326" max="13326" width="14.375" style="1407" customWidth="1"/>
    <col min="13327" max="13327" width="6.25" style="1407" customWidth="1"/>
    <col min="13328" max="13328" width="30.375" style="1407" customWidth="1"/>
    <col min="13329" max="13329" width="7.875" style="1407" customWidth="1"/>
    <col min="13330" max="13569" width="9" style="1407"/>
    <col min="13570" max="13570" width="72.125" style="1407" customWidth="1"/>
    <col min="13571" max="13571" width="6.25" style="1407" customWidth="1"/>
    <col min="13572" max="13572" width="7.875" style="1407" customWidth="1"/>
    <col min="13573" max="13574" width="13.875" style="1407" customWidth="1"/>
    <col min="13575" max="13575" width="8.75" style="1407" customWidth="1"/>
    <col min="13576" max="13576" width="7.875" style="1407" customWidth="1"/>
    <col min="13577" max="13577" width="14.375" style="1407" customWidth="1"/>
    <col min="13578" max="13579" width="9" style="1407" customWidth="1"/>
    <col min="13580" max="13581" width="10.625" style="1407" customWidth="1"/>
    <col min="13582" max="13582" width="14.375" style="1407" customWidth="1"/>
    <col min="13583" max="13583" width="6.25" style="1407" customWidth="1"/>
    <col min="13584" max="13584" width="30.375" style="1407" customWidth="1"/>
    <col min="13585" max="13585" width="7.875" style="1407" customWidth="1"/>
    <col min="13586" max="13825" width="9" style="1407"/>
    <col min="13826" max="13826" width="72.125" style="1407" customWidth="1"/>
    <col min="13827" max="13827" width="6.25" style="1407" customWidth="1"/>
    <col min="13828" max="13828" width="7.875" style="1407" customWidth="1"/>
    <col min="13829" max="13830" width="13.875" style="1407" customWidth="1"/>
    <col min="13831" max="13831" width="8.75" style="1407" customWidth="1"/>
    <col min="13832" max="13832" width="7.875" style="1407" customWidth="1"/>
    <col min="13833" max="13833" width="14.375" style="1407" customWidth="1"/>
    <col min="13834" max="13835" width="9" style="1407" customWidth="1"/>
    <col min="13836" max="13837" width="10.625" style="1407" customWidth="1"/>
    <col min="13838" max="13838" width="14.375" style="1407" customWidth="1"/>
    <col min="13839" max="13839" width="6.25" style="1407" customWidth="1"/>
    <col min="13840" max="13840" width="30.375" style="1407" customWidth="1"/>
    <col min="13841" max="13841" width="7.875" style="1407" customWidth="1"/>
    <col min="13842" max="14081" width="9" style="1407"/>
    <col min="14082" max="14082" width="72.125" style="1407" customWidth="1"/>
    <col min="14083" max="14083" width="6.25" style="1407" customWidth="1"/>
    <col min="14084" max="14084" width="7.875" style="1407" customWidth="1"/>
    <col min="14085" max="14086" width="13.875" style="1407" customWidth="1"/>
    <col min="14087" max="14087" width="8.75" style="1407" customWidth="1"/>
    <col min="14088" max="14088" width="7.875" style="1407" customWidth="1"/>
    <col min="14089" max="14089" width="14.375" style="1407" customWidth="1"/>
    <col min="14090" max="14091" width="9" style="1407" customWidth="1"/>
    <col min="14092" max="14093" width="10.625" style="1407" customWidth="1"/>
    <col min="14094" max="14094" width="14.375" style="1407" customWidth="1"/>
    <col min="14095" max="14095" width="6.25" style="1407" customWidth="1"/>
    <col min="14096" max="14096" width="30.375" style="1407" customWidth="1"/>
    <col min="14097" max="14097" width="7.875" style="1407" customWidth="1"/>
    <col min="14098" max="14337" width="9" style="1407"/>
    <col min="14338" max="14338" width="72.125" style="1407" customWidth="1"/>
    <col min="14339" max="14339" width="6.25" style="1407" customWidth="1"/>
    <col min="14340" max="14340" width="7.875" style="1407" customWidth="1"/>
    <col min="14341" max="14342" width="13.875" style="1407" customWidth="1"/>
    <col min="14343" max="14343" width="8.75" style="1407" customWidth="1"/>
    <col min="14344" max="14344" width="7.875" style="1407" customWidth="1"/>
    <col min="14345" max="14345" width="14.375" style="1407" customWidth="1"/>
    <col min="14346" max="14347" width="9" style="1407" customWidth="1"/>
    <col min="14348" max="14349" width="10.625" style="1407" customWidth="1"/>
    <col min="14350" max="14350" width="14.375" style="1407" customWidth="1"/>
    <col min="14351" max="14351" width="6.25" style="1407" customWidth="1"/>
    <col min="14352" max="14352" width="30.375" style="1407" customWidth="1"/>
    <col min="14353" max="14353" width="7.875" style="1407" customWidth="1"/>
    <col min="14354" max="14593" width="9" style="1407"/>
    <col min="14594" max="14594" width="72.125" style="1407" customWidth="1"/>
    <col min="14595" max="14595" width="6.25" style="1407" customWidth="1"/>
    <col min="14596" max="14596" width="7.875" style="1407" customWidth="1"/>
    <col min="14597" max="14598" width="13.875" style="1407" customWidth="1"/>
    <col min="14599" max="14599" width="8.75" style="1407" customWidth="1"/>
    <col min="14600" max="14600" width="7.875" style="1407" customWidth="1"/>
    <col min="14601" max="14601" width="14.375" style="1407" customWidth="1"/>
    <col min="14602" max="14603" width="9" style="1407" customWidth="1"/>
    <col min="14604" max="14605" width="10.625" style="1407" customWidth="1"/>
    <col min="14606" max="14606" width="14.375" style="1407" customWidth="1"/>
    <col min="14607" max="14607" width="6.25" style="1407" customWidth="1"/>
    <col min="14608" max="14608" width="30.375" style="1407" customWidth="1"/>
    <col min="14609" max="14609" width="7.875" style="1407" customWidth="1"/>
    <col min="14610" max="14849" width="9" style="1407"/>
    <col min="14850" max="14850" width="72.125" style="1407" customWidth="1"/>
    <col min="14851" max="14851" width="6.25" style="1407" customWidth="1"/>
    <col min="14852" max="14852" width="7.875" style="1407" customWidth="1"/>
    <col min="14853" max="14854" width="13.875" style="1407" customWidth="1"/>
    <col min="14855" max="14855" width="8.75" style="1407" customWidth="1"/>
    <col min="14856" max="14856" width="7.875" style="1407" customWidth="1"/>
    <col min="14857" max="14857" width="14.375" style="1407" customWidth="1"/>
    <col min="14858" max="14859" width="9" style="1407" customWidth="1"/>
    <col min="14860" max="14861" width="10.625" style="1407" customWidth="1"/>
    <col min="14862" max="14862" width="14.375" style="1407" customWidth="1"/>
    <col min="14863" max="14863" width="6.25" style="1407" customWidth="1"/>
    <col min="14864" max="14864" width="30.375" style="1407" customWidth="1"/>
    <col min="14865" max="14865" width="7.875" style="1407" customWidth="1"/>
    <col min="14866" max="15105" width="9" style="1407"/>
    <col min="15106" max="15106" width="72.125" style="1407" customWidth="1"/>
    <col min="15107" max="15107" width="6.25" style="1407" customWidth="1"/>
    <col min="15108" max="15108" width="7.875" style="1407" customWidth="1"/>
    <col min="15109" max="15110" width="13.875" style="1407" customWidth="1"/>
    <col min="15111" max="15111" width="8.75" style="1407" customWidth="1"/>
    <col min="15112" max="15112" width="7.875" style="1407" customWidth="1"/>
    <col min="15113" max="15113" width="14.375" style="1407" customWidth="1"/>
    <col min="15114" max="15115" width="9" style="1407" customWidth="1"/>
    <col min="15116" max="15117" width="10.625" style="1407" customWidth="1"/>
    <col min="15118" max="15118" width="14.375" style="1407" customWidth="1"/>
    <col min="15119" max="15119" width="6.25" style="1407" customWidth="1"/>
    <col min="15120" max="15120" width="30.375" style="1407" customWidth="1"/>
    <col min="15121" max="15121" width="7.875" style="1407" customWidth="1"/>
    <col min="15122" max="15361" width="9" style="1407"/>
    <col min="15362" max="15362" width="72.125" style="1407" customWidth="1"/>
    <col min="15363" max="15363" width="6.25" style="1407" customWidth="1"/>
    <col min="15364" max="15364" width="7.875" style="1407" customWidth="1"/>
    <col min="15365" max="15366" width="13.875" style="1407" customWidth="1"/>
    <col min="15367" max="15367" width="8.75" style="1407" customWidth="1"/>
    <col min="15368" max="15368" width="7.875" style="1407" customWidth="1"/>
    <col min="15369" max="15369" width="14.375" style="1407" customWidth="1"/>
    <col min="15370" max="15371" width="9" style="1407" customWidth="1"/>
    <col min="15372" max="15373" width="10.625" style="1407" customWidth="1"/>
    <col min="15374" max="15374" width="14.375" style="1407" customWidth="1"/>
    <col min="15375" max="15375" width="6.25" style="1407" customWidth="1"/>
    <col min="15376" max="15376" width="30.375" style="1407" customWidth="1"/>
    <col min="15377" max="15377" width="7.875" style="1407" customWidth="1"/>
    <col min="15378" max="15617" width="9" style="1407"/>
    <col min="15618" max="15618" width="72.125" style="1407" customWidth="1"/>
    <col min="15619" max="15619" width="6.25" style="1407" customWidth="1"/>
    <col min="15620" max="15620" width="7.875" style="1407" customWidth="1"/>
    <col min="15621" max="15622" width="13.875" style="1407" customWidth="1"/>
    <col min="15623" max="15623" width="8.75" style="1407" customWidth="1"/>
    <col min="15624" max="15624" width="7.875" style="1407" customWidth="1"/>
    <col min="15625" max="15625" width="14.375" style="1407" customWidth="1"/>
    <col min="15626" max="15627" width="9" style="1407" customWidth="1"/>
    <col min="15628" max="15629" width="10.625" style="1407" customWidth="1"/>
    <col min="15630" max="15630" width="14.375" style="1407" customWidth="1"/>
    <col min="15631" max="15631" width="6.25" style="1407" customWidth="1"/>
    <col min="15632" max="15632" width="30.375" style="1407" customWidth="1"/>
    <col min="15633" max="15633" width="7.875" style="1407" customWidth="1"/>
    <col min="15634" max="15873" width="9" style="1407"/>
    <col min="15874" max="15874" width="72.125" style="1407" customWidth="1"/>
    <col min="15875" max="15875" width="6.25" style="1407" customWidth="1"/>
    <col min="15876" max="15876" width="7.875" style="1407" customWidth="1"/>
    <col min="15877" max="15878" width="13.875" style="1407" customWidth="1"/>
    <col min="15879" max="15879" width="8.75" style="1407" customWidth="1"/>
    <col min="15880" max="15880" width="7.875" style="1407" customWidth="1"/>
    <col min="15881" max="15881" width="14.375" style="1407" customWidth="1"/>
    <col min="15882" max="15883" width="9" style="1407" customWidth="1"/>
    <col min="15884" max="15885" width="10.625" style="1407" customWidth="1"/>
    <col min="15886" max="15886" width="14.375" style="1407" customWidth="1"/>
    <col min="15887" max="15887" width="6.25" style="1407" customWidth="1"/>
    <col min="15888" max="15888" width="30.375" style="1407" customWidth="1"/>
    <col min="15889" max="15889" width="7.875" style="1407" customWidth="1"/>
    <col min="15890" max="16129" width="9" style="1407"/>
    <col min="16130" max="16130" width="72.125" style="1407" customWidth="1"/>
    <col min="16131" max="16131" width="6.25" style="1407" customWidth="1"/>
    <col min="16132" max="16132" width="7.875" style="1407" customWidth="1"/>
    <col min="16133" max="16134" width="13.875" style="1407" customWidth="1"/>
    <col min="16135" max="16135" width="8.75" style="1407" customWidth="1"/>
    <col min="16136" max="16136" width="7.875" style="1407" customWidth="1"/>
    <col min="16137" max="16137" width="14.375" style="1407" customWidth="1"/>
    <col min="16138" max="16139" width="9" style="1407" customWidth="1"/>
    <col min="16140" max="16141" width="10.625" style="1407" customWidth="1"/>
    <col min="16142" max="16142" width="14.375" style="1407" customWidth="1"/>
    <col min="16143" max="16143" width="6.25" style="1407" customWidth="1"/>
    <col min="16144" max="16144" width="30.375" style="1407" customWidth="1"/>
    <col min="16145" max="16145" width="7.875" style="1407" customWidth="1"/>
    <col min="16146" max="16384" width="9" style="1407"/>
  </cols>
  <sheetData>
    <row r="1" spans="1:17">
      <c r="A1" s="1407" t="s">
        <v>3096</v>
      </c>
      <c r="B1" s="1407" t="s">
        <v>3097</v>
      </c>
      <c r="C1" s="1407" t="s">
        <v>3098</v>
      </c>
      <c r="D1" s="1407" t="s">
        <v>3099</v>
      </c>
      <c r="E1" s="1407" t="s">
        <v>3100</v>
      </c>
      <c r="F1" s="1407" t="s">
        <v>3101</v>
      </c>
      <c r="G1" s="1407" t="s">
        <v>3102</v>
      </c>
      <c r="H1" s="1407" t="s">
        <v>3103</v>
      </c>
      <c r="I1" s="1407" t="s">
        <v>3104</v>
      </c>
      <c r="J1" s="1407" t="s">
        <v>3105</v>
      </c>
      <c r="K1" s="1407" t="s">
        <v>3106</v>
      </c>
      <c r="L1" s="1407" t="s">
        <v>3107</v>
      </c>
      <c r="M1" s="1407" t="s">
        <v>3108</v>
      </c>
      <c r="N1" s="3106" t="s">
        <v>3302</v>
      </c>
      <c r="O1" s="1407" t="s">
        <v>3109</v>
      </c>
      <c r="P1" s="1407" t="s">
        <v>3110</v>
      </c>
      <c r="Q1" s="1407" t="s">
        <v>3111</v>
      </c>
    </row>
    <row r="2" spans="1:17">
      <c r="A2" s="1407" t="s">
        <v>3112</v>
      </c>
      <c r="B2" s="1407" t="s">
        <v>3066</v>
      </c>
      <c r="C2" s="1407" t="s">
        <v>3113</v>
      </c>
      <c r="D2" s="1407">
        <v>16922.8</v>
      </c>
      <c r="E2" s="1407">
        <v>33845.599999999999</v>
      </c>
      <c r="F2" s="1407" t="s">
        <v>3114</v>
      </c>
      <c r="G2" s="1407" t="s">
        <v>3115</v>
      </c>
      <c r="H2" s="1407" t="s">
        <v>6</v>
      </c>
      <c r="I2" s="1407" t="s">
        <v>3116</v>
      </c>
      <c r="J2" s="1407" t="s">
        <v>3116</v>
      </c>
      <c r="K2" s="1407">
        <v>2254.11</v>
      </c>
      <c r="L2" s="1407">
        <v>2254.11</v>
      </c>
      <c r="M2" s="1407">
        <v>666</v>
      </c>
      <c r="N2" s="1407">
        <f>ROUND(L2*10000/D2,0)</f>
        <v>1332</v>
      </c>
      <c r="O2" s="1407">
        <v>0</v>
      </c>
      <c r="P2" s="1407" t="s">
        <v>3117</v>
      </c>
      <c r="Q2" s="1407" t="s">
        <v>3118</v>
      </c>
    </row>
    <row r="3" spans="1:17">
      <c r="A3" s="1407" t="s">
        <v>3119</v>
      </c>
      <c r="B3" s="1407" t="s">
        <v>3066</v>
      </c>
      <c r="C3" s="1407" t="s">
        <v>3113</v>
      </c>
      <c r="D3" s="1407">
        <v>33333</v>
      </c>
      <c r="E3" s="1407">
        <v>40000</v>
      </c>
      <c r="F3" s="1407" t="s">
        <v>3120</v>
      </c>
      <c r="G3" s="1407" t="s">
        <v>3115</v>
      </c>
      <c r="H3" s="1407" t="s">
        <v>6</v>
      </c>
      <c r="I3" s="1407" t="s">
        <v>3116</v>
      </c>
      <c r="J3" s="1407" t="s">
        <v>3116</v>
      </c>
      <c r="K3" s="1407">
        <v>5935.6</v>
      </c>
      <c r="L3" s="1407">
        <v>5935.6</v>
      </c>
      <c r="M3" s="1407">
        <v>1483.9</v>
      </c>
      <c r="N3" s="1407">
        <f t="shared" ref="N3:N51" si="0">ROUND(L3*10000/D3,0)</f>
        <v>1781</v>
      </c>
      <c r="O3" s="1407">
        <v>0</v>
      </c>
      <c r="P3" s="1407" t="s">
        <v>3121</v>
      </c>
      <c r="Q3" s="1407" t="s">
        <v>3118</v>
      </c>
    </row>
    <row r="4" spans="1:17" ht="15" customHeight="1">
      <c r="A4" s="1407" t="s">
        <v>3122</v>
      </c>
      <c r="B4" s="1407" t="s">
        <v>3066</v>
      </c>
      <c r="C4" s="1407" t="s">
        <v>3113</v>
      </c>
      <c r="D4" s="1407">
        <v>471181.9</v>
      </c>
      <c r="E4" s="1407">
        <v>942363.8</v>
      </c>
      <c r="F4" s="1407" t="s">
        <v>3114</v>
      </c>
      <c r="G4" s="1407" t="s">
        <v>3115</v>
      </c>
      <c r="H4" s="1407" t="s">
        <v>3123</v>
      </c>
      <c r="I4" s="1407" t="s">
        <v>3124</v>
      </c>
      <c r="J4" s="1407" t="s">
        <v>3124</v>
      </c>
      <c r="K4" s="1407">
        <v>80100.91</v>
      </c>
      <c r="L4" s="1407">
        <v>80100.91</v>
      </c>
      <c r="M4" s="1407">
        <v>850</v>
      </c>
      <c r="N4" s="1407">
        <f t="shared" si="0"/>
        <v>1700</v>
      </c>
      <c r="O4" s="1407">
        <v>0</v>
      </c>
      <c r="P4" s="1407" t="s">
        <v>3125</v>
      </c>
      <c r="Q4" s="1407" t="s">
        <v>3118</v>
      </c>
    </row>
    <row r="5" spans="1:17" s="3107" customFormat="1">
      <c r="A5" s="3108" t="s">
        <v>3288</v>
      </c>
      <c r="B5" s="3107" t="s">
        <v>3066</v>
      </c>
      <c r="C5" s="3107" t="s">
        <v>3113</v>
      </c>
      <c r="D5" s="3107">
        <v>22695.8</v>
      </c>
      <c r="E5" s="3107">
        <v>40852.44</v>
      </c>
      <c r="F5" s="3107" t="s">
        <v>3126</v>
      </c>
      <c r="G5" s="3107" t="s">
        <v>3115</v>
      </c>
      <c r="H5" s="3107" t="s">
        <v>6</v>
      </c>
      <c r="I5" s="3107" t="s">
        <v>3127</v>
      </c>
      <c r="J5" s="3107" t="s">
        <v>3127</v>
      </c>
      <c r="K5" s="3107">
        <v>4412.0600000000004</v>
      </c>
      <c r="L5" s="3107">
        <v>4412.0600000000004</v>
      </c>
      <c r="M5" s="3107">
        <v>1080</v>
      </c>
      <c r="N5" s="1407">
        <f t="shared" si="0"/>
        <v>1944</v>
      </c>
      <c r="O5" s="3107">
        <v>0</v>
      </c>
      <c r="P5" s="3107" t="s">
        <v>3128</v>
      </c>
      <c r="Q5" s="3107" t="s">
        <v>3118</v>
      </c>
    </row>
    <row r="6" spans="1:17">
      <c r="A6" s="1407" t="s">
        <v>3129</v>
      </c>
      <c r="B6" s="1407" t="s">
        <v>3066</v>
      </c>
      <c r="C6" s="1407" t="s">
        <v>3113</v>
      </c>
      <c r="D6" s="1407">
        <v>14690.2</v>
      </c>
      <c r="E6" s="1407">
        <v>29380.400000000001</v>
      </c>
      <c r="F6" s="1407" t="s">
        <v>3114</v>
      </c>
      <c r="G6" s="1407" t="s">
        <v>3115</v>
      </c>
      <c r="H6" s="1407" t="s">
        <v>3123</v>
      </c>
      <c r="I6" s="1407" t="s">
        <v>3130</v>
      </c>
      <c r="J6" s="1407" t="s">
        <v>3130</v>
      </c>
      <c r="K6" s="1407">
        <v>1956.73</v>
      </c>
      <c r="L6" s="1407">
        <v>1956.73</v>
      </c>
      <c r="M6" s="1407">
        <v>666</v>
      </c>
      <c r="N6" s="1407">
        <f t="shared" si="0"/>
        <v>1332</v>
      </c>
      <c r="O6" s="1407">
        <v>0</v>
      </c>
      <c r="P6" s="1407" t="s">
        <v>3131</v>
      </c>
      <c r="Q6" s="1407" t="s">
        <v>3118</v>
      </c>
    </row>
    <row r="7" spans="1:17">
      <c r="A7" s="1407" t="s">
        <v>3132</v>
      </c>
      <c r="B7" s="1407" t="s">
        <v>3066</v>
      </c>
      <c r="C7" s="1407" t="s">
        <v>3113</v>
      </c>
      <c r="D7" s="1407">
        <v>20195.2</v>
      </c>
      <c r="E7" s="1407">
        <v>24234.240000000002</v>
      </c>
      <c r="F7" s="1407" t="s">
        <v>3120</v>
      </c>
      <c r="G7" s="1407" t="s">
        <v>3115</v>
      </c>
      <c r="H7" s="1407" t="s">
        <v>3123</v>
      </c>
      <c r="I7" s="1407" t="s">
        <v>3130</v>
      </c>
      <c r="J7" s="1407" t="s">
        <v>3130</v>
      </c>
      <c r="K7" s="1407">
        <v>1614</v>
      </c>
      <c r="L7" s="1407">
        <v>1614</v>
      </c>
      <c r="M7" s="1407">
        <v>666</v>
      </c>
      <c r="N7" s="1407">
        <f t="shared" si="0"/>
        <v>799</v>
      </c>
      <c r="O7" s="1407">
        <v>0</v>
      </c>
      <c r="P7" s="1407" t="s">
        <v>3133</v>
      </c>
      <c r="Q7" s="1407" t="s">
        <v>3118</v>
      </c>
    </row>
    <row r="8" spans="1:17">
      <c r="A8" s="1407" t="s">
        <v>3134</v>
      </c>
      <c r="B8" s="1407" t="s">
        <v>3066</v>
      </c>
      <c r="C8" s="1407" t="s">
        <v>3113</v>
      </c>
      <c r="D8" s="1407">
        <v>12168</v>
      </c>
      <c r="E8" s="1407">
        <v>12168</v>
      </c>
      <c r="F8" s="1407" t="s">
        <v>3135</v>
      </c>
      <c r="G8" s="1407" t="s">
        <v>3115</v>
      </c>
      <c r="H8" s="1407" t="s">
        <v>3136</v>
      </c>
      <c r="I8" s="1407" t="s">
        <v>3130</v>
      </c>
      <c r="J8" s="1407" t="s">
        <v>3130</v>
      </c>
      <c r="K8" s="1407">
        <v>883.39</v>
      </c>
      <c r="L8" s="1407">
        <v>883.39</v>
      </c>
      <c r="M8" s="1407">
        <v>726</v>
      </c>
      <c r="N8" s="1407">
        <f t="shared" si="0"/>
        <v>726</v>
      </c>
      <c r="O8" s="1407">
        <v>0</v>
      </c>
      <c r="P8" s="1407" t="s">
        <v>3137</v>
      </c>
      <c r="Q8" s="1407" t="s">
        <v>3118</v>
      </c>
    </row>
    <row r="9" spans="1:17">
      <c r="A9" s="1407" t="s">
        <v>3138</v>
      </c>
      <c r="B9" s="1407" t="s">
        <v>3066</v>
      </c>
      <c r="C9" s="1407" t="s">
        <v>3113</v>
      </c>
      <c r="D9" s="1407">
        <v>66050.399999999994</v>
      </c>
      <c r="E9" s="1407">
        <v>99075.6</v>
      </c>
      <c r="F9" s="1407" t="s">
        <v>3139</v>
      </c>
      <c r="G9" s="1407" t="s">
        <v>3115</v>
      </c>
      <c r="H9" s="1407" t="s">
        <v>3123</v>
      </c>
      <c r="I9" s="1407" t="s">
        <v>3140</v>
      </c>
      <c r="J9" s="1407" t="s">
        <v>3140</v>
      </c>
      <c r="K9" s="1407">
        <v>5815.73</v>
      </c>
      <c r="L9" s="1407">
        <v>5815.73</v>
      </c>
      <c r="M9" s="1407">
        <v>587</v>
      </c>
      <c r="N9" s="1407">
        <f t="shared" si="0"/>
        <v>880</v>
      </c>
      <c r="O9" s="1407">
        <v>0</v>
      </c>
      <c r="P9" s="1407" t="s">
        <v>3141</v>
      </c>
      <c r="Q9" s="1407" t="s">
        <v>3142</v>
      </c>
    </row>
    <row r="10" spans="1:17">
      <c r="A10" s="1407" t="s">
        <v>3143</v>
      </c>
      <c r="B10" s="1407" t="s">
        <v>3066</v>
      </c>
      <c r="C10" s="1407" t="s">
        <v>3113</v>
      </c>
      <c r="D10" s="1407">
        <v>39596.699999999997</v>
      </c>
      <c r="E10" s="1407">
        <v>59395.05</v>
      </c>
      <c r="F10" s="1407" t="s">
        <v>3139</v>
      </c>
      <c r="G10" s="1407" t="s">
        <v>3115</v>
      </c>
      <c r="H10" s="1407" t="s">
        <v>3123</v>
      </c>
      <c r="I10" s="1407" t="s">
        <v>3140</v>
      </c>
      <c r="J10" s="1407" t="s">
        <v>3140</v>
      </c>
      <c r="K10" s="1407">
        <v>3486.48</v>
      </c>
      <c r="L10" s="1407">
        <v>3486.48</v>
      </c>
      <c r="M10" s="1407">
        <v>587</v>
      </c>
      <c r="N10" s="1407">
        <f t="shared" si="0"/>
        <v>880</v>
      </c>
      <c r="O10" s="1407">
        <v>0</v>
      </c>
      <c r="P10" s="1407" t="s">
        <v>3144</v>
      </c>
      <c r="Q10" s="1407" t="s">
        <v>3145</v>
      </c>
    </row>
    <row r="11" spans="1:17">
      <c r="A11" s="1407" t="s">
        <v>3146</v>
      </c>
      <c r="B11" s="1407" t="s">
        <v>3066</v>
      </c>
      <c r="C11" s="1407" t="s">
        <v>3113</v>
      </c>
      <c r="D11" s="1407">
        <v>33256</v>
      </c>
      <c r="E11" s="1407">
        <v>49884</v>
      </c>
      <c r="F11" s="1407" t="s">
        <v>3139</v>
      </c>
      <c r="G11" s="1407" t="s">
        <v>3115</v>
      </c>
      <c r="H11" s="1407" t="s">
        <v>3123</v>
      </c>
      <c r="I11" s="1407" t="s">
        <v>3140</v>
      </c>
      <c r="J11" s="1407" t="s">
        <v>3140</v>
      </c>
      <c r="K11" s="1407">
        <v>2848.38</v>
      </c>
      <c r="L11" s="1407">
        <v>2848.38</v>
      </c>
      <c r="M11" s="1407">
        <v>571</v>
      </c>
      <c r="N11" s="1407">
        <f t="shared" si="0"/>
        <v>857</v>
      </c>
      <c r="O11" s="1407">
        <v>0</v>
      </c>
      <c r="P11" s="1407" t="s">
        <v>3147</v>
      </c>
      <c r="Q11" s="1407" t="s">
        <v>3142</v>
      </c>
    </row>
    <row r="12" spans="1:17">
      <c r="A12" s="1407" t="s">
        <v>3148</v>
      </c>
      <c r="B12" s="1407" t="s">
        <v>3066</v>
      </c>
      <c r="C12" s="1407" t="s">
        <v>3113</v>
      </c>
      <c r="D12" s="1407">
        <v>73285.399999999994</v>
      </c>
      <c r="E12" s="1407">
        <v>109928.1</v>
      </c>
      <c r="F12" s="1407" t="s">
        <v>3139</v>
      </c>
      <c r="G12" s="1407" t="s">
        <v>3115</v>
      </c>
      <c r="H12" s="1407" t="s">
        <v>3123</v>
      </c>
      <c r="I12" s="1407" t="s">
        <v>3149</v>
      </c>
      <c r="J12" s="1407" t="s">
        <v>3149</v>
      </c>
      <c r="K12" s="1407">
        <v>6276.89</v>
      </c>
      <c r="L12" s="1407">
        <v>6276.89</v>
      </c>
      <c r="M12" s="1407">
        <v>571</v>
      </c>
      <c r="N12" s="1407">
        <f t="shared" si="0"/>
        <v>856</v>
      </c>
      <c r="O12" s="1407">
        <v>0</v>
      </c>
      <c r="P12" s="1407" t="s">
        <v>3150</v>
      </c>
      <c r="Q12" s="1407" t="s">
        <v>3118</v>
      </c>
    </row>
    <row r="13" spans="1:17">
      <c r="A13" s="1407" t="s">
        <v>3151</v>
      </c>
      <c r="B13" s="1407" t="s">
        <v>3066</v>
      </c>
      <c r="C13" s="1407" t="s">
        <v>3113</v>
      </c>
      <c r="D13" s="1407">
        <v>40148.6</v>
      </c>
      <c r="E13" s="1407">
        <v>60222.9</v>
      </c>
      <c r="F13" s="1407" t="s">
        <v>3139</v>
      </c>
      <c r="G13" s="1407" t="s">
        <v>3115</v>
      </c>
      <c r="H13" s="1407" t="s">
        <v>3123</v>
      </c>
      <c r="I13" s="1407" t="s">
        <v>3149</v>
      </c>
      <c r="J13" s="1407" t="s">
        <v>3149</v>
      </c>
      <c r="K13" s="1407">
        <v>3438.73</v>
      </c>
      <c r="L13" s="1407">
        <v>3438.73</v>
      </c>
      <c r="M13" s="1407">
        <v>571</v>
      </c>
      <c r="N13" s="1407">
        <f t="shared" si="0"/>
        <v>857</v>
      </c>
      <c r="O13" s="1407">
        <v>0</v>
      </c>
      <c r="P13" s="1407" t="s">
        <v>3152</v>
      </c>
      <c r="Q13" s="1407" t="s">
        <v>3118</v>
      </c>
    </row>
    <row r="14" spans="1:17">
      <c r="A14" s="1407" t="s">
        <v>3153</v>
      </c>
      <c r="B14" s="1407" t="s">
        <v>3066</v>
      </c>
      <c r="C14" s="1407" t="s">
        <v>3113</v>
      </c>
      <c r="D14" s="1407">
        <v>25694.7</v>
      </c>
      <c r="E14" s="1407">
        <v>38542.050000000003</v>
      </c>
      <c r="F14" s="1407" t="s">
        <v>3139</v>
      </c>
      <c r="G14" s="1407" t="s">
        <v>3115</v>
      </c>
      <c r="H14" s="1407" t="s">
        <v>3123</v>
      </c>
      <c r="I14" s="1407" t="s">
        <v>3149</v>
      </c>
      <c r="J14" s="1407" t="s">
        <v>3149</v>
      </c>
      <c r="K14" s="1407">
        <v>2200.75</v>
      </c>
      <c r="L14" s="1407">
        <v>2200.75</v>
      </c>
      <c r="M14" s="1407">
        <v>571</v>
      </c>
      <c r="N14" s="1407">
        <f t="shared" si="0"/>
        <v>856</v>
      </c>
      <c r="O14" s="1407">
        <v>0</v>
      </c>
      <c r="P14" s="1407" t="s">
        <v>3154</v>
      </c>
      <c r="Q14" s="1407" t="s">
        <v>3118</v>
      </c>
    </row>
    <row r="15" spans="1:17">
      <c r="A15" s="1407" t="s">
        <v>3155</v>
      </c>
      <c r="B15" s="1407" t="s">
        <v>3066</v>
      </c>
      <c r="C15" s="1407" t="s">
        <v>3113</v>
      </c>
      <c r="D15" s="1407">
        <v>30589.9</v>
      </c>
      <c r="E15" s="1407">
        <v>45884.85</v>
      </c>
      <c r="F15" s="1407" t="s">
        <v>3139</v>
      </c>
      <c r="G15" s="1407" t="s">
        <v>3115</v>
      </c>
      <c r="H15" s="1407" t="s">
        <v>3123</v>
      </c>
      <c r="I15" s="1407" t="s">
        <v>3149</v>
      </c>
      <c r="J15" s="1407" t="s">
        <v>3149</v>
      </c>
      <c r="K15" s="1407">
        <v>2620.0100000000002</v>
      </c>
      <c r="L15" s="1407">
        <v>2620.0100000000002</v>
      </c>
      <c r="M15" s="1407">
        <v>571</v>
      </c>
      <c r="N15" s="1407">
        <f t="shared" si="0"/>
        <v>856</v>
      </c>
      <c r="O15" s="1407">
        <v>0</v>
      </c>
      <c r="P15" s="1407" t="s">
        <v>3156</v>
      </c>
      <c r="Q15" s="1407" t="s">
        <v>3118</v>
      </c>
    </row>
    <row r="16" spans="1:17">
      <c r="A16" s="1407" t="s">
        <v>3157</v>
      </c>
      <c r="B16" s="1407" t="s">
        <v>3066</v>
      </c>
      <c r="C16" s="1407" t="s">
        <v>3113</v>
      </c>
      <c r="D16" s="1407">
        <v>26644.98</v>
      </c>
      <c r="E16" s="1407">
        <v>53289.96</v>
      </c>
      <c r="F16" s="1407" t="s">
        <v>3114</v>
      </c>
      <c r="G16" s="1407" t="s">
        <v>3115</v>
      </c>
      <c r="H16" s="1407" t="s">
        <v>3158</v>
      </c>
      <c r="I16" s="1407" t="s">
        <v>3159</v>
      </c>
      <c r="J16" s="1407" t="s">
        <v>3159</v>
      </c>
      <c r="K16" s="1407">
        <v>3744.23</v>
      </c>
      <c r="L16" s="1407">
        <v>3744.23</v>
      </c>
      <c r="M16" s="1407">
        <v>702.62</v>
      </c>
      <c r="N16" s="1407">
        <f t="shared" si="0"/>
        <v>1405</v>
      </c>
      <c r="O16" s="1407">
        <v>0</v>
      </c>
      <c r="P16" s="1407" t="s">
        <v>3160</v>
      </c>
      <c r="Q16" s="1407" t="s">
        <v>3161</v>
      </c>
    </row>
    <row r="17" spans="1:17">
      <c r="A17" s="1407" t="s">
        <v>3162</v>
      </c>
      <c r="B17" s="1407" t="s">
        <v>3066</v>
      </c>
      <c r="C17" s="1407" t="s">
        <v>3113</v>
      </c>
      <c r="D17" s="1407">
        <v>67532.14</v>
      </c>
      <c r="E17" s="1407">
        <v>101298</v>
      </c>
      <c r="F17" s="1407" t="s">
        <v>3139</v>
      </c>
      <c r="G17" s="1407" t="s">
        <v>3115</v>
      </c>
      <c r="H17" s="1407" t="s">
        <v>3158</v>
      </c>
      <c r="I17" s="1407" t="s">
        <v>3159</v>
      </c>
      <c r="J17" s="1407" t="s">
        <v>3159</v>
      </c>
      <c r="K17" s="1407">
        <v>7574.06</v>
      </c>
      <c r="L17" s="1407">
        <v>7574.06</v>
      </c>
      <c r="M17" s="1407">
        <v>747.7</v>
      </c>
      <c r="N17" s="1407">
        <f t="shared" si="0"/>
        <v>1122</v>
      </c>
      <c r="O17" s="1407">
        <v>0</v>
      </c>
      <c r="P17" s="1407" t="s">
        <v>3163</v>
      </c>
      <c r="Q17" s="1407" t="s">
        <v>3161</v>
      </c>
    </row>
    <row r="18" spans="1:17">
      <c r="A18" s="1407" t="s">
        <v>3164</v>
      </c>
      <c r="B18" s="1407" t="s">
        <v>3066</v>
      </c>
      <c r="C18" s="1407" t="s">
        <v>3113</v>
      </c>
      <c r="D18" s="1407">
        <v>14671.1</v>
      </c>
      <c r="E18" s="1407">
        <v>22006.65</v>
      </c>
      <c r="F18" s="1407" t="s">
        <v>3139</v>
      </c>
      <c r="G18" s="1407" t="s">
        <v>3115</v>
      </c>
      <c r="H18" s="1407" t="s">
        <v>3113</v>
      </c>
      <c r="I18" s="1407" t="s">
        <v>3165</v>
      </c>
      <c r="J18" s="1407" t="s">
        <v>3165</v>
      </c>
      <c r="K18" s="1407">
        <v>1256.57</v>
      </c>
      <c r="L18" s="1407">
        <v>1256.57</v>
      </c>
      <c r="M18" s="1407">
        <v>571</v>
      </c>
      <c r="N18" s="1407">
        <f t="shared" si="0"/>
        <v>856</v>
      </c>
      <c r="O18" s="1407">
        <v>0</v>
      </c>
      <c r="P18" s="1407" t="s">
        <v>3166</v>
      </c>
      <c r="Q18" s="1407" t="s">
        <v>3118</v>
      </c>
    </row>
    <row r="19" spans="1:17" s="3100" customFormat="1">
      <c r="A19" s="3100" t="s">
        <v>3167</v>
      </c>
      <c r="B19" s="3100" t="s">
        <v>3066</v>
      </c>
      <c r="C19" s="3100" t="s">
        <v>3113</v>
      </c>
      <c r="D19" s="3100">
        <v>13606.6</v>
      </c>
      <c r="E19" s="3100">
        <v>27213.200000000001</v>
      </c>
      <c r="F19" s="3100" t="s">
        <v>3168</v>
      </c>
      <c r="G19" s="3100" t="s">
        <v>3115</v>
      </c>
      <c r="H19" s="3100" t="s">
        <v>3113</v>
      </c>
      <c r="I19" s="3100" t="s">
        <v>3169</v>
      </c>
      <c r="J19" s="3100" t="s">
        <v>3169</v>
      </c>
      <c r="K19" s="3100">
        <v>1975.68</v>
      </c>
      <c r="L19" s="3100">
        <v>1975.68</v>
      </c>
      <c r="M19" s="3100">
        <v>726</v>
      </c>
      <c r="N19" s="1407">
        <f t="shared" si="0"/>
        <v>1452</v>
      </c>
      <c r="O19" s="3100">
        <v>0</v>
      </c>
      <c r="P19" s="3100" t="s">
        <v>3170</v>
      </c>
      <c r="Q19" s="3100" t="s">
        <v>3161</v>
      </c>
    </row>
    <row r="20" spans="1:17">
      <c r="A20" s="1407" t="s">
        <v>3171</v>
      </c>
      <c r="B20" s="1407" t="s">
        <v>3066</v>
      </c>
      <c r="C20" s="1407" t="s">
        <v>3113</v>
      </c>
      <c r="D20" s="1407">
        <v>13949.3</v>
      </c>
      <c r="E20" s="1407">
        <v>27898.6</v>
      </c>
      <c r="F20" s="1407" t="s">
        <v>3168</v>
      </c>
      <c r="G20" s="1407" t="s">
        <v>3115</v>
      </c>
      <c r="H20" s="1407" t="s">
        <v>3113</v>
      </c>
      <c r="I20" s="1407" t="s">
        <v>3169</v>
      </c>
      <c r="J20" s="1407" t="s">
        <v>3169</v>
      </c>
      <c r="K20" s="1407">
        <v>2025.44</v>
      </c>
      <c r="L20" s="1407">
        <v>2025.44</v>
      </c>
      <c r="M20" s="1407">
        <v>726</v>
      </c>
      <c r="N20" s="1407">
        <f t="shared" si="0"/>
        <v>1452</v>
      </c>
      <c r="O20" s="1407">
        <v>0</v>
      </c>
      <c r="P20" s="1407" t="s">
        <v>3170</v>
      </c>
      <c r="Q20" s="1407" t="s">
        <v>3161</v>
      </c>
    </row>
    <row r="21" spans="1:17">
      <c r="A21" s="1407" t="s">
        <v>3172</v>
      </c>
      <c r="B21" s="1407" t="s">
        <v>3066</v>
      </c>
      <c r="C21" s="1407" t="s">
        <v>3113</v>
      </c>
      <c r="D21" s="1407">
        <v>19983.72</v>
      </c>
      <c r="E21" s="1407">
        <v>39967.440000000002</v>
      </c>
      <c r="F21" s="1407" t="s">
        <v>3114</v>
      </c>
      <c r="G21" s="1407" t="s">
        <v>3115</v>
      </c>
      <c r="H21" s="1407" t="s">
        <v>3136</v>
      </c>
      <c r="I21" s="1407" t="s">
        <v>3173</v>
      </c>
      <c r="J21" s="1407" t="s">
        <v>3173</v>
      </c>
      <c r="K21" s="1407">
        <v>2805.96</v>
      </c>
      <c r="L21" s="1407">
        <v>2805.96</v>
      </c>
      <c r="M21" s="1407">
        <v>702.05</v>
      </c>
      <c r="N21" s="1407">
        <f t="shared" si="0"/>
        <v>1404</v>
      </c>
      <c r="O21" s="1407">
        <v>0</v>
      </c>
      <c r="P21" s="1407" t="s">
        <v>3174</v>
      </c>
      <c r="Q21" s="1407" t="s">
        <v>3118</v>
      </c>
    </row>
    <row r="22" spans="1:17">
      <c r="A22" s="1407" t="s">
        <v>3175</v>
      </c>
      <c r="B22" s="1407" t="s">
        <v>3066</v>
      </c>
      <c r="C22" s="1407" t="s">
        <v>3113</v>
      </c>
      <c r="D22" s="1407">
        <v>19983.72</v>
      </c>
      <c r="E22" s="1407">
        <v>39967.440000000002</v>
      </c>
      <c r="F22" s="1407" t="s">
        <v>3114</v>
      </c>
      <c r="G22" s="1407" t="s">
        <v>3115</v>
      </c>
      <c r="H22" s="1407" t="s">
        <v>3158</v>
      </c>
      <c r="I22" s="1407" t="s">
        <v>3176</v>
      </c>
      <c r="J22" s="1407" t="s">
        <v>3176</v>
      </c>
      <c r="K22" s="1407">
        <v>2801.11</v>
      </c>
      <c r="L22" s="1407">
        <v>2801.11</v>
      </c>
      <c r="M22" s="1407">
        <v>700.85</v>
      </c>
      <c r="N22" s="1407">
        <f t="shared" si="0"/>
        <v>1402</v>
      </c>
      <c r="O22" s="1407">
        <v>0</v>
      </c>
      <c r="P22" s="1407" t="s">
        <v>3177</v>
      </c>
      <c r="Q22" s="1407" t="s">
        <v>3118</v>
      </c>
    </row>
    <row r="23" spans="1:17">
      <c r="A23" s="1407" t="s">
        <v>3178</v>
      </c>
      <c r="B23" s="1407" t="s">
        <v>3066</v>
      </c>
      <c r="C23" s="1407" t="s">
        <v>3113</v>
      </c>
      <c r="D23" s="1407">
        <v>11276.71</v>
      </c>
      <c r="E23" s="1407">
        <v>16915</v>
      </c>
      <c r="F23" s="1407" t="s">
        <v>3139</v>
      </c>
      <c r="G23" s="1407" t="s">
        <v>3115</v>
      </c>
      <c r="H23" s="1407" t="s">
        <v>3179</v>
      </c>
      <c r="I23" s="1407" t="s">
        <v>3180</v>
      </c>
      <c r="J23" s="1407" t="s">
        <v>3180</v>
      </c>
      <c r="K23" s="1407">
        <v>1211.81</v>
      </c>
      <c r="L23" s="1407">
        <v>1211.81</v>
      </c>
      <c r="M23" s="1407">
        <v>716.41</v>
      </c>
      <c r="N23" s="1407">
        <f t="shared" si="0"/>
        <v>1075</v>
      </c>
      <c r="O23" s="1407">
        <v>0</v>
      </c>
      <c r="P23" s="1407" t="s">
        <v>3181</v>
      </c>
      <c r="Q23" s="1407" t="s">
        <v>3118</v>
      </c>
    </row>
    <row r="24" spans="1:17">
      <c r="A24" s="1407" t="s">
        <v>3182</v>
      </c>
      <c r="B24" s="1407" t="s">
        <v>3066</v>
      </c>
      <c r="C24" s="1407" t="s">
        <v>3113</v>
      </c>
      <c r="D24" s="1407">
        <v>34995.919999999998</v>
      </c>
      <c r="E24" s="1407">
        <v>82940.33</v>
      </c>
      <c r="F24" s="1407" t="s">
        <v>3183</v>
      </c>
      <c r="G24" s="1407" t="s">
        <v>3115</v>
      </c>
      <c r="H24" s="1407" t="s">
        <v>3184</v>
      </c>
      <c r="I24" s="1407" t="s">
        <v>3180</v>
      </c>
      <c r="J24" s="1407" t="s">
        <v>3180</v>
      </c>
      <c r="K24" s="1407">
        <v>4868.6000000000004</v>
      </c>
      <c r="L24" s="1407">
        <v>4868.6000000000004</v>
      </c>
      <c r="M24" s="1407">
        <v>587</v>
      </c>
      <c r="N24" s="1407">
        <f t="shared" si="0"/>
        <v>1391</v>
      </c>
      <c r="O24" s="1407">
        <v>0</v>
      </c>
      <c r="P24" s="1407" t="s">
        <v>3185</v>
      </c>
      <c r="Q24" s="1407" t="s">
        <v>3118</v>
      </c>
    </row>
    <row r="25" spans="1:17" s="3100" customFormat="1">
      <c r="A25" s="3100" t="s">
        <v>3186</v>
      </c>
      <c r="B25" s="3100" t="s">
        <v>3066</v>
      </c>
      <c r="C25" s="3100" t="s">
        <v>3113</v>
      </c>
      <c r="D25" s="3100">
        <v>30911.9</v>
      </c>
      <c r="E25" s="3100">
        <v>52550.23</v>
      </c>
      <c r="F25" s="3100" t="s">
        <v>3187</v>
      </c>
      <c r="G25" s="3100" t="s">
        <v>3115</v>
      </c>
      <c r="H25" s="3100" t="s">
        <v>3158</v>
      </c>
      <c r="I25" s="3100" t="s">
        <v>3188</v>
      </c>
      <c r="J25" s="3100" t="s">
        <v>3188</v>
      </c>
      <c r="K25" s="3100">
        <v>3815.15</v>
      </c>
      <c r="L25" s="3100">
        <v>3815.15</v>
      </c>
      <c r="M25" s="3100">
        <v>726</v>
      </c>
      <c r="N25" s="1407">
        <f t="shared" si="0"/>
        <v>1234</v>
      </c>
      <c r="O25" s="3100">
        <v>0</v>
      </c>
      <c r="P25" s="3100" t="s">
        <v>3189</v>
      </c>
      <c r="Q25" s="3100" t="s">
        <v>3118</v>
      </c>
    </row>
    <row r="26" spans="1:17" s="3100" customFormat="1">
      <c r="A26" s="3100" t="s">
        <v>3190</v>
      </c>
      <c r="B26" s="3100" t="s">
        <v>3066</v>
      </c>
      <c r="C26" s="3100" t="s">
        <v>3113</v>
      </c>
      <c r="D26" s="3100">
        <v>10730.4</v>
      </c>
      <c r="E26" s="3100">
        <v>21460.799999999999</v>
      </c>
      <c r="F26" s="3100" t="s">
        <v>3114</v>
      </c>
      <c r="G26" s="3100" t="s">
        <v>3115</v>
      </c>
      <c r="H26" s="3100" t="s">
        <v>3113</v>
      </c>
      <c r="I26" s="3100" t="s">
        <v>3191</v>
      </c>
      <c r="J26" s="3100" t="s">
        <v>3191</v>
      </c>
      <c r="K26" s="3100">
        <v>1558.04</v>
      </c>
      <c r="L26" s="3100">
        <v>1558.04</v>
      </c>
      <c r="M26" s="3100">
        <v>726</v>
      </c>
      <c r="N26" s="3100">
        <f t="shared" si="0"/>
        <v>1452</v>
      </c>
      <c r="O26" s="3100">
        <v>0</v>
      </c>
      <c r="P26" s="3100" t="s">
        <v>3192</v>
      </c>
      <c r="Q26" s="3100" t="s">
        <v>3118</v>
      </c>
    </row>
    <row r="27" spans="1:17">
      <c r="A27" s="1407" t="s">
        <v>3193</v>
      </c>
      <c r="B27" s="1407" t="s">
        <v>3066</v>
      </c>
      <c r="C27" s="1407" t="s">
        <v>3113</v>
      </c>
      <c r="D27" s="1407">
        <v>74765.8</v>
      </c>
      <c r="E27" s="1407">
        <v>112148.7</v>
      </c>
      <c r="F27" s="1407" t="s">
        <v>3139</v>
      </c>
      <c r="G27" s="1407" t="s">
        <v>3115</v>
      </c>
      <c r="H27" s="1407" t="s">
        <v>3113</v>
      </c>
      <c r="I27" s="1407" t="s">
        <v>3191</v>
      </c>
      <c r="J27" s="1407" t="s">
        <v>3191</v>
      </c>
      <c r="K27" s="1407">
        <v>6583.13</v>
      </c>
      <c r="L27" s="1407">
        <v>6583.13</v>
      </c>
      <c r="M27" s="1407">
        <v>587</v>
      </c>
      <c r="N27" s="1407">
        <f t="shared" si="0"/>
        <v>881</v>
      </c>
      <c r="O27" s="1407">
        <v>0</v>
      </c>
      <c r="P27" s="1407" t="s">
        <v>3194</v>
      </c>
      <c r="Q27" s="1407" t="s">
        <v>3118</v>
      </c>
    </row>
    <row r="28" spans="1:17">
      <c r="A28" s="1407" t="s">
        <v>3195</v>
      </c>
      <c r="B28" s="1407" t="s">
        <v>3066</v>
      </c>
      <c r="C28" s="1407" t="s">
        <v>3113</v>
      </c>
      <c r="D28" s="1407">
        <v>32677.200000000001</v>
      </c>
      <c r="E28" s="1407">
        <v>49015.8</v>
      </c>
      <c r="F28" s="1407" t="s">
        <v>3139</v>
      </c>
      <c r="G28" s="1407" t="s">
        <v>3115</v>
      </c>
      <c r="H28" s="1407" t="s">
        <v>3113</v>
      </c>
      <c r="I28" s="1407" t="s">
        <v>3191</v>
      </c>
      <c r="J28" s="1407" t="s">
        <v>3191</v>
      </c>
      <c r="K28" s="1407">
        <v>2877.23</v>
      </c>
      <c r="L28" s="1407">
        <v>2877.23</v>
      </c>
      <c r="M28" s="1407">
        <v>587</v>
      </c>
      <c r="N28" s="1407">
        <f t="shared" si="0"/>
        <v>881</v>
      </c>
      <c r="O28" s="1407">
        <v>0</v>
      </c>
      <c r="P28" s="1407" t="s">
        <v>3194</v>
      </c>
      <c r="Q28" s="1407" t="s">
        <v>3118</v>
      </c>
    </row>
    <row r="29" spans="1:17">
      <c r="A29" s="1407" t="s">
        <v>3196</v>
      </c>
      <c r="B29" s="1407" t="s">
        <v>3066</v>
      </c>
      <c r="C29" s="1407" t="s">
        <v>3113</v>
      </c>
      <c r="D29" s="1407">
        <v>22695.8</v>
      </c>
      <c r="E29" s="1407">
        <v>40852.44</v>
      </c>
      <c r="F29" s="1407" t="s">
        <v>3126</v>
      </c>
      <c r="G29" s="1407" t="s">
        <v>3115</v>
      </c>
      <c r="H29" s="1407" t="s">
        <v>3113</v>
      </c>
      <c r="I29" s="1407" t="s">
        <v>3191</v>
      </c>
      <c r="J29" s="1407" t="s">
        <v>3191</v>
      </c>
      <c r="K29" s="1407">
        <v>4412.0600000000004</v>
      </c>
      <c r="L29" s="1407">
        <v>4412.0600000000004</v>
      </c>
      <c r="M29" s="1407">
        <v>1080</v>
      </c>
      <c r="N29" s="1407">
        <f t="shared" si="0"/>
        <v>1944</v>
      </c>
      <c r="O29" s="1407">
        <v>0</v>
      </c>
      <c r="P29" s="1407" t="s">
        <v>3197</v>
      </c>
      <c r="Q29" s="1407" t="s">
        <v>3118</v>
      </c>
    </row>
    <row r="30" spans="1:17">
      <c r="A30" s="1407" t="s">
        <v>3198</v>
      </c>
      <c r="B30" s="1407" t="s">
        <v>3066</v>
      </c>
      <c r="C30" s="1407" t="s">
        <v>3113</v>
      </c>
      <c r="D30" s="1407">
        <v>18959.82</v>
      </c>
      <c r="E30" s="1407">
        <v>28440</v>
      </c>
      <c r="F30" s="1407" t="s">
        <v>3139</v>
      </c>
      <c r="G30" s="1407" t="s">
        <v>3115</v>
      </c>
      <c r="H30" s="1407" t="s">
        <v>3158</v>
      </c>
      <c r="I30" s="1407" t="s">
        <v>3199</v>
      </c>
      <c r="J30" s="1407" t="s">
        <v>3199</v>
      </c>
      <c r="K30" s="1407">
        <v>3118.96</v>
      </c>
      <c r="L30" s="1407">
        <v>3118.96</v>
      </c>
      <c r="M30" s="1407">
        <v>1096.68</v>
      </c>
      <c r="N30" s="1407">
        <f t="shared" si="0"/>
        <v>1645</v>
      </c>
      <c r="O30" s="1407">
        <v>0</v>
      </c>
      <c r="P30" s="1407" t="s">
        <v>3200</v>
      </c>
      <c r="Q30" s="1407" t="s">
        <v>3118</v>
      </c>
    </row>
    <row r="31" spans="1:17">
      <c r="A31" s="1407" t="s">
        <v>3201</v>
      </c>
      <c r="B31" s="1407" t="s">
        <v>3066</v>
      </c>
      <c r="C31" s="1407" t="s">
        <v>3113</v>
      </c>
      <c r="D31" s="1407">
        <v>10922.9</v>
      </c>
      <c r="E31" s="1407">
        <v>16384.349999999999</v>
      </c>
      <c r="F31" s="1407" t="s">
        <v>3139</v>
      </c>
      <c r="G31" s="1407" t="s">
        <v>3115</v>
      </c>
      <c r="H31" s="1407" t="s">
        <v>3113</v>
      </c>
      <c r="I31" s="1407" t="s">
        <v>3202</v>
      </c>
      <c r="J31" s="1407" t="s">
        <v>3202</v>
      </c>
      <c r="K31" s="1407">
        <v>1651.53</v>
      </c>
      <c r="L31" s="1407">
        <v>1651.53</v>
      </c>
      <c r="M31" s="1407">
        <v>1008</v>
      </c>
      <c r="N31" s="1407">
        <f t="shared" si="0"/>
        <v>1512</v>
      </c>
      <c r="O31" s="1407">
        <v>0</v>
      </c>
      <c r="P31" s="1407" t="s">
        <v>3203</v>
      </c>
      <c r="Q31" s="1407" t="s">
        <v>3118</v>
      </c>
    </row>
    <row r="32" spans="1:17">
      <c r="A32" s="1407" t="s">
        <v>3204</v>
      </c>
      <c r="B32" s="1407" t="s">
        <v>3066</v>
      </c>
      <c r="C32" s="1407" t="s">
        <v>3113</v>
      </c>
      <c r="D32" s="1407">
        <v>40936.25</v>
      </c>
      <c r="E32" s="1407">
        <v>73685.25</v>
      </c>
      <c r="F32" s="1407" t="s">
        <v>3126</v>
      </c>
      <c r="G32" s="1407" t="s">
        <v>3115</v>
      </c>
      <c r="H32" s="1407" t="s">
        <v>3113</v>
      </c>
      <c r="I32" s="1407" t="s">
        <v>3202</v>
      </c>
      <c r="J32" s="1407" t="s">
        <v>3202</v>
      </c>
      <c r="K32" s="1407">
        <v>5349.55</v>
      </c>
      <c r="L32" s="1407">
        <v>5349.55</v>
      </c>
      <c r="M32" s="1407">
        <v>726</v>
      </c>
      <c r="N32" s="1407">
        <f t="shared" si="0"/>
        <v>1307</v>
      </c>
      <c r="O32" s="1407">
        <v>0</v>
      </c>
      <c r="P32" s="1407" t="s">
        <v>3205</v>
      </c>
      <c r="Q32" s="1407" t="s">
        <v>3118</v>
      </c>
    </row>
    <row r="33" spans="1:17">
      <c r="A33" s="1407" t="s">
        <v>3206</v>
      </c>
      <c r="B33" s="1407" t="s">
        <v>3066</v>
      </c>
      <c r="C33" s="1407" t="s">
        <v>3113</v>
      </c>
      <c r="D33" s="1407">
        <v>17789.3</v>
      </c>
      <c r="E33" s="1407">
        <v>26683.95</v>
      </c>
      <c r="F33" s="1407" t="s">
        <v>3139</v>
      </c>
      <c r="G33" s="1407" t="s">
        <v>3115</v>
      </c>
      <c r="H33" s="1407" t="s">
        <v>3113</v>
      </c>
      <c r="I33" s="1407" t="s">
        <v>3207</v>
      </c>
      <c r="J33" s="1407" t="s">
        <v>3207</v>
      </c>
      <c r="K33" s="1407">
        <v>1566.34</v>
      </c>
      <c r="L33" s="1407">
        <v>1566.34</v>
      </c>
      <c r="M33" s="1407">
        <v>587</v>
      </c>
      <c r="N33" s="1407">
        <f t="shared" si="0"/>
        <v>880</v>
      </c>
      <c r="O33" s="1407">
        <v>0</v>
      </c>
      <c r="P33" s="1407" t="s">
        <v>3208</v>
      </c>
      <c r="Q33" s="1407" t="s">
        <v>3118</v>
      </c>
    </row>
    <row r="34" spans="1:17">
      <c r="A34" s="1407" t="s">
        <v>3209</v>
      </c>
      <c r="B34" s="1407" t="s">
        <v>3066</v>
      </c>
      <c r="C34" s="1407" t="s">
        <v>3113</v>
      </c>
      <c r="D34" s="1407">
        <v>16585.7</v>
      </c>
      <c r="E34" s="1407">
        <v>24878.55</v>
      </c>
      <c r="F34" s="1407" t="s">
        <v>3139</v>
      </c>
      <c r="G34" s="1407" t="s">
        <v>3115</v>
      </c>
      <c r="H34" s="1407" t="s">
        <v>3113</v>
      </c>
      <c r="I34" s="1407" t="s">
        <v>3210</v>
      </c>
      <c r="J34" s="1407" t="s">
        <v>3210</v>
      </c>
      <c r="K34" s="1407">
        <v>1460.36</v>
      </c>
      <c r="L34" s="1407">
        <v>1460.36</v>
      </c>
      <c r="M34" s="1407">
        <v>587</v>
      </c>
      <c r="N34" s="1407">
        <f t="shared" si="0"/>
        <v>880</v>
      </c>
      <c r="O34" s="1407">
        <v>0</v>
      </c>
      <c r="P34" s="1407" t="s">
        <v>3211</v>
      </c>
      <c r="Q34" s="1407" t="s">
        <v>3118</v>
      </c>
    </row>
    <row r="35" spans="1:17">
      <c r="A35" s="1407" t="s">
        <v>3212</v>
      </c>
      <c r="B35" s="1407" t="s">
        <v>3066</v>
      </c>
      <c r="C35" s="1407" t="s">
        <v>3113</v>
      </c>
      <c r="D35" s="1407">
        <v>33687.910000000003</v>
      </c>
      <c r="E35" s="1407">
        <v>50532</v>
      </c>
      <c r="F35" s="1407" t="s">
        <v>3139</v>
      </c>
      <c r="G35" s="1407" t="s">
        <v>3115</v>
      </c>
      <c r="H35" s="1407" t="s">
        <v>3213</v>
      </c>
      <c r="I35" s="1407" t="s">
        <v>3214</v>
      </c>
      <c r="J35" s="1407" t="s">
        <v>3214</v>
      </c>
      <c r="K35" s="1407">
        <v>6324.09</v>
      </c>
      <c r="L35" s="1407">
        <v>6324.09</v>
      </c>
      <c r="M35" s="1407">
        <v>1251.5</v>
      </c>
      <c r="N35" s="1407">
        <f t="shared" si="0"/>
        <v>1877</v>
      </c>
      <c r="O35" s="1407">
        <v>0</v>
      </c>
      <c r="P35" s="1407" t="s">
        <v>3215</v>
      </c>
      <c r="Q35" s="1407" t="s">
        <v>3118</v>
      </c>
    </row>
    <row r="36" spans="1:17">
      <c r="A36" s="1407" t="s">
        <v>3216</v>
      </c>
      <c r="B36" s="1407" t="s">
        <v>3066</v>
      </c>
      <c r="C36" s="1407" t="s">
        <v>3113</v>
      </c>
      <c r="D36" s="1407">
        <v>26114.2</v>
      </c>
      <c r="E36" s="1407">
        <v>39171.300000000003</v>
      </c>
      <c r="F36" s="1407">
        <v>1.5</v>
      </c>
      <c r="G36" s="1407" t="s">
        <v>3115</v>
      </c>
      <c r="H36" s="1407" t="s">
        <v>6</v>
      </c>
      <c r="I36" s="1407" t="s">
        <v>3217</v>
      </c>
      <c r="J36" s="1407" t="s">
        <v>3217</v>
      </c>
      <c r="K36" s="1407">
        <v>4230.5</v>
      </c>
      <c r="L36" s="1407">
        <v>4230.5</v>
      </c>
      <c r="M36" s="1407">
        <v>1080</v>
      </c>
      <c r="N36" s="1407">
        <f t="shared" si="0"/>
        <v>1620</v>
      </c>
      <c r="O36" s="1407">
        <v>0</v>
      </c>
      <c r="P36" s="1407" t="s">
        <v>3205</v>
      </c>
      <c r="Q36" s="1407" t="s">
        <v>3118</v>
      </c>
    </row>
    <row r="37" spans="1:17">
      <c r="A37" s="1407" t="s">
        <v>3218</v>
      </c>
      <c r="B37" s="1407" t="s">
        <v>3066</v>
      </c>
      <c r="C37" s="1407" t="s">
        <v>3113</v>
      </c>
      <c r="D37" s="1407">
        <v>6828.9</v>
      </c>
      <c r="E37" s="1407">
        <v>10243.35</v>
      </c>
      <c r="F37" s="1407" t="s">
        <v>3139</v>
      </c>
      <c r="G37" s="1407" t="s">
        <v>3115</v>
      </c>
      <c r="H37" s="1407" t="s">
        <v>3113</v>
      </c>
      <c r="I37" s="1407" t="s">
        <v>3219</v>
      </c>
      <c r="J37" s="1407" t="s">
        <v>3219</v>
      </c>
      <c r="K37" s="1407">
        <v>743.66</v>
      </c>
      <c r="L37" s="1407">
        <v>743.66</v>
      </c>
      <c r="M37" s="1407">
        <v>726</v>
      </c>
      <c r="N37" s="1407">
        <f t="shared" si="0"/>
        <v>1089</v>
      </c>
      <c r="O37" s="1407">
        <v>0</v>
      </c>
      <c r="P37" s="1407" t="s">
        <v>3220</v>
      </c>
      <c r="Q37" s="1407" t="s">
        <v>3118</v>
      </c>
    </row>
    <row r="38" spans="1:17">
      <c r="A38" s="1407" t="s">
        <v>3221</v>
      </c>
      <c r="B38" s="1407" t="s">
        <v>3066</v>
      </c>
      <c r="C38" s="1407" t="s">
        <v>3113</v>
      </c>
      <c r="D38" s="1407">
        <v>47662.6</v>
      </c>
      <c r="E38" s="1407">
        <v>95325.2</v>
      </c>
      <c r="F38" s="1407" t="s">
        <v>3168</v>
      </c>
      <c r="G38" s="1407" t="s">
        <v>3115</v>
      </c>
      <c r="H38" s="1407" t="s">
        <v>3113</v>
      </c>
      <c r="I38" s="1407" t="s">
        <v>3222</v>
      </c>
      <c r="J38" s="1407" t="s">
        <v>3222</v>
      </c>
      <c r="K38" s="1407">
        <v>5595.59</v>
      </c>
      <c r="L38" s="1407">
        <v>5595.59</v>
      </c>
      <c r="M38" s="1407">
        <v>587</v>
      </c>
      <c r="N38" s="1407">
        <f t="shared" si="0"/>
        <v>1174</v>
      </c>
      <c r="O38" s="1407">
        <v>0</v>
      </c>
      <c r="P38" s="1407" t="s">
        <v>3205</v>
      </c>
      <c r="Q38" s="1407" t="s">
        <v>3118</v>
      </c>
    </row>
    <row r="39" spans="1:17">
      <c r="A39" s="1407" t="s">
        <v>3223</v>
      </c>
      <c r="B39" s="1407" t="s">
        <v>3066</v>
      </c>
      <c r="C39" s="1407" t="s">
        <v>3113</v>
      </c>
      <c r="D39" s="1407">
        <v>35138.400000000001</v>
      </c>
      <c r="E39" s="1407">
        <v>59735.28</v>
      </c>
      <c r="F39" s="1407" t="s">
        <v>3187</v>
      </c>
      <c r="G39" s="1407" t="s">
        <v>3115</v>
      </c>
      <c r="H39" s="1407" t="s">
        <v>3113</v>
      </c>
      <c r="I39" s="1407" t="s">
        <v>3222</v>
      </c>
      <c r="J39" s="1407" t="s">
        <v>3222</v>
      </c>
      <c r="K39" s="1407">
        <v>4336.7700000000004</v>
      </c>
      <c r="L39" s="1407">
        <v>4336.7700000000004</v>
      </c>
      <c r="M39" s="1407">
        <v>726</v>
      </c>
      <c r="N39" s="1407">
        <f t="shared" si="0"/>
        <v>1234</v>
      </c>
      <c r="O39" s="1407">
        <v>0</v>
      </c>
      <c r="P39" s="1407" t="s">
        <v>3224</v>
      </c>
      <c r="Q39" s="1407" t="s">
        <v>3118</v>
      </c>
    </row>
    <row r="40" spans="1:17">
      <c r="A40" s="1407" t="s">
        <v>3223</v>
      </c>
      <c r="B40" s="1407" t="s">
        <v>3066</v>
      </c>
      <c r="C40" s="1407" t="s">
        <v>3113</v>
      </c>
      <c r="D40" s="1407">
        <v>47778.8</v>
      </c>
      <c r="E40" s="1407">
        <v>95557.6</v>
      </c>
      <c r="F40" s="1407" t="s">
        <v>3114</v>
      </c>
      <c r="G40" s="1407" t="s">
        <v>3115</v>
      </c>
      <c r="H40" s="1407" t="s">
        <v>3113</v>
      </c>
      <c r="I40" s="1407" t="s">
        <v>3222</v>
      </c>
      <c r="J40" s="1407" t="s">
        <v>3222</v>
      </c>
      <c r="K40" s="1407">
        <v>5609.22</v>
      </c>
      <c r="L40" s="1407">
        <v>5609.22</v>
      </c>
      <c r="M40" s="1407">
        <v>587</v>
      </c>
      <c r="N40" s="1407">
        <f t="shared" si="0"/>
        <v>1174</v>
      </c>
      <c r="O40" s="1407">
        <v>0</v>
      </c>
      <c r="P40" s="1407" t="s">
        <v>3225</v>
      </c>
      <c r="Q40" s="1407" t="s">
        <v>3118</v>
      </c>
    </row>
    <row r="41" spans="1:17">
      <c r="A41" s="1407" t="s">
        <v>3226</v>
      </c>
      <c r="B41" s="1407" t="s">
        <v>3066</v>
      </c>
      <c r="C41" s="1407" t="s">
        <v>3113</v>
      </c>
      <c r="D41" s="1407">
        <v>82980.600000000006</v>
      </c>
      <c r="E41" s="1407">
        <v>132769</v>
      </c>
      <c r="F41" s="1407" t="s">
        <v>3227</v>
      </c>
      <c r="G41" s="1407" t="s">
        <v>3115</v>
      </c>
      <c r="H41" s="1407" t="s">
        <v>3113</v>
      </c>
      <c r="I41" s="1407" t="s">
        <v>3222</v>
      </c>
      <c r="J41" s="1407" t="s">
        <v>3222</v>
      </c>
      <c r="K41" s="1407">
        <v>7793.53</v>
      </c>
      <c r="L41" s="1407">
        <v>7793.53</v>
      </c>
      <c r="M41" s="1407">
        <v>587</v>
      </c>
      <c r="N41" s="1407">
        <f t="shared" si="0"/>
        <v>939</v>
      </c>
      <c r="O41" s="1407">
        <v>0</v>
      </c>
      <c r="P41" s="1407" t="s">
        <v>3228</v>
      </c>
      <c r="Q41" s="1407" t="s">
        <v>3118</v>
      </c>
    </row>
    <row r="42" spans="1:17">
      <c r="A42" s="1407" t="s">
        <v>3229</v>
      </c>
      <c r="B42" s="1407" t="s">
        <v>3066</v>
      </c>
      <c r="C42" s="1407" t="s">
        <v>3113</v>
      </c>
      <c r="D42" s="1407">
        <v>104438.5</v>
      </c>
      <c r="E42" s="1407">
        <v>156658</v>
      </c>
      <c r="F42" s="1407">
        <v>1.5</v>
      </c>
      <c r="G42" s="1407" t="s">
        <v>3115</v>
      </c>
      <c r="H42" s="1407" t="s">
        <v>3179</v>
      </c>
      <c r="I42" s="1407" t="s">
        <v>3230</v>
      </c>
      <c r="J42" s="1407" t="s">
        <v>3230</v>
      </c>
      <c r="K42" s="1407">
        <v>16825.060000000001</v>
      </c>
      <c r="L42" s="1407">
        <v>16825.060000000001</v>
      </c>
      <c r="M42" s="1407">
        <v>1074</v>
      </c>
      <c r="N42" s="1407">
        <f t="shared" si="0"/>
        <v>1611</v>
      </c>
      <c r="O42" s="1407">
        <v>0</v>
      </c>
      <c r="P42" s="1407" t="s">
        <v>3231</v>
      </c>
      <c r="Q42" s="1407" t="s">
        <v>3118</v>
      </c>
    </row>
    <row r="43" spans="1:17">
      <c r="A43" s="1407" t="s">
        <v>3232</v>
      </c>
      <c r="B43" s="1407" t="s">
        <v>3066</v>
      </c>
      <c r="C43" s="1407" t="s">
        <v>3113</v>
      </c>
      <c r="D43" s="1407">
        <v>90013.22</v>
      </c>
      <c r="E43" s="1407">
        <v>135020</v>
      </c>
      <c r="F43" s="1407">
        <v>1.5</v>
      </c>
      <c r="G43" s="1407" t="s">
        <v>3115</v>
      </c>
      <c r="H43" s="1407" t="s">
        <v>3179</v>
      </c>
      <c r="I43" s="1407" t="s">
        <v>3230</v>
      </c>
      <c r="J43" s="1407" t="s">
        <v>3230</v>
      </c>
      <c r="K43" s="1407">
        <v>13936.72</v>
      </c>
      <c r="L43" s="1407">
        <v>13936.72</v>
      </c>
      <c r="M43" s="1407">
        <v>1032.2</v>
      </c>
      <c r="N43" s="1407">
        <f t="shared" si="0"/>
        <v>1548</v>
      </c>
      <c r="O43" s="1407">
        <v>0</v>
      </c>
      <c r="P43" s="1407" t="s">
        <v>3233</v>
      </c>
      <c r="Q43" s="1407" t="s">
        <v>3118</v>
      </c>
    </row>
    <row r="44" spans="1:17">
      <c r="A44" s="1407" t="s">
        <v>3234</v>
      </c>
      <c r="B44" s="1407" t="s">
        <v>3066</v>
      </c>
      <c r="C44" s="1407" t="s">
        <v>3113</v>
      </c>
      <c r="D44" s="1407">
        <v>181625.8</v>
      </c>
      <c r="E44" s="1407">
        <v>181625.8</v>
      </c>
      <c r="F44" s="1407">
        <v>1</v>
      </c>
      <c r="G44" s="1407" t="s">
        <v>3115</v>
      </c>
      <c r="H44" s="1407" t="s">
        <v>6</v>
      </c>
      <c r="I44" s="1407" t="s">
        <v>3235</v>
      </c>
      <c r="J44" s="1407" t="s">
        <v>3235</v>
      </c>
      <c r="K44" s="1407">
        <v>10661.43</v>
      </c>
      <c r="L44" s="1407">
        <v>10661.43</v>
      </c>
      <c r="M44" s="1407">
        <v>587</v>
      </c>
      <c r="N44" s="1407">
        <f t="shared" si="0"/>
        <v>587</v>
      </c>
      <c r="O44" s="1407">
        <v>0</v>
      </c>
      <c r="P44" s="1407" t="s">
        <v>3205</v>
      </c>
      <c r="Q44" s="1407" t="s">
        <v>3118</v>
      </c>
    </row>
    <row r="45" spans="1:17">
      <c r="A45" s="1407" t="s">
        <v>3236</v>
      </c>
      <c r="B45" s="1407" t="s">
        <v>3066</v>
      </c>
      <c r="C45" s="1407" t="s">
        <v>3113</v>
      </c>
      <c r="D45" s="1407">
        <v>18550.189999999999</v>
      </c>
      <c r="E45" s="1407">
        <v>18550</v>
      </c>
      <c r="F45" s="1407">
        <v>1</v>
      </c>
      <c r="G45" s="1407" t="s">
        <v>3115</v>
      </c>
      <c r="H45" s="1407" t="s">
        <v>3179</v>
      </c>
      <c r="I45" s="1407" t="s">
        <v>3237</v>
      </c>
      <c r="J45" s="1407" t="s">
        <v>3237</v>
      </c>
      <c r="K45" s="1407">
        <v>2221.2600000000002</v>
      </c>
      <c r="L45" s="1407">
        <v>2221.2600000000002</v>
      </c>
      <c r="M45" s="1407">
        <v>1197.45</v>
      </c>
      <c r="N45" s="1407">
        <f t="shared" si="0"/>
        <v>1197</v>
      </c>
      <c r="O45" s="1407">
        <v>0</v>
      </c>
      <c r="P45" s="1407" t="s">
        <v>3238</v>
      </c>
      <c r="Q45" s="1407" t="s">
        <v>3118</v>
      </c>
    </row>
    <row r="46" spans="1:17">
      <c r="A46" s="1407" t="s">
        <v>3239</v>
      </c>
      <c r="B46" s="1407" t="s">
        <v>3066</v>
      </c>
      <c r="C46" s="1407" t="s">
        <v>3113</v>
      </c>
      <c r="D46" s="1407">
        <v>101774.9</v>
      </c>
      <c r="E46" s="1407">
        <v>152662.29999999999</v>
      </c>
      <c r="F46" s="1407">
        <v>1.5</v>
      </c>
      <c r="G46" s="1407" t="s">
        <v>3115</v>
      </c>
      <c r="H46" s="1407" t="s">
        <v>6</v>
      </c>
      <c r="I46" s="1407" t="s">
        <v>3240</v>
      </c>
      <c r="J46" s="1407" t="s">
        <v>3240</v>
      </c>
      <c r="K46" s="1407">
        <v>8961.2800000000007</v>
      </c>
      <c r="L46" s="1407">
        <v>8961.2800000000007</v>
      </c>
      <c r="M46" s="1407">
        <v>587</v>
      </c>
      <c r="N46" s="1407">
        <f t="shared" si="0"/>
        <v>881</v>
      </c>
      <c r="O46" s="1407">
        <v>0</v>
      </c>
      <c r="P46" s="1407" t="s">
        <v>3205</v>
      </c>
      <c r="Q46" s="1407" t="s">
        <v>3118</v>
      </c>
    </row>
    <row r="47" spans="1:17">
      <c r="A47" s="1407" t="s">
        <v>3241</v>
      </c>
      <c r="B47" s="1407" t="s">
        <v>3066</v>
      </c>
      <c r="C47" s="1407" t="s">
        <v>3113</v>
      </c>
      <c r="D47" s="1407">
        <v>77958.5</v>
      </c>
      <c r="E47" s="1407">
        <v>155917</v>
      </c>
      <c r="F47" s="1407">
        <v>2</v>
      </c>
      <c r="G47" s="1407" t="s">
        <v>3115</v>
      </c>
      <c r="H47" s="1407" t="s">
        <v>6</v>
      </c>
      <c r="I47" s="1407" t="s">
        <v>3240</v>
      </c>
      <c r="J47" s="1407" t="s">
        <v>3240</v>
      </c>
      <c r="K47" s="1407">
        <v>9152.32</v>
      </c>
      <c r="L47" s="1407">
        <v>9152.32</v>
      </c>
      <c r="M47" s="1407">
        <v>587</v>
      </c>
      <c r="N47" s="1407">
        <f t="shared" si="0"/>
        <v>1174</v>
      </c>
      <c r="O47" s="1407">
        <v>0</v>
      </c>
      <c r="P47" s="1407" t="s">
        <v>3205</v>
      </c>
      <c r="Q47" s="1407" t="s">
        <v>3118</v>
      </c>
    </row>
    <row r="48" spans="1:17">
      <c r="A48" s="1407" t="s">
        <v>3242</v>
      </c>
      <c r="B48" s="1407" t="s">
        <v>3066</v>
      </c>
      <c r="C48" s="1407" t="s">
        <v>3113</v>
      </c>
      <c r="D48" s="1407">
        <v>9951.4</v>
      </c>
      <c r="E48" s="1407">
        <v>19902.8</v>
      </c>
      <c r="F48" s="1407">
        <v>2</v>
      </c>
      <c r="G48" s="1407" t="s">
        <v>3115</v>
      </c>
      <c r="H48" s="1407" t="s">
        <v>6</v>
      </c>
      <c r="I48" s="1407" t="s">
        <v>3240</v>
      </c>
      <c r="J48" s="1407" t="s">
        <v>3240</v>
      </c>
      <c r="K48" s="1407">
        <v>1444.94</v>
      </c>
      <c r="L48" s="1407">
        <v>1444.94</v>
      </c>
      <c r="M48" s="1407">
        <v>726</v>
      </c>
      <c r="N48" s="1407">
        <f t="shared" si="0"/>
        <v>1452</v>
      </c>
      <c r="O48" s="1407">
        <v>0</v>
      </c>
      <c r="P48" s="1407" t="s">
        <v>3243</v>
      </c>
      <c r="Q48" s="1407" t="s">
        <v>3118</v>
      </c>
    </row>
    <row r="49" spans="1:19">
      <c r="A49" s="1407" t="s">
        <v>3244</v>
      </c>
      <c r="B49" s="1407" t="s">
        <v>3066</v>
      </c>
      <c r="C49" s="1407" t="s">
        <v>3113</v>
      </c>
      <c r="D49" s="1407">
        <v>84655.5</v>
      </c>
      <c r="E49" s="1407">
        <v>169311</v>
      </c>
      <c r="F49" s="1407">
        <v>2</v>
      </c>
      <c r="G49" s="1407" t="s">
        <v>3115</v>
      </c>
      <c r="H49" s="1407" t="s">
        <v>6</v>
      </c>
      <c r="I49" s="1407" t="s">
        <v>3240</v>
      </c>
      <c r="J49" s="1407" t="s">
        <v>3240</v>
      </c>
      <c r="K49" s="1407">
        <v>9938.5499999999993</v>
      </c>
      <c r="L49" s="1407">
        <v>9938.5499999999993</v>
      </c>
      <c r="M49" s="1407">
        <v>587</v>
      </c>
      <c r="N49" s="1407">
        <f t="shared" si="0"/>
        <v>1174</v>
      </c>
      <c r="O49" s="1407">
        <v>0</v>
      </c>
      <c r="P49" s="1407" t="s">
        <v>3205</v>
      </c>
      <c r="Q49" s="1407" t="s">
        <v>3118</v>
      </c>
    </row>
    <row r="50" spans="1:19">
      <c r="A50" s="1407" t="s">
        <v>3245</v>
      </c>
      <c r="B50" s="1407" t="s">
        <v>3066</v>
      </c>
      <c r="C50" s="1407" t="s">
        <v>3113</v>
      </c>
      <c r="D50" s="1407">
        <v>13485.05</v>
      </c>
      <c r="E50" s="1407">
        <v>26970</v>
      </c>
      <c r="F50" s="1407">
        <v>2</v>
      </c>
      <c r="G50" s="1407" t="s">
        <v>3115</v>
      </c>
      <c r="H50" s="1407" t="s">
        <v>3179</v>
      </c>
      <c r="I50" s="1407" t="s">
        <v>3246</v>
      </c>
      <c r="J50" s="1407" t="s">
        <v>3246</v>
      </c>
      <c r="K50" s="1407">
        <v>3073.38</v>
      </c>
      <c r="L50" s="1407">
        <v>3073.38</v>
      </c>
      <c r="M50" s="1407">
        <v>1139.55</v>
      </c>
      <c r="N50" s="1407">
        <f t="shared" si="0"/>
        <v>2279</v>
      </c>
      <c r="O50" s="1407">
        <v>0</v>
      </c>
      <c r="P50" s="1407" t="s">
        <v>3247</v>
      </c>
      <c r="Q50" s="1407" t="s">
        <v>3118</v>
      </c>
    </row>
    <row r="51" spans="1:19">
      <c r="A51" s="1407" t="s">
        <v>3248</v>
      </c>
      <c r="B51" s="1407" t="s">
        <v>3066</v>
      </c>
      <c r="C51" s="1407" t="s">
        <v>3113</v>
      </c>
      <c r="D51" s="1407">
        <v>73230.3</v>
      </c>
      <c r="E51" s="1407">
        <v>124491.5</v>
      </c>
      <c r="F51" s="1407" t="s">
        <v>3249</v>
      </c>
      <c r="G51" s="1407" t="s">
        <v>3115</v>
      </c>
      <c r="H51" s="1407" t="s">
        <v>6</v>
      </c>
      <c r="I51" s="1407" t="s">
        <v>3250</v>
      </c>
      <c r="J51" s="1407" t="s">
        <v>3250</v>
      </c>
      <c r="K51" s="1407">
        <v>9038.07</v>
      </c>
      <c r="L51" s="1407">
        <v>9038.07</v>
      </c>
      <c r="M51" s="1407">
        <v>726</v>
      </c>
      <c r="N51" s="1407">
        <f t="shared" si="0"/>
        <v>1234</v>
      </c>
      <c r="O51" s="1407">
        <v>0</v>
      </c>
      <c r="P51" s="1407" t="s">
        <v>3251</v>
      </c>
      <c r="Q51" s="1407" t="s">
        <v>3161</v>
      </c>
    </row>
    <row r="52" spans="1:19">
      <c r="R52" s="3099" t="s">
        <v>3304</v>
      </c>
      <c r="S52" s="3099" t="s">
        <v>3303</v>
      </c>
    </row>
    <row r="53" spans="1:19" s="3100" customFormat="1">
      <c r="A53" s="3100" t="s">
        <v>3190</v>
      </c>
      <c r="B53" s="3100" t="s">
        <v>3066</v>
      </c>
      <c r="C53" s="3100" t="s">
        <v>3113</v>
      </c>
      <c r="D53" s="3100">
        <v>10730.4</v>
      </c>
      <c r="E53" s="3100">
        <v>21460.799999999999</v>
      </c>
      <c r="F53" s="3100" t="s">
        <v>3114</v>
      </c>
      <c r="G53" s="3100" t="s">
        <v>3115</v>
      </c>
      <c r="H53" s="3100" t="s">
        <v>3113</v>
      </c>
      <c r="I53" s="3100" t="s">
        <v>3191</v>
      </c>
      <c r="J53" s="3100" t="s">
        <v>3191</v>
      </c>
      <c r="K53" s="3100">
        <v>1558.04</v>
      </c>
      <c r="L53" s="3100">
        <v>1558.04</v>
      </c>
      <c r="M53" s="3100">
        <v>726</v>
      </c>
      <c r="N53" s="3100">
        <f t="shared" ref="N53" si="1">ROUND(L53*10000/D53,0)</f>
        <v>1452</v>
      </c>
      <c r="O53" s="3100">
        <v>0</v>
      </c>
      <c r="P53" s="3100" t="s">
        <v>3192</v>
      </c>
      <c r="Q53" s="3100" t="s">
        <v>3118</v>
      </c>
      <c r="R53" s="3100">
        <f>ROUND(M53*年期修正系数!$F$10/年期修正系数!$F$9,0)</f>
        <v>1103</v>
      </c>
      <c r="S53" s="3100">
        <f>ROUND(N53*年期修正系数!$F$10/年期修正系数!$F$9,0)</f>
        <v>2206</v>
      </c>
    </row>
    <row r="54" spans="1:19" s="3100" customFormat="1">
      <c r="A54" s="3100" t="s">
        <v>3167</v>
      </c>
      <c r="B54" s="3100" t="s">
        <v>3066</v>
      </c>
      <c r="C54" s="3100" t="s">
        <v>3113</v>
      </c>
      <c r="D54" s="3100">
        <v>13606.6</v>
      </c>
      <c r="E54" s="3100">
        <v>27213.200000000001</v>
      </c>
      <c r="F54" s="3100" t="s">
        <v>3168</v>
      </c>
      <c r="G54" s="3100" t="s">
        <v>3115</v>
      </c>
      <c r="H54" s="3100" t="s">
        <v>3113</v>
      </c>
      <c r="I54" s="3100" t="s">
        <v>3169</v>
      </c>
      <c r="J54" s="3100" t="s">
        <v>3169</v>
      </c>
      <c r="K54" s="3100">
        <v>1975.68</v>
      </c>
      <c r="L54" s="3100">
        <v>1975.68</v>
      </c>
      <c r="M54" s="3100">
        <v>726</v>
      </c>
      <c r="N54" s="3100">
        <f t="shared" ref="N54:N55" si="2">ROUND(L54*10000/D54,0)</f>
        <v>1452</v>
      </c>
      <c r="O54" s="3100">
        <v>0</v>
      </c>
      <c r="P54" s="3100" t="s">
        <v>3170</v>
      </c>
      <c r="Q54" s="3100" t="s">
        <v>3161</v>
      </c>
      <c r="R54" s="3100">
        <f>ROUND(M54*年期修正系数!$F$10/年期修正系数!$F$9,0)</f>
        <v>1103</v>
      </c>
      <c r="S54" s="3100">
        <f>ROUND(N54*年期修正系数!$F$10/年期修正系数!$F$9,0)</f>
        <v>2206</v>
      </c>
    </row>
    <row r="55" spans="1:19" s="3100" customFormat="1">
      <c r="A55" s="3100" t="s">
        <v>3186</v>
      </c>
      <c r="B55" s="3100" t="s">
        <v>3066</v>
      </c>
      <c r="C55" s="3100" t="s">
        <v>3113</v>
      </c>
      <c r="D55" s="3100">
        <v>30911.9</v>
      </c>
      <c r="E55" s="3100">
        <v>52550.23</v>
      </c>
      <c r="F55" s="3100" t="s">
        <v>3187</v>
      </c>
      <c r="G55" s="3100" t="s">
        <v>3115</v>
      </c>
      <c r="H55" s="3100" t="s">
        <v>3158</v>
      </c>
      <c r="I55" s="3100" t="s">
        <v>3188</v>
      </c>
      <c r="J55" s="3100" t="s">
        <v>3188</v>
      </c>
      <c r="K55" s="3100">
        <v>3815.15</v>
      </c>
      <c r="L55" s="3100">
        <v>3815.15</v>
      </c>
      <c r="M55" s="3100">
        <v>726</v>
      </c>
      <c r="N55" s="3100">
        <f t="shared" si="2"/>
        <v>1234</v>
      </c>
      <c r="O55" s="3100">
        <v>0</v>
      </c>
      <c r="P55" s="3100" t="s">
        <v>3189</v>
      </c>
      <c r="Q55" s="3100" t="s">
        <v>3118</v>
      </c>
      <c r="R55" s="3100">
        <f>ROUND(M55*年期修正系数!$F$10/年期修正系数!$F$9,0)</f>
        <v>1103</v>
      </c>
      <c r="S55" s="3100">
        <f>ROUND(N55*年期修正系数!$F$10/年期修正系数!$F$9,0)</f>
        <v>1875</v>
      </c>
    </row>
    <row r="56" spans="1:19">
      <c r="S56" s="3107"/>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F29" sqref="F29"/>
    </sheetView>
  </sheetViews>
  <sheetFormatPr defaultRowHeight="13.5"/>
  <sheetData>
    <row r="1" spans="1:5">
      <c r="A1" s="3056" t="s">
        <v>3252</v>
      </c>
      <c r="B1" s="3056" t="s">
        <v>3253</v>
      </c>
      <c r="C1" s="3056" t="s">
        <v>3254</v>
      </c>
      <c r="D1" s="3056" t="s">
        <v>3255</v>
      </c>
      <c r="E1" s="3056" t="s">
        <v>3256</v>
      </c>
    </row>
    <row r="2" spans="1:5">
      <c r="A2" s="3057">
        <v>1</v>
      </c>
      <c r="B2" s="3056" t="s">
        <v>3257</v>
      </c>
      <c r="C2" s="3057">
        <v>2</v>
      </c>
      <c r="D2" s="3056" t="s">
        <v>3258</v>
      </c>
      <c r="E2" s="3057">
        <v>16365.43</v>
      </c>
    </row>
    <row r="3" spans="1:5">
      <c r="A3" s="3057">
        <v>2</v>
      </c>
      <c r="B3" s="3056" t="s">
        <v>3259</v>
      </c>
      <c r="C3" s="3057">
        <v>2</v>
      </c>
      <c r="D3" s="3056" t="s">
        <v>3258</v>
      </c>
      <c r="E3" s="3057">
        <v>16365.43</v>
      </c>
    </row>
    <row r="4" spans="1:5">
      <c r="A4" s="3057">
        <v>3</v>
      </c>
      <c r="B4" s="3056" t="s">
        <v>3260</v>
      </c>
      <c r="C4" s="3057">
        <v>2</v>
      </c>
      <c r="D4" s="3056" t="s">
        <v>3258</v>
      </c>
      <c r="E4" s="3057">
        <v>16632.32</v>
      </c>
    </row>
    <row r="5" spans="1:5">
      <c r="A5" s="3057">
        <v>4</v>
      </c>
      <c r="B5" s="3056" t="s">
        <v>3261</v>
      </c>
      <c r="C5" s="3057">
        <v>2</v>
      </c>
      <c r="D5" s="3056" t="s">
        <v>3258</v>
      </c>
      <c r="E5" s="3057">
        <v>16513.669999999998</v>
      </c>
    </row>
    <row r="6" spans="1:5">
      <c r="A6" s="3057">
        <v>5</v>
      </c>
      <c r="B6" s="3056" t="s">
        <v>3262</v>
      </c>
      <c r="C6" s="3056" t="s">
        <v>3263</v>
      </c>
      <c r="D6" s="3056" t="s">
        <v>3258</v>
      </c>
      <c r="E6" s="3057">
        <v>94679.59</v>
      </c>
    </row>
    <row r="7" spans="1:5">
      <c r="A7" s="3057">
        <v>6</v>
      </c>
      <c r="B7" s="3056" t="s">
        <v>3264</v>
      </c>
      <c r="C7" s="3056">
        <v>1</v>
      </c>
      <c r="D7" s="3056" t="s">
        <v>3258</v>
      </c>
      <c r="E7" s="3057">
        <v>6.98</v>
      </c>
    </row>
    <row r="8" spans="1:5">
      <c r="A8" s="3057">
        <v>7</v>
      </c>
      <c r="B8" s="3056" t="s">
        <v>3265</v>
      </c>
      <c r="C8" s="3056">
        <v>1</v>
      </c>
      <c r="D8" s="3056" t="s">
        <v>3258</v>
      </c>
      <c r="E8" s="3057">
        <v>18.059999999999999</v>
      </c>
    </row>
    <row r="9" spans="1:5">
      <c r="A9" s="3057">
        <v>8</v>
      </c>
      <c r="B9" s="3056" t="s">
        <v>3266</v>
      </c>
      <c r="C9" s="3056">
        <v>1</v>
      </c>
      <c r="D9" s="3056" t="s">
        <v>3258</v>
      </c>
      <c r="E9" s="3057">
        <v>18.059999999999999</v>
      </c>
    </row>
    <row r="10" spans="1:5">
      <c r="A10" s="3057">
        <v>9</v>
      </c>
      <c r="B10" s="3056" t="s">
        <v>3267</v>
      </c>
      <c r="C10" s="3056">
        <v>1</v>
      </c>
      <c r="D10" s="3056" t="s">
        <v>3258</v>
      </c>
      <c r="E10" s="3057">
        <v>18.059999999999999</v>
      </c>
    </row>
    <row r="11" spans="1:5">
      <c r="A11" s="3057">
        <v>10</v>
      </c>
      <c r="B11" s="3056" t="s">
        <v>3268</v>
      </c>
      <c r="C11" s="3056">
        <v>1</v>
      </c>
      <c r="D11" s="3056" t="s">
        <v>3258</v>
      </c>
      <c r="E11" s="3057">
        <v>6.98</v>
      </c>
    </row>
    <row r="12" spans="1:5">
      <c r="A12" s="3448" t="s">
        <v>3269</v>
      </c>
      <c r="B12" s="3449"/>
      <c r="C12" s="3449"/>
      <c r="D12" s="3450"/>
      <c r="E12" s="3057">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F39" sqref="F39"/>
    </sheetView>
  </sheetViews>
  <sheetFormatPr defaultRowHeight="13.5"/>
  <cols>
    <col min="2" max="2" width="14.625" bestFit="1" customWidth="1"/>
    <col min="4" max="4" width="12.5" customWidth="1"/>
  </cols>
  <sheetData>
    <row r="1" spans="1:6" ht="15" thickBot="1">
      <c r="A1" s="3058" t="s">
        <v>3270</v>
      </c>
      <c r="B1" s="3059">
        <f>项目基本情况!D3</f>
        <v>44249</v>
      </c>
      <c r="C1" s="3060"/>
      <c r="D1" s="3060"/>
      <c r="E1" s="3060"/>
      <c r="F1" s="3060"/>
    </row>
    <row r="2" spans="1:6" ht="40.5">
      <c r="A2" s="3061" t="s">
        <v>3271</v>
      </c>
      <c r="B2" s="3062" t="s">
        <v>3272</v>
      </c>
      <c r="C2" s="3063" t="s">
        <v>3273</v>
      </c>
      <c r="D2" s="3062" t="s">
        <v>3274</v>
      </c>
      <c r="E2" s="3064" t="s">
        <v>3275</v>
      </c>
      <c r="F2" s="3060"/>
    </row>
    <row r="3" spans="1:6" ht="14.25">
      <c r="A3" s="3065">
        <v>40</v>
      </c>
      <c r="B3" s="3066"/>
      <c r="C3" s="68">
        <f>ROUNDDOWN(MIN((B3-$B$1)/365,A3),2)</f>
        <v>-121.23</v>
      </c>
      <c r="D3" s="69">
        <f>IF(ISERROR(ROUND(POWER(1+E3,A3-C3)*(POWER(1+E3,C3)-1)/(POWER(1+E3,A3)-1),3)),0,ROUND(POWER(1+E3,A3-C3)*(POWER(1+E3,C3)-1)/(POWER(1+E3,A3)-1),3))</f>
        <v>0</v>
      </c>
      <c r="E3" s="3067"/>
      <c r="F3" s="3060"/>
    </row>
    <row r="4" spans="1:6" ht="14.25">
      <c r="A4" s="3065">
        <v>50</v>
      </c>
      <c r="B4" s="3068">
        <f>项目基本情况!G13</f>
        <v>60573</v>
      </c>
      <c r="C4" s="68">
        <f>ROUNDDOWN(MIN((B4-$B$1)/365,A4),2)</f>
        <v>44.72</v>
      </c>
      <c r="D4" s="69">
        <f>IF(ISERROR(ROUND(POWER(1+E4,A4-C4)*(POWER(1+E4,C4)-1)/(POWER(1+E4,A4)-1),3)),0,ROUND(POWER(1+E4,A4-C4)*(POWER(1+E4,C4)-1)/(POWER(1+E4,A4)-1),3))</f>
        <v>0.96699999999999997</v>
      </c>
      <c r="E4" s="3067">
        <f>'数据-取费表'!H6</f>
        <v>4.4999999999999998E-2</v>
      </c>
      <c r="F4" s="3060"/>
    </row>
    <row r="5" spans="1:6" ht="15" thickBot="1">
      <c r="A5" s="3069">
        <v>70</v>
      </c>
      <c r="B5" s="3070"/>
      <c r="C5" s="3071">
        <f>ROUNDDOWN(MIN((B5-$B$1)/365,A5),2)</f>
        <v>-121.23</v>
      </c>
      <c r="D5" s="3072">
        <f>IF(ISERROR(ROUND(POWER(1+E5,A5-C5)*(POWER(1+E5,C5)-1)/(POWER(1+E5,A5)-1),3)),0,ROUND(POWER(1+E5,A5-C5)*(POWER(1+E5,C5)-1)/(POWER(1+E5,A5)-1),3))</f>
        <v>0</v>
      </c>
      <c r="E5" s="3073"/>
      <c r="F5" s="3060"/>
    </row>
    <row r="6" spans="1:6" ht="14.25" thickBot="1">
      <c r="A6" s="3060"/>
      <c r="B6" s="3060"/>
      <c r="C6" s="3060"/>
      <c r="D6" s="3060"/>
      <c r="E6" s="3060"/>
      <c r="F6" s="3060"/>
    </row>
    <row r="7" spans="1:6" ht="14.25" thickBot="1">
      <c r="A7" s="3074" t="s">
        <v>3276</v>
      </c>
      <c r="B7" s="3075"/>
      <c r="C7" s="3076"/>
      <c r="D7" s="3076"/>
      <c r="E7" s="3076"/>
      <c r="F7" s="3076"/>
    </row>
    <row r="8" spans="1:6" ht="14.25" thickBot="1">
      <c r="A8" s="3451" t="s">
        <v>3277</v>
      </c>
      <c r="B8" s="3452"/>
      <c r="C8" s="3077"/>
      <c r="D8" s="3078" t="s">
        <v>3275</v>
      </c>
      <c r="E8" s="3077"/>
      <c r="F8" s="3079" t="s">
        <v>3274</v>
      </c>
    </row>
    <row r="9" spans="1:6" ht="14.25">
      <c r="A9" s="3080" t="s">
        <v>3278</v>
      </c>
      <c r="B9" s="3081">
        <v>20</v>
      </c>
      <c r="C9" s="3082" t="s">
        <v>3279</v>
      </c>
      <c r="D9" s="3097">
        <v>4.4999999999999998E-2</v>
      </c>
      <c r="E9" s="3082" t="s">
        <v>3280</v>
      </c>
      <c r="F9" s="3083">
        <f>1-(1/(POWER(1+D9,B9)))</f>
        <v>0.58535714031541541</v>
      </c>
    </row>
    <row r="10" spans="1:6" ht="15" thickBot="1">
      <c r="A10" s="3084" t="s">
        <v>3281</v>
      </c>
      <c r="B10" s="3085">
        <v>50</v>
      </c>
      <c r="C10" s="3086" t="s">
        <v>3282</v>
      </c>
      <c r="D10" s="3098">
        <v>4.4999999999999998E-2</v>
      </c>
      <c r="E10" s="3086" t="s">
        <v>3283</v>
      </c>
      <c r="F10" s="3087">
        <f>1-(1/(POWER(1+D10,B10)))</f>
        <v>0.88929035003434787</v>
      </c>
    </row>
    <row r="11" spans="1:6" ht="15" thickBot="1">
      <c r="A11" s="3088" t="s">
        <v>3284</v>
      </c>
      <c r="B11" s="3089"/>
      <c r="C11" s="3089"/>
      <c r="D11" s="3089"/>
      <c r="E11" s="3089"/>
      <c r="F11" s="3089"/>
    </row>
    <row r="12" spans="1:6" ht="14.25">
      <c r="A12" s="3080" t="s">
        <v>3285</v>
      </c>
      <c r="B12" s="3090">
        <f>[2]Sheet1!M18</f>
        <v>726</v>
      </c>
      <c r="C12" s="3060"/>
      <c r="D12" s="3060"/>
      <c r="E12" s="3091"/>
      <c r="F12" s="3091"/>
    </row>
    <row r="13" spans="1:6" ht="15" thickBot="1">
      <c r="A13" s="3084" t="s">
        <v>3286</v>
      </c>
      <c r="B13" s="3092">
        <f>ROUND(B12*F10/F9,2)</f>
        <v>1102.96</v>
      </c>
      <c r="C13" s="3093">
        <f>ROUND(F10/F9,4)</f>
        <v>1.5192000000000001</v>
      </c>
      <c r="D13" s="3060"/>
      <c r="E13" s="3091"/>
      <c r="F13" s="3091"/>
    </row>
    <row r="14" spans="1:6" ht="15" thickBot="1">
      <c r="A14" s="3088" t="s">
        <v>3287</v>
      </c>
      <c r="B14" s="3094"/>
      <c r="C14" s="3091"/>
      <c r="D14" s="3060"/>
      <c r="E14" s="3060"/>
      <c r="F14" s="3060"/>
    </row>
    <row r="15" spans="1:6" ht="14.25">
      <c r="A15" s="3082" t="s">
        <v>3286</v>
      </c>
      <c r="B15" s="3095">
        <v>4810</v>
      </c>
      <c r="C15" s="3091"/>
      <c r="D15" s="3060"/>
      <c r="E15" s="3060"/>
      <c r="F15" s="3060"/>
    </row>
    <row r="16" spans="1:6" ht="15" thickBot="1">
      <c r="A16" s="3086" t="s">
        <v>3285</v>
      </c>
      <c r="B16" s="3096">
        <f>ROUND(B15*F9/F10,2)</f>
        <v>3166.08</v>
      </c>
      <c r="C16" s="3093">
        <f>ROUND(F9/F10,4)</f>
        <v>0.65820000000000001</v>
      </c>
      <c r="D16" s="3060"/>
      <c r="E16" s="3060"/>
      <c r="F16" s="3060"/>
    </row>
  </sheetData>
  <mergeCells count="1">
    <mergeCell ref="A8:B8"/>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29" t="str">
        <f>IF(项目基本情况!B9="房地产市场价值","估价结果一览表","结果表-2")</f>
        <v>结果表-2</v>
      </c>
      <c r="B1" s="3129"/>
      <c r="C1" s="3129"/>
      <c r="D1" s="3129"/>
      <c r="E1" s="3129"/>
      <c r="F1" s="3129"/>
      <c r="G1" s="3129"/>
      <c r="H1" s="3129"/>
      <c r="I1" s="3129"/>
    </row>
    <row r="2" spans="1:9" ht="30" customHeight="1" thickTop="1">
      <c r="A2" s="3130" t="s">
        <v>1606</v>
      </c>
      <c r="B2" s="3130" t="s">
        <v>1607</v>
      </c>
      <c r="C2" s="3130" t="s">
        <v>1608</v>
      </c>
      <c r="D2" s="3130" t="str">
        <f>结果表!D116</f>
        <v>出让国有建设用地使用权价值</v>
      </c>
      <c r="E2" s="3130"/>
      <c r="F2" s="3130" t="str">
        <f>结果表!F116</f>
        <v>建筑物价值</v>
      </c>
      <c r="G2" s="3130"/>
      <c r="H2" s="3130" t="str">
        <f>IF(项目基本情况!B9="房地产市场价值","房地产市场价值","房地产价值")</f>
        <v>房地产价值</v>
      </c>
      <c r="I2" s="3130"/>
    </row>
    <row r="3" spans="1:9" ht="15">
      <c r="A3" s="3124"/>
      <c r="B3" s="3124"/>
      <c r="C3" s="3124"/>
      <c r="D3" s="963" t="s">
        <v>1603</v>
      </c>
      <c r="E3" s="963" t="s">
        <v>1609</v>
      </c>
      <c r="F3" s="963" t="s">
        <v>1603</v>
      </c>
      <c r="G3" s="963" t="s">
        <v>1604</v>
      </c>
      <c r="H3" s="963" t="s">
        <v>1603</v>
      </c>
      <c r="I3" s="963" t="s">
        <v>1604</v>
      </c>
    </row>
    <row r="4" spans="1:9" ht="15">
      <c r="A4" s="1691" t="str">
        <f>项目基本情况!S2</f>
        <v>北京市房地产</v>
      </c>
      <c r="B4" s="963">
        <f>项目基本情况!C17</f>
        <v>160624.58000000002</v>
      </c>
      <c r="C4" s="963">
        <f>项目基本情况!C18</f>
        <v>106517.9</v>
      </c>
      <c r="D4" s="963">
        <f ca="1">结果表!D118</f>
        <v>34039</v>
      </c>
      <c r="E4" s="963">
        <f ca="1">结果表!E118</f>
        <v>2119</v>
      </c>
      <c r="F4" s="963">
        <f ca="1">结果表!F118</f>
        <v>87528</v>
      </c>
      <c r="G4" s="963">
        <f ca="1">结果表!G118</f>
        <v>5449</v>
      </c>
      <c r="H4" s="963">
        <f ca="1">结果表!H118</f>
        <v>121567</v>
      </c>
      <c r="I4" s="963">
        <f ca="1">结果表!I118</f>
        <v>7568</v>
      </c>
    </row>
    <row r="5" spans="1:9" ht="30" customHeight="1">
      <c r="A5" s="3124" t="s">
        <v>1605</v>
      </c>
      <c r="B5" s="3124"/>
      <c r="C5" s="3124"/>
      <c r="D5" s="3125" t="str">
        <f ca="1">结果表!D119</f>
        <v>叁亿肆仟零叁拾玖万元整</v>
      </c>
      <c r="E5" s="3125"/>
      <c r="F5" s="3125" t="str">
        <f ca="1">结果表!F119</f>
        <v>捌亿柒仟伍佰贰拾捌万元整</v>
      </c>
      <c r="G5" s="3125"/>
      <c r="H5" s="3125" t="str">
        <f ca="1">结果表!H119</f>
        <v>壹拾贰亿壹仟伍佰陆拾柒万元整</v>
      </c>
      <c r="I5" s="3125"/>
    </row>
    <row r="6" spans="1:9" ht="15.75">
      <c r="A6" s="3123" t="str">
        <f>结果表!A120</f>
        <v>估价师知悉的法定优先受偿款</v>
      </c>
      <c r="B6" s="3123"/>
      <c r="C6" s="3123"/>
      <c r="D6" s="3123">
        <f>结果表!D120</f>
        <v>0</v>
      </c>
      <c r="E6" s="3123"/>
      <c r="F6" s="3123"/>
      <c r="G6" s="3123"/>
      <c r="H6" s="3123"/>
      <c r="I6" s="3123"/>
    </row>
    <row r="7" spans="1:9" ht="15">
      <c r="A7" s="3124" t="s">
        <v>1605</v>
      </c>
      <c r="B7" s="3124"/>
      <c r="C7" s="3124"/>
      <c r="D7" s="3126" t="str">
        <f>结果表!D121</f>
        <v>零元整</v>
      </c>
      <c r="E7" s="3127"/>
      <c r="F7" s="3127"/>
      <c r="G7" s="3127"/>
      <c r="H7" s="3127"/>
      <c r="I7" s="3128"/>
    </row>
    <row r="8" spans="1:9" ht="15.75">
      <c r="A8" s="3123" t="str">
        <f>结果表!A122</f>
        <v>房地产抵押价值</v>
      </c>
      <c r="B8" s="3123"/>
      <c r="C8" s="3123"/>
      <c r="D8" s="3123">
        <f ca="1">结果表!D122</f>
        <v>121567</v>
      </c>
      <c r="E8" s="3123"/>
      <c r="F8" s="3123"/>
      <c r="G8" s="3123"/>
      <c r="H8" s="3123"/>
      <c r="I8" s="3123"/>
    </row>
    <row r="9" spans="1:9" ht="15">
      <c r="A9" s="3124" t="s">
        <v>1605</v>
      </c>
      <c r="B9" s="3124"/>
      <c r="C9" s="3124"/>
      <c r="D9" s="3125" t="str">
        <f ca="1">结果表!D123</f>
        <v>壹拾贰亿壹仟伍佰陆拾柒万元整</v>
      </c>
      <c r="E9" s="3125"/>
      <c r="F9" s="3125"/>
      <c r="G9" s="3125"/>
      <c r="H9" s="3125"/>
      <c r="I9" s="3125"/>
    </row>
    <row r="10" spans="1:9" ht="15.75">
      <c r="A10" s="3123" t="str">
        <f>结果表!A124</f>
        <v/>
      </c>
      <c r="B10" s="3123"/>
      <c r="C10" s="3123"/>
      <c r="D10" s="3123" t="str">
        <f>结果表!D124</f>
        <v>——</v>
      </c>
      <c r="E10" s="3123"/>
      <c r="F10" s="3123"/>
      <c r="G10" s="3123"/>
      <c r="H10" s="3123"/>
      <c r="I10" s="3123"/>
    </row>
    <row r="11" spans="1:9" ht="15">
      <c r="A11" s="3124" t="s">
        <v>1605</v>
      </c>
      <c r="B11" s="3124"/>
      <c r="C11" s="3124"/>
      <c r="D11" s="3125" t="e">
        <f>结果表!D125</f>
        <v>#VALUE!</v>
      </c>
      <c r="E11" s="3125"/>
      <c r="F11" s="3125"/>
      <c r="G11" s="3125"/>
      <c r="H11" s="3125"/>
      <c r="I11" s="3125"/>
    </row>
    <row r="12" spans="1:9" ht="15.75">
      <c r="A12" s="3123" t="str">
        <f>结果表!A126</f>
        <v/>
      </c>
      <c r="B12" s="3123"/>
      <c r="C12" s="3123"/>
      <c r="D12" s="3123" t="str">
        <f>结果表!D126</f>
        <v>——</v>
      </c>
      <c r="E12" s="3123"/>
      <c r="F12" s="3123"/>
      <c r="G12" s="3123"/>
      <c r="H12" s="3123"/>
      <c r="I12" s="3123"/>
    </row>
    <row r="13" spans="1:9" ht="15.75" thickBot="1">
      <c r="A13" s="3120" t="s">
        <v>1605</v>
      </c>
      <c r="B13" s="3120"/>
      <c r="C13" s="3120"/>
      <c r="D13" s="3121" t="e">
        <f>结果表!D127</f>
        <v>#VALUE!</v>
      </c>
      <c r="E13" s="3121"/>
      <c r="F13" s="3121"/>
      <c r="G13" s="3121"/>
      <c r="H13" s="3121"/>
      <c r="I13" s="3121"/>
    </row>
    <row r="14" spans="1:9" ht="15" thickTop="1">
      <c r="A14" s="3122" t="s">
        <v>1610</v>
      </c>
      <c r="B14" s="3122"/>
      <c r="C14" s="3122"/>
      <c r="D14" s="3122"/>
      <c r="E14" s="3122"/>
      <c r="F14" s="3122"/>
      <c r="G14" s="3122"/>
      <c r="H14" s="3122"/>
      <c r="I14" s="312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7" t="s">
        <v>1627</v>
      </c>
      <c r="B1" s="3137"/>
      <c r="C1" s="3137"/>
      <c r="D1" s="3137"/>
    </row>
    <row r="2" spans="1:4" ht="18">
      <c r="A2" s="3138" t="s">
        <v>1611</v>
      </c>
      <c r="B2" s="3138"/>
      <c r="C2" s="3138"/>
      <c r="D2" s="3138"/>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38" t="s">
        <v>1617</v>
      </c>
      <c r="B6" s="3138"/>
      <c r="C6" s="3138"/>
      <c r="D6" s="313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39" t="s">
        <v>1620</v>
      </c>
      <c r="B11" s="3131"/>
      <c r="C11" s="3131"/>
      <c r="D11" s="3131"/>
    </row>
    <row r="12" spans="1:4" ht="15.75">
      <c r="A12" s="3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6"/>
      <c r="C12" s="3136"/>
      <c r="D12" s="3136"/>
    </row>
    <row r="13" spans="1:4" ht="30" customHeight="1">
      <c r="A13" s="3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6"/>
      <c r="C13" s="3136"/>
      <c r="D13" s="3136"/>
    </row>
    <row r="14" spans="1:4" ht="15.75" customHeight="1">
      <c r="A14" s="3131" t="str">
        <f>IF(项目基本情况!B8="抵押","4.本次评估估价师所知悉的法定优先受偿款情况说明如下：","——")</f>
        <v>4.本次评估估价师所知悉的法定优先受偿款情况说明如下：</v>
      </c>
      <c r="B14" s="3136"/>
      <c r="C14" s="3136"/>
      <c r="D14" s="3136"/>
    </row>
    <row r="15" spans="1:4" ht="42" customHeight="1">
      <c r="A15" s="31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1"/>
      <c r="C15" s="3131"/>
      <c r="D15" s="3131"/>
    </row>
    <row r="16" spans="1:4" ht="30" customHeight="1">
      <c r="A16" s="3133" t="s">
        <v>1621</v>
      </c>
      <c r="B16" s="3133"/>
      <c r="C16" s="3133"/>
      <c r="D16" s="3133"/>
    </row>
    <row r="17" spans="1:4" ht="144" customHeight="1">
      <c r="A17" s="3133" t="s">
        <v>1622</v>
      </c>
      <c r="B17" s="3133"/>
      <c r="C17" s="3133"/>
      <c r="D17" s="3133"/>
    </row>
    <row r="18" spans="1:4" ht="15.75" customHeight="1">
      <c r="A18" s="3131" t="str">
        <f>IF(项目基本情况!B8="抵押",结果表!K120,"——")</f>
        <v>故，本次评估不存在估价师知悉的法定优先受偿款</v>
      </c>
      <c r="B18" s="3131"/>
      <c r="C18" s="3131"/>
      <c r="D18" s="3131"/>
    </row>
    <row r="19" spans="1:4" ht="46.5" customHeight="1">
      <c r="A19" s="3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1"/>
      <c r="C19" s="3131"/>
      <c r="D19" s="3131"/>
    </row>
    <row r="20" spans="1:4" ht="57.75" customHeight="1">
      <c r="A20" s="3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1"/>
      <c r="C20" s="3131"/>
      <c r="D20" s="3131"/>
    </row>
    <row r="21" spans="1:4" ht="57.75" customHeight="1">
      <c r="A21" s="31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4"/>
      <c r="C21" s="3134"/>
      <c r="D21" s="3134"/>
    </row>
    <row r="22" spans="1:4" ht="18.75" customHeight="1">
      <c r="A22" s="3135" t="s">
        <v>1623</v>
      </c>
      <c r="B22" s="3135"/>
      <c r="C22" s="3135"/>
      <c r="D22" s="313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2">
        <v>42551</v>
      </c>
      <c r="D31" s="31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45" t="s">
        <v>1634</v>
      </c>
      <c r="B15" s="3140" t="s">
        <v>136</v>
      </c>
      <c r="C15" s="3141"/>
    </row>
    <row r="16" spans="1:7" ht="13.5">
      <c r="A16" s="3146"/>
      <c r="B16" s="3140" t="s">
        <v>69</v>
      </c>
      <c r="C16" s="3141"/>
    </row>
    <row r="17" spans="1:3" ht="13.5">
      <c r="A17" s="3146"/>
      <c r="B17" s="3143" t="s">
        <v>1635</v>
      </c>
      <c r="C17" s="1718" t="s">
        <v>1634</v>
      </c>
    </row>
    <row r="18" spans="1:3" ht="13.5">
      <c r="A18" s="3146"/>
      <c r="B18" s="3143"/>
      <c r="C18" s="1718" t="s">
        <v>1636</v>
      </c>
    </row>
    <row r="19" spans="1:3" ht="13.5">
      <c r="A19" s="3146"/>
      <c r="B19" s="3143"/>
      <c r="C19" s="1718" t="s">
        <v>1637</v>
      </c>
    </row>
    <row r="20" spans="1:3" ht="13.5">
      <c r="A20" s="3147"/>
      <c r="B20" s="3142" t="s">
        <v>1638</v>
      </c>
      <c r="C20" s="3141"/>
    </row>
    <row r="21" spans="1:3" ht="13.5">
      <c r="A21" s="1719" t="s">
        <v>1639</v>
      </c>
      <c r="B21" s="1720"/>
      <c r="C21" s="1721"/>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8" t="s">
        <v>1645</v>
      </c>
    </row>
    <row r="26" spans="1:3" ht="13.5">
      <c r="A26" s="3144"/>
      <c r="B26" s="3143"/>
      <c r="C26" s="1718" t="s">
        <v>1646</v>
      </c>
    </row>
    <row r="27" spans="1:3" ht="13.5">
      <c r="A27" s="3144"/>
      <c r="B27" s="3143"/>
      <c r="C27" s="1718" t="s">
        <v>1647</v>
      </c>
    </row>
    <row r="28" spans="1:3" ht="13.5">
      <c r="A28" s="3144"/>
      <c r="B28" s="3143"/>
      <c r="C28" s="1718" t="s">
        <v>1648</v>
      </c>
    </row>
    <row r="29" spans="1:3" ht="13.5">
      <c r="A29" s="3144"/>
      <c r="B29" s="3143"/>
      <c r="C29" s="1718" t="s">
        <v>1649</v>
      </c>
    </row>
    <row r="30" spans="1:3" ht="13.5">
      <c r="A30" s="3144"/>
      <c r="B30" s="3143"/>
      <c r="C30" s="1718" t="s">
        <v>1650</v>
      </c>
    </row>
    <row r="31" spans="1:3" ht="13.5">
      <c r="A31" s="3144"/>
      <c r="B31" s="3143"/>
      <c r="C31" s="1718" t="s">
        <v>1651</v>
      </c>
    </row>
    <row r="32" spans="1:3" ht="13.5">
      <c r="A32" s="3144"/>
      <c r="B32" s="3143"/>
      <c r="C32" s="1718" t="s">
        <v>1652</v>
      </c>
    </row>
    <row r="33" spans="1:3" ht="13.5">
      <c r="A33" s="3144"/>
      <c r="B33" s="3143"/>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44249</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48" t="s">
        <v>2901</v>
      </c>
      <c r="B17" s="3148"/>
      <c r="C17" s="3148"/>
      <c r="D17" s="3148"/>
      <c r="E17" s="3148"/>
      <c r="F17" s="3148"/>
      <c r="G17" s="3148"/>
      <c r="H17" s="3148"/>
    </row>
    <row r="18" spans="1:8" ht="24" customHeight="1">
      <c r="A18" s="3149" t="s">
        <v>2902</v>
      </c>
      <c r="B18" s="3149"/>
      <c r="C18" s="3149"/>
      <c r="D18" s="2567"/>
      <c r="E18" s="3150" t="s">
        <v>2903</v>
      </c>
      <c r="F18" s="3149"/>
      <c r="G18" s="3149"/>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2021-02-22T09:27:36Z</dcterms:modified>
</cp:coreProperties>
</file>