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320" windowHeight="9405" tabRatio="771"/>
  </bookViews>
  <sheets>
    <sheet name="比较法" sheetId="1" r:id="rId1"/>
    <sheet name="成本（静态）" sheetId="5" r:id="rId2"/>
    <sheet name="各小区租金结果" sheetId="30" state="hidden" r:id="rId3"/>
    <sheet name="系统读取表" sheetId="4" r:id="rId4"/>
    <sheet name="门头沟案例" sheetId="37" r:id="rId5"/>
    <sheet name="房山" sheetId="38" r:id="rId6"/>
    <sheet name="Sheet1" sheetId="39" r:id="rId7"/>
  </sheets>
  <externalReferences>
    <externalReference r:id="rId8"/>
    <externalReference r:id="rId9"/>
    <externalReference r:id="rId10"/>
    <externalReference r:id="rId11"/>
    <externalReference r:id="rId12"/>
  </externalReferences>
  <definedNames>
    <definedName name="d">'[1]4（补充）'!$D$17:$D$2351</definedName>
    <definedName name="K">'[2]2（处理）'!A1</definedName>
    <definedName name="NO.1">'[1]4（补充）'!$D$2:$D$16</definedName>
    <definedName name="单元">#REF!</definedName>
    <definedName name="房号">#REF!</definedName>
    <definedName name="房间">#REF!</definedName>
    <definedName name="房间号">#REF!</definedName>
    <definedName name="房屋产权性质">[3]楼层测算!$N$2:$N$9</definedName>
    <definedName name="房屋朝向">[3]楼层测算!$A$117:$A$126</definedName>
    <definedName name="房屋装修">[3]楼层测算!$K$2:$K$5</definedName>
    <definedName name="教委">#REF!</definedName>
    <definedName name="扣缴日期">#REF!</definedName>
    <definedName name="楼栋">#REF!</definedName>
    <definedName name="楼号">#REF!</definedName>
    <definedName name="区域成熟度" localSheetId="1">#REF!</definedName>
    <definedName name="区域成熟度">#REF!</definedName>
    <definedName name="身份证号码">#REF!</definedName>
    <definedName name="所在楼层">[3]楼层测算!$L$2:$L$6</definedName>
    <definedName name="租户名称">#REF!</definedName>
    <definedName name="租户银行账户">#REF!</definedName>
  </definedNames>
  <calcPr calcId="145621"/>
</workbook>
</file>

<file path=xl/calcChain.xml><?xml version="1.0" encoding="utf-8"?>
<calcChain xmlns="http://schemas.openxmlformats.org/spreadsheetml/2006/main">
  <c r="G60" i="37" l="1"/>
  <c r="D27" i="38"/>
  <c r="D26" i="38"/>
  <c r="G62" i="37" l="1"/>
  <c r="D62" i="37"/>
  <c r="E56" i="37"/>
  <c r="E57" i="37"/>
  <c r="E55" i="37"/>
  <c r="D28" i="38"/>
  <c r="G28" i="38" s="1"/>
  <c r="I28" i="38" l="1"/>
  <c r="K5" i="1" s="1"/>
  <c r="H28" i="38"/>
  <c r="F56" i="37"/>
  <c r="D60" i="37" s="1"/>
  <c r="H62" i="37"/>
  <c r="I62" i="37" s="1"/>
  <c r="G5" i="1" s="1"/>
  <c r="R51" i="37"/>
  <c r="R50" i="37"/>
  <c r="R49" i="37"/>
  <c r="Q50" i="37"/>
  <c r="Q51" i="37"/>
  <c r="Q49" i="37"/>
  <c r="P51" i="37"/>
  <c r="P50" i="37"/>
  <c r="P49" i="37"/>
  <c r="K42" i="37"/>
  <c r="K41" i="37"/>
  <c r="K40" i="37"/>
  <c r="O51" i="37"/>
  <c r="O50" i="37"/>
  <c r="O49" i="37"/>
  <c r="H60" i="37" l="1"/>
  <c r="I60" i="37" s="1"/>
  <c r="E5" i="1" s="1"/>
  <c r="F23" i="4"/>
  <c r="E23" i="4"/>
  <c r="F22" i="4"/>
  <c r="E22" i="4"/>
  <c r="F21" i="4"/>
  <c r="E21" i="4"/>
  <c r="F20" i="4"/>
  <c r="E20" i="4"/>
  <c r="F19" i="4"/>
  <c r="E19" i="4"/>
  <c r="F18" i="4"/>
  <c r="E18" i="4"/>
  <c r="F17" i="4"/>
  <c r="E17" i="4"/>
  <c r="F16" i="4"/>
  <c r="E16" i="4"/>
  <c r="F15" i="4"/>
  <c r="E15" i="4"/>
  <c r="B2" i="4"/>
  <c r="O20" i="30"/>
  <c r="C20" i="30"/>
  <c r="O19" i="30"/>
  <c r="L19" i="30"/>
  <c r="H19" i="30"/>
  <c r="N19" i="30" s="1"/>
  <c r="C19" i="30"/>
  <c r="O18" i="30"/>
  <c r="L18" i="30" s="1"/>
  <c r="J18" i="30"/>
  <c r="C18" i="30"/>
  <c r="O17" i="30"/>
  <c r="C17" i="30"/>
  <c r="O16" i="30"/>
  <c r="C16" i="30"/>
  <c r="O15" i="30"/>
  <c r="C15" i="30"/>
  <c r="O14" i="30"/>
  <c r="N14" i="30"/>
  <c r="H14" i="30"/>
  <c r="L14" i="30" s="1"/>
  <c r="C14" i="30"/>
  <c r="O13" i="30"/>
  <c r="C13" i="30"/>
  <c r="O12" i="30"/>
  <c r="C12" i="30"/>
  <c r="O11" i="30"/>
  <c r="C11" i="30"/>
  <c r="O10" i="30"/>
  <c r="L10" i="30"/>
  <c r="N10" i="30" s="1"/>
  <c r="H10" i="30"/>
  <c r="C10" i="30"/>
  <c r="AA9" i="30"/>
  <c r="Z9" i="30"/>
  <c r="X9" i="30"/>
  <c r="W9" i="30"/>
  <c r="U9" i="30"/>
  <c r="T9" i="30"/>
  <c r="S9" i="30"/>
  <c r="O9" i="30"/>
  <c r="L9" i="30"/>
  <c r="N9" i="30" s="1"/>
  <c r="C9" i="30"/>
  <c r="AA8" i="30"/>
  <c r="Z8" i="30"/>
  <c r="X8" i="30"/>
  <c r="X10" i="30" s="1"/>
  <c r="W8" i="30"/>
  <c r="W10" i="30" s="1"/>
  <c r="U8" i="30"/>
  <c r="T8" i="30"/>
  <c r="S8" i="30"/>
  <c r="O8" i="30"/>
  <c r="N8" i="30"/>
  <c r="L8" i="30"/>
  <c r="H8" i="30"/>
  <c r="C8" i="30"/>
  <c r="M8" i="30" s="1"/>
  <c r="N7" i="30"/>
  <c r="L7" i="30"/>
  <c r="J7" i="30"/>
  <c r="H7" i="30"/>
  <c r="I5" i="30"/>
  <c r="I21" i="30" s="1"/>
  <c r="G5" i="30"/>
  <c r="G21" i="30" s="1"/>
  <c r="M4" i="30"/>
  <c r="K4" i="30"/>
  <c r="I4" i="30"/>
  <c r="G4" i="30"/>
  <c r="E4" i="30"/>
  <c r="C4" i="30"/>
  <c r="B14" i="4"/>
  <c r="F9" i="5"/>
  <c r="C5" i="5"/>
  <c r="E4" i="5"/>
  <c r="F4" i="5" s="1"/>
  <c r="C4" i="5" s="1"/>
  <c r="I2" i="5"/>
  <c r="F2" i="5"/>
  <c r="C2" i="5"/>
  <c r="F26" i="1"/>
  <c r="L26" i="1" s="1"/>
  <c r="L25" i="1"/>
  <c r="H25" i="1"/>
  <c r="F25" i="1"/>
  <c r="L7" i="1"/>
  <c r="J7" i="1"/>
  <c r="H7" i="1"/>
  <c r="I5" i="1"/>
  <c r="I28" i="1" s="1"/>
  <c r="I4" i="1"/>
  <c r="H26" i="1" l="1"/>
  <c r="G8" i="30"/>
  <c r="I8" i="30"/>
  <c r="I29" i="1"/>
  <c r="E6" i="5"/>
  <c r="C6" i="5" s="1"/>
  <c r="C3" i="5" s="1"/>
  <c r="I22" i="30"/>
  <c r="I25" i="30" s="1"/>
  <c r="I27" i="30" s="1"/>
  <c r="E9" i="5"/>
  <c r="G9" i="5" s="1"/>
  <c r="K5" i="30"/>
  <c r="K8" i="30"/>
  <c r="H18" i="30"/>
  <c r="G22" i="30" s="1"/>
  <c r="G25" i="30" s="1"/>
  <c r="G27" i="30" s="1"/>
  <c r="K28" i="1" l="1"/>
  <c r="M5" i="30"/>
  <c r="M21" i="30" s="1"/>
  <c r="K21" i="30"/>
  <c r="O28" i="1" l="1"/>
  <c r="N28" i="1"/>
  <c r="K29" i="1"/>
  <c r="K33" i="1" s="1"/>
  <c r="K35" i="1" s="1"/>
  <c r="G28" i="1"/>
  <c r="M22" i="30"/>
  <c r="M25" i="30" s="1"/>
  <c r="M27" i="30" s="1"/>
  <c r="K22" i="30"/>
  <c r="K25" i="30" s="1"/>
  <c r="K27" i="30" s="1"/>
  <c r="E28" i="1"/>
  <c r="E29" i="1" l="1"/>
  <c r="G29" i="1"/>
  <c r="G33" i="1" s="1"/>
  <c r="G35" i="1" s="1"/>
  <c r="C33" i="1" l="1"/>
  <c r="N29" i="1"/>
  <c r="E33" i="1"/>
  <c r="E35" i="1" s="1"/>
  <c r="A30" i="1"/>
  <c r="C5" i="30" l="1"/>
  <c r="E21" i="30" s="1"/>
  <c r="E14" i="4"/>
  <c r="E8" i="5"/>
  <c r="F8" i="5" s="1"/>
  <c r="C8" i="5" s="1"/>
  <c r="C34" i="1"/>
  <c r="D14" i="4" s="1"/>
  <c r="C10" i="5" l="1"/>
  <c r="C7" i="5" s="1"/>
  <c r="C11" i="5" s="1"/>
  <c r="C12" i="5" s="1"/>
  <c r="C27" i="30"/>
  <c r="Y8" i="30" s="1"/>
  <c r="AB8" i="30" s="1"/>
  <c r="E22" i="30"/>
  <c r="F14" i="4"/>
  <c r="B5" i="4"/>
  <c r="B6" i="4"/>
  <c r="B10" i="4" l="1"/>
  <c r="B7" i="4"/>
  <c r="D5" i="4"/>
  <c r="B8" i="4"/>
  <c r="C5" i="4"/>
  <c r="A23" i="30"/>
  <c r="E25" i="30"/>
  <c r="E27" i="30" s="1"/>
  <c r="Y9" i="30" s="1"/>
  <c r="AB9" i="30" s="1"/>
  <c r="C6" i="4"/>
  <c r="D6" i="4"/>
  <c r="C8" i="4" l="1"/>
  <c r="D8" i="4"/>
  <c r="D7" i="4"/>
  <c r="C7" i="4"/>
</calcChain>
</file>

<file path=xl/sharedStrings.xml><?xml version="1.0" encoding="utf-8"?>
<sst xmlns="http://schemas.openxmlformats.org/spreadsheetml/2006/main" count="423" uniqueCount="263">
  <si>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</si>
  <si>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</si>
  <si>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</si>
  <si>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</si>
  <si>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</si>
  <si>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</si>
  <si>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</si>
  <si>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</si>
  <si>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t>三合北巷2号院</t>
  </si>
  <si>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</si>
  <si>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</si>
  <si>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</si>
  <si>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</si>
  <si>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</si>
  <si>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</si>
  <si>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</si>
  <si>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</si>
  <si>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r>
      <rPr>
        <sz val="10"/>
        <rFont val="仿宋_GB2312"/>
        <family val="3"/>
        <charset val="134"/>
      </rPr>
      <t>较好</t>
    </r>
  </si>
  <si>
    <t>交通条件</t>
  </si>
  <si>
    <t>商业设施</t>
  </si>
  <si>
    <t>周边有临街商铺等，商业设施以小区配套为主，且数量一般，综合评价商业设施一般。</t>
  </si>
  <si>
    <r>
      <rPr>
        <sz val="10"/>
        <rFont val="仿宋_GB2312"/>
        <family val="3"/>
        <charset val="134"/>
      </rPr>
      <t>一般</t>
    </r>
  </si>
  <si>
    <t>自然环境</t>
  </si>
  <si>
    <t>公共配套</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</si>
  <si>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</si>
  <si>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</si>
  <si>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</si>
  <si>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</si>
  <si>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</si>
  <si>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</si>
  <si>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r>
      <rPr>
        <sz val="10"/>
        <rFont val="仿宋_GB2312"/>
        <family val="3"/>
        <charset val="134"/>
      </rPr>
      <t>该小区装修为基本装修，未对居住产生不良影响，一般</t>
    </r>
  </si>
  <si>
    <r>
      <rPr>
        <sz val="10"/>
        <rFont val="仿宋_GB2312"/>
        <family val="3"/>
        <charset val="134"/>
      </rPr>
      <t>配套设施</t>
    </r>
  </si>
  <si>
    <t>配备活动站、医疗站</t>
  </si>
  <si>
    <r>
      <rPr>
        <sz val="10"/>
        <rFont val="仿宋_GB2312"/>
        <family val="3"/>
        <charset val="134"/>
      </rPr>
      <t>朝向较好，能保证较长时间的采光，通风较好，较好</t>
    </r>
  </si>
  <si>
    <t>居住管理</t>
  </si>
  <si>
    <r>
      <rPr>
        <sz val="10"/>
        <rFont val="仿宋_GB2312"/>
        <family val="3"/>
        <charset val="134"/>
      </rPr>
      <t>配备管理人员</t>
    </r>
  </si>
  <si>
    <t>成新度</t>
  </si>
  <si>
    <t>户型</t>
  </si>
  <si>
    <t>0-50</t>
  </si>
  <si>
    <t>建筑面积</t>
  </si>
  <si>
    <t>朝向、采光、通风</t>
  </si>
  <si>
    <t>朝向较好，能保证较长时间的采光，通风较好，较好</t>
  </si>
  <si>
    <t>90-150</t>
  </si>
  <si>
    <t>建筑类型及电梯配备情况</t>
  </si>
  <si>
    <t>装修</t>
  </si>
  <si>
    <t>该小区装修为普通装修，公共部分装修效果较好，与居住功能相适用，较好</t>
  </si>
  <si>
    <r>
      <rPr>
        <sz val="10"/>
        <rFont val="仿宋_GB2312"/>
        <family val="3"/>
        <charset val="134"/>
      </rPr>
      <t>空间布局与居住功能适宜；休息、学习与活动空间影响不大，较好</t>
    </r>
  </si>
  <si>
    <t>设备</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</si>
  <si>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</si>
  <si>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</si>
  <si>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</si>
  <si>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</si>
  <si>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</si>
  <si>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</si>
  <si>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</si>
  <si>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</si>
  <si>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</si>
  <si>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</si>
  <si>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</si>
  <si>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</si>
  <si>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</si>
  <si>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元/平方米/月</t>
  </si>
  <si>
    <t>最终结果</t>
  </si>
  <si>
    <t>南</t>
  </si>
  <si>
    <t>南北</t>
  </si>
  <si>
    <t>序号</t>
  </si>
  <si>
    <t>项目</t>
  </si>
  <si>
    <t>测算值</t>
  </si>
  <si>
    <t>说明</t>
  </si>
  <si>
    <t>折旧及摊销成本</t>
  </si>
  <si>
    <r>
      <rPr>
        <sz val="10"/>
        <color rgb="FF000000"/>
        <rFont val="宋体"/>
        <family val="3"/>
        <charset val="134"/>
      </rP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</si>
  <si>
    <t>运营费用（元）</t>
  </si>
  <si>
    <t>2=2.1+2.2+2.3</t>
  </si>
  <si>
    <t>维修费（元）</t>
  </si>
  <si>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1.5×12×101371.62=1824689</t>
    </r>
    <r>
      <rPr>
        <sz val="10"/>
        <rFont val="宋体"/>
        <family val="3"/>
        <charset val="134"/>
      </rPr>
      <t>元。</t>
    </r>
  </si>
  <si>
    <t>保险费（元）</t>
  </si>
  <si>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</si>
  <si>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</si>
  <si>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该项目为公租房，根据估价委托人提供的《基础信息台账》，物业费水平为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3.68×67922.53×12=4476571</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</si>
  <si>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</si>
  <si>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</si>
  <si>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</si>
  <si>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60822972</t>
    </r>
    <r>
      <rPr>
        <sz val="10"/>
        <color rgb="FF000000"/>
        <rFont val="宋体"/>
        <family val="3"/>
        <charset val="134"/>
      </rPr>
      <t>×</t>
    </r>
    <r>
      <rPr>
        <sz val="10"/>
        <color rgb="FF000000"/>
        <rFont val="Arial"/>
        <family val="2"/>
      </rPr>
      <t>2%=1216459</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</si>
  <si>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</si>
  <si>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</si>
  <si>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</si>
  <si>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</si>
  <si>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</si>
  <si>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</si>
  <si>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</si>
  <si>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</si>
  <si>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待估</t>
  </si>
  <si>
    <r>
      <rPr>
        <sz val="12"/>
        <color theme="1"/>
        <rFont val="仿宋_GB2312"/>
        <family val="3"/>
        <charset val="134"/>
      </rPr>
      <t>小区名称</t>
    </r>
  </si>
  <si>
    <r>
      <rPr>
        <sz val="12"/>
        <color theme="1"/>
        <rFont val="仿宋_GB2312"/>
        <family val="3"/>
        <charset val="134"/>
      </rPr>
      <t>户型</t>
    </r>
  </si>
  <si>
    <r>
      <rPr>
        <sz val="12"/>
        <color theme="1"/>
        <rFont val="仿宋_GB2312"/>
        <family val="3"/>
        <charset val="134"/>
      </rPr>
      <t>朝向</t>
    </r>
  </si>
  <si>
    <r>
      <rPr>
        <sz val="12"/>
        <color theme="1"/>
        <rFont val="仿宋_GB2312"/>
        <family val="3"/>
        <charset val="134"/>
      </rPr>
      <t>面积</t>
    </r>
  </si>
  <si>
    <r>
      <rPr>
        <sz val="12"/>
        <color theme="1"/>
        <rFont val="仿宋_GB2312"/>
        <family val="3"/>
        <charset val="134"/>
      </rPr>
      <t>装修</t>
    </r>
  </si>
  <si>
    <r>
      <rPr>
        <sz val="12"/>
        <color theme="1"/>
        <rFont val="仿宋_GB2312"/>
        <family val="3"/>
        <charset val="134"/>
      </rPr>
      <t>套数</t>
    </r>
  </si>
  <si>
    <r>
      <rPr>
        <sz val="12"/>
        <color theme="1"/>
        <rFont val="仿宋_GB2312"/>
        <family val="3"/>
        <charset val="134"/>
      </rPr>
      <t>房源表面积</t>
    </r>
  </si>
  <si>
    <r>
      <rPr>
        <sz val="12"/>
        <color theme="1"/>
        <rFont val="仿宋_GB2312"/>
        <family val="3"/>
        <charset val="134"/>
      </rPr>
      <t>不含物业费、取暖费</t>
    </r>
  </si>
  <si>
    <r>
      <rPr>
        <sz val="12"/>
        <color theme="1"/>
        <rFont val="仿宋_GB2312"/>
        <family val="3"/>
        <charset val="134"/>
      </rPr>
      <t>物业费</t>
    </r>
  </si>
  <si>
    <r>
      <rPr>
        <sz val="12"/>
        <color theme="1"/>
        <rFont val="仿宋_GB2312"/>
        <family val="3"/>
        <charset val="134"/>
      </rPr>
      <t>取暖费</t>
    </r>
  </si>
  <si>
    <r>
      <rPr>
        <sz val="12"/>
        <color theme="1"/>
        <rFont val="仿宋_GB2312"/>
        <family val="3"/>
        <charset val="134"/>
      </rPr>
      <t>含物业费、取暖费</t>
    </r>
  </si>
  <si>
    <r>
      <rPr>
        <sz val="11"/>
        <color indexed="8"/>
        <rFont val="仿宋_GB2312"/>
        <family val="3"/>
        <charset val="134"/>
      </rPr>
      <t>区域状况</t>
    </r>
  </si>
  <si>
    <t>周边有南海家园、亦庄金茂悦、北京城建海梓府、亦城亦景家园、博客雅苑等居住小区，居住小区规模较大，入住率较高，综合评价居住区成熟度较好。</t>
  </si>
  <si>
    <r>
      <rPr>
        <sz val="12"/>
        <color theme="1"/>
        <rFont val="Arial"/>
        <family val="2"/>
      </rPr>
      <t>X17</t>
    </r>
    <r>
      <rPr>
        <sz val="12"/>
        <color theme="1"/>
        <rFont val="宋体"/>
        <family val="3"/>
        <charset val="134"/>
      </rPr>
      <t>亦城茗苑</t>
    </r>
  </si>
  <si>
    <r>
      <rPr>
        <sz val="12"/>
        <color theme="1"/>
        <rFont val="仿宋_GB2312"/>
        <family val="3"/>
        <charset val="134"/>
      </rPr>
      <t>普通装修</t>
    </r>
  </si>
  <si>
    <t>紧邻城市次干道——泰河二街，距南六环路约2.1公里，路网密集度较好；周边有公交车站（鹿海园五里东门），停靠线路有578路、580路、兴48路、兴49路、兴59路、专183路、专187路等十余条公交线路，距离地铁亦庄T1线（九号村站）约700米，道路通达度较好，综合评价交通便捷度较好。</t>
  </si>
  <si>
    <t>燕谷嘉苑紧邻城市次干道——平谷大街、附近有平谷客运总站、汽配城，停靠线路有平13路、平22路、平42路、平57路等，周边段道路情况良好，道路通达度较好，综合评价交通便捷度较好。</t>
  </si>
  <si>
    <t>洳苑嘉园紧邻城市支路——平谷体育中心西路、洳河西路，附近有公交车站旭辉小区，停靠线路有平19路、平37路、平46路等，周边段道路情况一般，道路通达度一般，综合评价交通便捷度一般。</t>
  </si>
  <si>
    <t>悦洳汇紧邻城市支路——平谷体育中心西路、洳河西路，附近有公交车站悦洳汇西门，停靠线路有平6路、平19路、平46路等，周边段道路情况一般，道路通达度一般，综合评价交通便捷度一般。</t>
  </si>
  <si>
    <r>
      <rPr>
        <sz val="12"/>
        <color theme="1"/>
        <rFont val="Arial"/>
        <family val="2"/>
      </rPr>
      <t>X31</t>
    </r>
    <r>
      <rPr>
        <sz val="12"/>
        <color theme="1"/>
        <rFont val="宋体"/>
        <family val="3"/>
        <charset val="134"/>
      </rPr>
      <t>博客雅苑</t>
    </r>
  </si>
  <si>
    <t>燕谷嘉苑位于平谷新城区域，周边商业设施以小区配套为主，且数量一般，综合评价商业设施一般。</t>
  </si>
  <si>
    <t>洳苑嘉园位于平谷新城区域，周边商业设施以小区配套为主，且数量很少，综合评价商业设施较差。</t>
  </si>
  <si>
    <t>悦洳汇位于平谷新城区域，周边商业设施以小区配套为主，且数量很少，综合评价商业设施较差。</t>
  </si>
  <si>
    <t>周边有南海子公园、亦庄新城滨河公园、凉水河、体育公园等，周边无高等教育学校或博物馆等人文景观，综合评价环境状况一般。</t>
  </si>
  <si>
    <t>燕谷嘉苑北侧临近人民公园、平谷湿地公园、东侧临近洳河，周边无高等教育学校或博物馆等人文景观，综合评价环境状况较好。</t>
  </si>
  <si>
    <t>洳苑嘉园北侧临近人民公园、平谷湿地公园、东侧临近洳河，周边无高等教育学校或博物馆等人文景观，综合评价环境状况较好。</t>
  </si>
  <si>
    <t>悦洳汇北侧临近人民公园、平谷湿地公园、东侧临近洳河，周边无高等教育学校或博物馆等人文景观，综合评价环境状况较好。</t>
  </si>
  <si>
    <t>周边2公里范围内有北京农村商业银行、中国建设银行等金融机构；北京瑞海喜盛超市、物美超市等商服设施；周边有中芯学校、亦庄实验中学、亦庄实验小校、亦庄第二中心小学等教育机构；有北京中医药大学东方医院等医疗机构设施。公共配套设施较齐全</t>
  </si>
  <si>
    <t>燕谷嘉苑所在区域周边2公里范围内有建设银行、邮政储蓄银行、农商银行等金融机构；香溢万卷生活超市等商服设施；周边有平谷区第五中学（高中部）、平谷区精英未来学校等教育机构；有平谷区医院、京谷友好医院等医疗机构设施。公共配套设施较齐全。</t>
  </si>
  <si>
    <t>洳苑嘉园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</si>
  <si>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t>悦洳汇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</si>
  <si>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r>
      <rPr>
        <sz val="11"/>
        <color indexed="8"/>
        <rFont val="仿宋_GB2312"/>
        <family val="3"/>
        <charset val="134"/>
      </rPr>
      <t>实物状况</t>
    </r>
  </si>
  <si>
    <r>
      <rPr>
        <sz val="10"/>
        <rFont val="仿宋_GB2312"/>
        <family val="3"/>
        <charset val="134"/>
      </rPr>
      <t>绿化率约为</t>
    </r>
    <r>
      <rPr>
        <sz val="10"/>
        <rFont val="Arial"/>
        <family val="2"/>
      </rPr>
      <t>35%</t>
    </r>
    <r>
      <rPr>
        <sz val="10"/>
        <rFont val="仿宋_GB2312"/>
        <family val="3"/>
        <charset val="134"/>
      </rPr>
      <t>，好</t>
    </r>
  </si>
  <si>
    <t>配备管理人员，数量充足，居住管理较好</t>
  </si>
  <si>
    <t>主力户型为二居室，住宅套型较好</t>
  </si>
  <si>
    <t>主力户型为开间，住宅套型较好</t>
  </si>
  <si>
    <t>朝向较好，能保证较长时间的采光，通风较好，综合分析朝向、采光、通风状况较好</t>
  </si>
  <si>
    <t>朝向一般，能保证较长时间的采光，通风较好，综合分析朝向、采光、通风状况一般</t>
  </si>
  <si>
    <t>该小区装修为普通装修，公共部分装修效果较好，与居住功能相适用，一般</t>
  </si>
  <si>
    <t>厨房卫生间配备家具家电，程度较新；功能正常，质量有保证，一般</t>
  </si>
  <si>
    <t>东</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</si>
  <si>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</si>
  <si>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</si>
  <si>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</si>
  <si>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</si>
  <si>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</si>
  <si>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</si>
  <si>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</si>
  <si>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</si>
  <si>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</si>
  <si>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</si>
  <si>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</si>
  <si>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</si>
  <si>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</si>
  <si>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</si>
  <si>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</si>
  <si>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</si>
  <si>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</si>
  <si>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</si>
  <si>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</si>
  <si>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</si>
  <si>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</si>
  <si>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</si>
  <si>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</si>
  <si>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</si>
  <si>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</si>
  <si>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</si>
  <si>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</si>
  <si>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</si>
  <si>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</si>
  <si>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城子西街1号院</t>
    <phoneticPr fontId="31" type="noConversion"/>
  </si>
  <si>
    <t>竣工时间</t>
    <phoneticPr fontId="31" type="noConversion"/>
  </si>
  <si>
    <t>面积</t>
    <phoneticPr fontId="31" type="noConversion"/>
  </si>
  <si>
    <t>朝向</t>
    <phoneticPr fontId="31" type="noConversion"/>
  </si>
  <si>
    <t>南北</t>
    <phoneticPr fontId="31" type="noConversion"/>
  </si>
  <si>
    <t>户型</t>
    <phoneticPr fontId="31" type="noConversion"/>
  </si>
  <si>
    <t>两室</t>
    <phoneticPr fontId="31" type="noConversion"/>
  </si>
  <si>
    <t>楼层</t>
    <phoneticPr fontId="31" type="noConversion"/>
  </si>
  <si>
    <t>总楼层</t>
    <phoneticPr fontId="31" type="noConversion"/>
  </si>
  <si>
    <t>6层</t>
    <phoneticPr fontId="31" type="noConversion"/>
  </si>
  <si>
    <t>无电梯</t>
    <phoneticPr fontId="31" type="noConversion"/>
  </si>
  <si>
    <t>城子大街132号院</t>
    <phoneticPr fontId="31" type="noConversion"/>
  </si>
  <si>
    <t>中楼层</t>
    <phoneticPr fontId="31" type="noConversion"/>
  </si>
  <si>
    <t>惠泽家园</t>
    <phoneticPr fontId="31" type="noConversion"/>
  </si>
  <si>
    <t>物业费（元/月·平方米）</t>
    <phoneticPr fontId="31" type="noConversion"/>
  </si>
  <si>
    <t>南北</t>
    <phoneticPr fontId="31" type="noConversion"/>
  </si>
  <si>
    <t>2023-7</t>
    <phoneticPr fontId="31" type="noConversion"/>
  </si>
  <si>
    <t>2023-6</t>
    <phoneticPr fontId="31" type="noConversion"/>
  </si>
  <si>
    <t>2023-5</t>
    <phoneticPr fontId="31" type="noConversion"/>
  </si>
  <si>
    <t>2023-4</t>
  </si>
  <si>
    <t>2023-3</t>
  </si>
  <si>
    <t>2023-2</t>
  </si>
  <si>
    <t>2023-1</t>
    <phoneticPr fontId="31" type="noConversion"/>
  </si>
  <si>
    <t>2022-12</t>
    <phoneticPr fontId="31" type="noConversion"/>
  </si>
  <si>
    <t>2022-11</t>
    <phoneticPr fontId="31" type="noConversion"/>
  </si>
  <si>
    <t>2022-10</t>
    <phoneticPr fontId="31" type="noConversion"/>
  </si>
  <si>
    <t>2022-9</t>
    <phoneticPr fontId="31" type="noConversion"/>
  </si>
  <si>
    <t>2022-8</t>
    <phoneticPr fontId="31" type="noConversion"/>
  </si>
  <si>
    <t>——</t>
    <phoneticPr fontId="31" type="noConversion"/>
  </si>
  <si>
    <t>——</t>
    <phoneticPr fontId="31" type="noConversion"/>
  </si>
  <si>
    <t>年平均租金</t>
    <phoneticPr fontId="31" type="noConversion"/>
  </si>
  <si>
    <t>供暖费</t>
    <phoneticPr fontId="31" type="noConversion"/>
  </si>
  <si>
    <t>扣物业供暖</t>
    <phoneticPr fontId="31" type="noConversion"/>
  </si>
  <si>
    <t>税费</t>
    <phoneticPr fontId="31" type="noConversion"/>
  </si>
  <si>
    <t>扣物业、供暖、税费</t>
    <phoneticPr fontId="31" type="noConversion"/>
  </si>
  <si>
    <t>建筑面积</t>
    <phoneticPr fontId="31" type="noConversion"/>
  </si>
  <si>
    <t>租金水平</t>
    <phoneticPr fontId="31" type="noConversion"/>
  </si>
  <si>
    <t>物业费</t>
    <phoneticPr fontId="31" type="noConversion"/>
  </si>
  <si>
    <t>供暖费</t>
    <phoneticPr fontId="31" type="noConversion"/>
  </si>
  <si>
    <t>税费</t>
    <phoneticPr fontId="31" type="noConversion"/>
  </si>
  <si>
    <t>净租金</t>
    <phoneticPr fontId="31" type="noConversion"/>
  </si>
  <si>
    <t>惠景新苑标准房</t>
    <phoneticPr fontId="31" type="noConversion"/>
  </si>
  <si>
    <t>朝向</t>
    <phoneticPr fontId="31" type="noConversion"/>
  </si>
  <si>
    <t>南北</t>
    <phoneticPr fontId="31" type="noConversion"/>
  </si>
  <si>
    <t>居室</t>
    <phoneticPr fontId="31" type="noConversion"/>
  </si>
  <si>
    <t>两居室</t>
    <phoneticPr fontId="31" type="noConversion"/>
  </si>
  <si>
    <t>楼层</t>
    <phoneticPr fontId="31" type="noConversion"/>
  </si>
  <si>
    <t>中层</t>
    <phoneticPr fontId="31" type="noConversion"/>
  </si>
  <si>
    <t>惠和新苑</t>
    <phoneticPr fontId="31" type="noConversion"/>
  </si>
  <si>
    <t>面积</t>
    <phoneticPr fontId="31" type="noConversion"/>
  </si>
  <si>
    <t>南北</t>
    <phoneticPr fontId="31" type="noConversion"/>
  </si>
  <si>
    <t>两居室</t>
    <phoneticPr fontId="31" type="noConversion"/>
  </si>
  <si>
    <t>中楼层</t>
    <phoneticPr fontId="31" type="noConversion"/>
  </si>
  <si>
    <t>惠和新苑</t>
    <phoneticPr fontId="31" type="noConversion"/>
  </si>
  <si>
    <t>东方小区</t>
    <phoneticPr fontId="31" type="noConversion"/>
  </si>
  <si>
    <t>惠景新苑</t>
    <phoneticPr fontId="31" type="noConversion"/>
  </si>
  <si>
    <t>惠和新苑标准房</t>
    <phoneticPr fontId="31" type="noConversion"/>
  </si>
  <si>
    <t>门头沟东方小区标准房</t>
    <phoneticPr fontId="31" type="noConversion"/>
  </si>
  <si>
    <t>基础设施</t>
    <phoneticPr fontId="31" type="noConversion"/>
  </si>
  <si>
    <t>估价对象所处区域国有出让建设用地住宅用房较少，仅有惠和新苑小区，居住小区数量较少，规模较小，入住率一般，综合评价居住区成熟度较差</t>
  </si>
  <si>
    <t>估价对象所处区域内有109国道复线、下安公路、大台线铁路、丰沙线铁路及892、929、M11、M16、M22路公交线路，位于山区，路网密集度较差，道路通达度较差，综合评价交通便捷度较差。</t>
  </si>
  <si>
    <t>估价对象所属区域商业氛围较差，商业用房较少，仅有临街商铺等，体量较小，人流量较少，商业设施数量一般，综合评价商业设施较差。</t>
  </si>
  <si>
    <t>估价对象所处区域有永定河，自然环境较好；周边无人文景观，人文环境较差，综合评价环境状况一般。</t>
  </si>
  <si>
    <t>区域范围内有中国邮政储蓄银行；雨润发超市、世纪家家福超市等商服设施；周边有王平村小学、王平中学等教育机构；有北京京煤总医院（王平医院）医疗机构设施。公共配套设施一般。</t>
  </si>
  <si>
    <t>所处区域国有出让建设用地住宅用房较少，仅有惠和新苑小区，居住小区数量较少，规模较小，入住率一般，综合评价居住区成熟度较差</t>
  </si>
  <si>
    <t>所处区域内有原下安路道路，有892、929、M11、M16、M22路公交线路，位于山区，路网密集度较差，道路通达度较差，综合评价交通便捷度较差。</t>
  </si>
  <si>
    <t>周边有临街商铺等，商业设施以小区配套为主，且数量较少，体量较少，综合评价商业设施较差。</t>
  </si>
  <si>
    <t>所处区域有永定河，自然环境较好；周边无人文景观，人文环境较差，综合评价环境状况一般。</t>
  </si>
  <si>
    <t>周边2公里范围内有中国邮政储蓄银行；雨润发超市、世纪家家福超市等商服设施；周边有王平村小学、王平中学等教育机构；有北京京煤总医院（王平医院）医疗机构设施。公共配套设施一般。</t>
  </si>
  <si>
    <t>周边国有出让建设用地住宅用房较少，有第五零六厂居住小区，居住小区数量较少，规模较小，入住率一般，综合评价居住区成熟度较差</t>
  </si>
  <si>
    <t>临下安路道路，有890、M20、M7等公交线路，位于山区，路网密集度较差，道路通达度较差，综合评价交通便捷度较差。</t>
  </si>
  <si>
    <t>周边2公里范围内有民佳综合超市、下苇甸生活超市等商服设施；无银行、学校、医院等公共配套设施，公共配套设施较差。</t>
  </si>
  <si>
    <t>所处区域国有出让建设用地住宅用房有竹馨园、胜景新苑、水泥二厂家属院等居住小区，居住小区规模一般，入住率一般，综合评价居住区成熟度一般。</t>
  </si>
  <si>
    <t>区域内有闫河路，有F73、833、F13、F43、F61、石花洞通勤班车等公交线路，位于山区，路网密集度较差，道路通达度较差，综合评价交通便捷度较差。</t>
  </si>
  <si>
    <t>所处区域有大石河，自然环境较好；周边无人文景观，人文环境较差，综合评价环境状况一般。</t>
  </si>
  <si>
    <t>周边2公里范围内有中国邮政储蓄银行；点点超市、胜景超市等商服设施；周边有苗苗幼儿园、磁家务小学等教育机构；有万佛堂医院医疗机构设施。公共配套设施一般。</t>
  </si>
  <si>
    <t>有专业物业公司，物业服务保障一般。</t>
  </si>
  <si>
    <r>
      <t>绿化率约为</t>
    </r>
    <r>
      <rPr>
        <sz val="9"/>
        <color theme="1"/>
        <rFont val="Arial"/>
        <family val="2"/>
      </rPr>
      <t>30%</t>
    </r>
    <r>
      <rPr>
        <sz val="9"/>
        <color theme="1"/>
        <rFont val="宋体"/>
        <family val="3"/>
        <charset val="134"/>
      </rPr>
      <t>，较好。</t>
    </r>
  </si>
  <si>
    <t>未配备活动站、医疗站。</t>
  </si>
  <si>
    <t>有管理人员配置，房屋住户备案较少，居住安全性一般。</t>
  </si>
  <si>
    <t>建成年代较近，观察成新度较高，成新度较高</t>
  </si>
  <si>
    <t>主力户型为二居室</t>
  </si>
  <si>
    <t>达到“七通”</t>
  </si>
  <si>
    <r>
      <t>75</t>
    </r>
    <r>
      <rPr>
        <sz val="9"/>
        <color theme="1"/>
        <rFont val="宋体"/>
        <family val="3"/>
        <charset val="134"/>
      </rPr>
      <t>㎡</t>
    </r>
  </si>
  <si>
    <t>朝向好（南北），能保证较长时间的采光，通风较好，综合分析朝向、采光、通风状况好</t>
  </si>
  <si>
    <t>为高层楼宇，配备电梯</t>
  </si>
  <si>
    <t>装修为普通装修，与居住功能相适应，较好。</t>
  </si>
  <si>
    <r>
      <t>79</t>
    </r>
    <r>
      <rPr>
        <sz val="9"/>
        <color theme="1"/>
        <rFont val="宋体"/>
        <family val="3"/>
        <charset val="134"/>
      </rPr>
      <t>㎡</t>
    </r>
  </si>
  <si>
    <t>配备家具、家电；使用品牌家具、家电；功能正常，质量有保证，较好</t>
  </si>
  <si>
    <t>无管理人员配置，居住安全性较差。</t>
  </si>
  <si>
    <t>建成年代较远，观察成新度一般，成新度一般</t>
  </si>
  <si>
    <t>主力户型为两居室</t>
  </si>
  <si>
    <t>达到“六通”</t>
  </si>
  <si>
    <r>
      <t>53</t>
    </r>
    <r>
      <rPr>
        <sz val="9"/>
        <color theme="1"/>
        <rFont val="宋体"/>
        <family val="3"/>
        <charset val="134"/>
      </rPr>
      <t>㎡</t>
    </r>
  </si>
  <si>
    <t>为多层楼宇，未配备电梯</t>
  </si>
  <si>
    <t>装修为简单装修，与居住功能相适应，一般。</t>
  </si>
  <si>
    <t>配备家具、家电；使用品牌家具、家电；使用较长时间，但功能正常，质量有保证，一般；</t>
  </si>
  <si>
    <r>
      <t>73</t>
    </r>
    <r>
      <rPr>
        <sz val="9"/>
        <color theme="1"/>
        <rFont val="宋体"/>
        <family val="3"/>
        <charset val="134"/>
      </rPr>
      <t>㎡</t>
    </r>
  </si>
  <si>
    <t>主力户型为两居室</t>
    <phoneticPr fontId="31" type="noConversion"/>
  </si>
  <si>
    <t>厨房卫生间可正常使用，其余房间不配备家具、家电，较差</t>
    <phoneticPr fontId="31" type="noConversion"/>
  </si>
  <si>
    <t>与中介电话沟通，小区不通天然气，用煤气罐</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</si>
</sst>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F400]h:mm:ss\ AM/PM"/>
    <numFmt numFmtId="178" formatCode="0.00_ "/>
    <numFmt numFmtId="179" formatCode="yyyy&quot;年&quot;m&quot;月&quot;d&quot;日&quot;;@"/>
    <numFmt numFmtId="180" formatCode="0_ "/>
  </numFmts>
  <fonts count="37">
    <font>
      <sz val="11"/>
      <color theme="1"/>
      <name val="宋体"/>
      <charset val="134"/>
      <scheme val="minor"/>
    </font>
    <font>
      <sz val="11"/>
      <color rgb="FF666666"/>
      <name val="微软雅黑"/>
      <charset val="134"/>
    </font>
    <font>
      <sz val="10.5"/>
      <color theme="1"/>
      <name val="Arial"/>
      <family val="2"/>
    </font>
    <font>
      <b/>
      <sz val="10.5"/>
      <name val="宋体"/>
      <family val="3"/>
      <charset val="134"/>
    </font>
    <font>
      <sz val="10"/>
      <name val="Arial"/>
      <family val="2"/>
    </font>
    <font>
      <sz val="10"/>
      <name val="仿宋_GB2312"/>
      <family val="3"/>
      <charset val="134"/>
    </font>
    <font>
      <sz val="10"/>
      <name val="方正书宋_GBK"/>
      <charset val="134"/>
    </font>
    <font>
      <sz val="10"/>
      <name val="宋体"/>
      <family val="3"/>
      <charset val="134"/>
    </font>
    <font>
      <sz val="11"/>
      <color theme="1"/>
      <name val="Arial"/>
      <family val="2"/>
    </font>
    <font>
      <sz val="10"/>
      <color rgb="FFFF0000"/>
      <name val="Arial"/>
      <family val="2"/>
    </font>
    <font>
      <sz val="12"/>
      <color theme="1"/>
      <name val="Arial"/>
      <family val="2"/>
    </font>
    <font>
      <sz val="10"/>
      <color theme="1"/>
      <name val="华文细黑"/>
      <family val="3"/>
      <charset val="134"/>
    </font>
    <font>
      <sz val="10"/>
      <color rgb="FFFF0000"/>
      <name val="华文细黑"/>
      <family val="3"/>
      <charset val="134"/>
    </font>
    <font>
      <sz val="10"/>
      <color rgb="FF000000"/>
      <name val="宋体"/>
      <family val="3"/>
      <charset val="134"/>
    </font>
    <font>
      <sz val="10"/>
      <color rgb="FF000000"/>
      <name val="Arial"/>
      <family val="2"/>
    </font>
    <font>
      <b/>
      <sz val="11"/>
      <color theme="1"/>
      <name val="宋体"/>
      <family val="3"/>
      <charset val="134"/>
      <scheme val="minor"/>
    </font>
    <font>
      <sz val="11"/>
      <color theme="1"/>
      <name val="宋体"/>
      <family val="3"/>
      <charset val="134"/>
      <scheme val="minor"/>
    </font>
    <font>
      <sz val="10"/>
      <color theme="9" tint="-0.249977111117893"/>
      <name val="仿宋_GB2312"/>
      <family val="3"/>
      <charset val="134"/>
    </font>
    <font>
      <sz val="10"/>
      <color theme="9" tint="-0.249977111117893"/>
      <name val="Arial"/>
      <family val="2"/>
    </font>
    <font>
      <sz val="11"/>
      <color indexed="8"/>
      <name val="宋体"/>
      <family val="3"/>
      <charset val="134"/>
    </font>
    <font>
      <sz val="12"/>
      <name val="宋体"/>
      <family val="3"/>
      <charset val="134"/>
    </font>
    <font>
      <sz val="11"/>
      <name val="Calibri"/>
      <family val="2"/>
    </font>
    <font>
      <sz val="11"/>
      <color indexed="8"/>
      <name val="Calibri"/>
      <family val="2"/>
    </font>
    <font>
      <sz val="12"/>
      <color theme="1"/>
      <name val="宋体"/>
      <family val="3"/>
      <charset val="134"/>
      <scheme val="minor"/>
    </font>
    <font>
      <sz val="11"/>
      <color theme="1"/>
      <name val="Tahoma"/>
      <family val="2"/>
    </font>
    <font>
      <sz val="12"/>
      <color theme="1"/>
      <name val="仿宋_GB2312"/>
      <family val="3"/>
      <charset val="134"/>
    </font>
    <font>
      <sz val="11"/>
      <color indexed="8"/>
      <name val="仿宋_GB2312"/>
      <family val="3"/>
      <charset val="134"/>
    </font>
    <font>
      <sz val="12"/>
      <color theme="1"/>
      <name val="宋体"/>
      <family val="3"/>
      <charset val="134"/>
    </font>
    <font>
      <sz val="10"/>
      <color rgb="FFFF0000"/>
      <name val="宋体"/>
      <family val="3"/>
      <charset val="134"/>
    </font>
    <font>
      <sz val="11"/>
      <color theme="1"/>
      <name val="仿宋_GB2312"/>
      <family val="3"/>
      <charset val="134"/>
    </font>
    <font>
      <sz val="11"/>
      <color theme="1"/>
      <name val="宋体"/>
      <family val="3"/>
      <charset val="134"/>
      <scheme val="minor"/>
    </font>
    <font>
      <sz val="9"/>
      <name val="宋体"/>
      <family val="3"/>
      <charset val="134"/>
      <scheme val="minor"/>
    </font>
    <font>
      <sz val="11"/>
      <color theme="1"/>
      <name val="宋体"/>
      <family val="2"/>
      <scheme val="minor"/>
    </font>
    <font>
      <b/>
      <sz val="10"/>
      <color theme="1"/>
      <name val="华文细黑"/>
      <family val="3"/>
      <charset val="134"/>
    </font>
    <font>
      <sz val="9"/>
      <color theme="1"/>
      <name val="宋体"/>
      <family val="3"/>
      <charset val="134"/>
    </font>
    <font>
      <sz val="9"/>
      <color theme="1"/>
      <name val="Arial"/>
      <family val="2"/>
    </font>
    <font>
      <sz val="10"/>
      <color theme="1"/>
      <name val="宋体"/>
      <family val="3"/>
      <charset val="134"/>
    </font>
  </fonts>
  <fills count="7">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medium">
        <color indexed="64"/>
      </right>
      <top/>
      <bottom style="medium">
        <color indexed="64"/>
      </bottom>
      <diagonal/>
    </border>
  </borders>
  <cellStyleXfs count="102">
    <xf numFmtId="0" fontId="0" fillId="0" borderId="0"/>
    <xf numFmtId="0" fontId="19" fillId="0" borderId="0">
      <alignment vertical="center"/>
    </xf>
    <xf numFmtId="0" fontId="2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0" fillId="0" borderId="0">
      <alignment vertical="center"/>
    </xf>
    <xf numFmtId="0" fontId="20" fillId="0" borderId="0">
      <alignment vertical="center"/>
    </xf>
    <xf numFmtId="0" fontId="19" fillId="0" borderId="0">
      <alignment vertical="center"/>
    </xf>
    <xf numFmtId="0" fontId="21" fillId="0" borderId="0">
      <alignment vertical="center"/>
    </xf>
    <xf numFmtId="0" fontId="30" fillId="0" borderId="0">
      <alignment vertical="center"/>
    </xf>
    <xf numFmtId="0" fontId="19" fillId="0" borderId="0">
      <alignment vertical="center"/>
    </xf>
    <xf numFmtId="0" fontId="19" fillId="0" borderId="0">
      <alignment vertical="center"/>
    </xf>
    <xf numFmtId="0" fontId="19" fillId="0" borderId="0">
      <alignment vertical="center"/>
    </xf>
    <xf numFmtId="0" fontId="22" fillId="0" borderId="0" applyNumberFormat="0" applyFill="0" applyBorder="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177" fontId="20"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0" fillId="0" borderId="0">
      <alignment vertical="center"/>
    </xf>
    <xf numFmtId="0" fontId="20" fillId="0" borderId="0">
      <alignment vertical="center"/>
    </xf>
    <xf numFmtId="0" fontId="19" fillId="0" borderId="0">
      <alignment vertical="center"/>
    </xf>
    <xf numFmtId="0" fontId="7" fillId="0" borderId="0"/>
    <xf numFmtId="0" fontId="19" fillId="0" borderId="0" applyNumberFormat="0" applyFont="0" applyFill="0" applyBorder="0" applyAlignment="0" applyProtection="0">
      <alignment vertical="center"/>
    </xf>
    <xf numFmtId="0" fontId="4" fillId="0" borderId="0">
      <alignment vertical="center"/>
    </xf>
    <xf numFmtId="0" fontId="20" fillId="0" borderId="0">
      <alignment vertical="center"/>
    </xf>
    <xf numFmtId="0" fontId="19" fillId="0" borderId="0">
      <alignment vertical="center"/>
    </xf>
    <xf numFmtId="0" fontId="19" fillId="0" borderId="0">
      <alignment vertical="center"/>
    </xf>
    <xf numFmtId="0" fontId="20" fillId="0" borderId="0">
      <alignment vertical="center"/>
    </xf>
    <xf numFmtId="0" fontId="19"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xf numFmtId="0" fontId="4" fillId="0" borderId="0">
      <alignment vertical="center"/>
    </xf>
    <xf numFmtId="0" fontId="20" fillId="0" borderId="0">
      <alignment vertical="center"/>
    </xf>
    <xf numFmtId="0" fontId="19" fillId="0" borderId="0">
      <alignment vertical="center"/>
    </xf>
    <xf numFmtId="0" fontId="30" fillId="0" borderId="0">
      <alignment vertical="center"/>
    </xf>
    <xf numFmtId="0" fontId="19" fillId="0" borderId="0">
      <alignment vertical="center"/>
    </xf>
    <xf numFmtId="0" fontId="20" fillId="0" borderId="0">
      <alignment vertical="center"/>
    </xf>
    <xf numFmtId="0" fontId="19" fillId="0" borderId="0">
      <alignment vertical="center"/>
    </xf>
    <xf numFmtId="0" fontId="30" fillId="0" borderId="0">
      <alignment vertical="center"/>
    </xf>
    <xf numFmtId="0" fontId="19" fillId="0" borderId="0">
      <alignment vertical="center"/>
    </xf>
    <xf numFmtId="0" fontId="20" fillId="0" borderId="0">
      <alignment vertical="center"/>
    </xf>
    <xf numFmtId="0" fontId="19" fillId="0" borderId="0">
      <alignment vertical="center"/>
    </xf>
    <xf numFmtId="0" fontId="20" fillId="0" borderId="0">
      <alignment vertical="center"/>
    </xf>
    <xf numFmtId="0" fontId="4" fillId="0" borderId="0"/>
    <xf numFmtId="0" fontId="20" fillId="0" borderId="0">
      <alignment vertical="center"/>
    </xf>
    <xf numFmtId="0" fontId="19" fillId="0" borderId="0">
      <alignment vertical="center"/>
    </xf>
    <xf numFmtId="0" fontId="19" fillId="0" borderId="0">
      <alignment vertical="center"/>
    </xf>
    <xf numFmtId="0" fontId="23" fillId="0" borderId="0"/>
    <xf numFmtId="0" fontId="19" fillId="0" borderId="0">
      <alignment vertical="center"/>
    </xf>
    <xf numFmtId="0" fontId="20" fillId="0" borderId="0">
      <alignment vertical="center"/>
    </xf>
    <xf numFmtId="0" fontId="20" fillId="0" borderId="0">
      <alignment vertical="center"/>
    </xf>
    <xf numFmtId="0" fontId="19" fillId="0" borderId="0">
      <alignment vertical="center"/>
    </xf>
    <xf numFmtId="0" fontId="20" fillId="0" borderId="0">
      <alignment vertical="center"/>
    </xf>
    <xf numFmtId="0" fontId="30" fillId="0" borderId="0">
      <alignment vertical="center"/>
    </xf>
    <xf numFmtId="0" fontId="20" fillId="0" borderId="0">
      <alignment vertical="center"/>
    </xf>
    <xf numFmtId="177" fontId="30" fillId="0" borderId="0">
      <alignment vertical="center"/>
    </xf>
    <xf numFmtId="0" fontId="19" fillId="0" borderId="0">
      <alignment vertical="center"/>
    </xf>
    <xf numFmtId="0" fontId="24" fillId="0" borderId="0"/>
    <xf numFmtId="0" fontId="2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4"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0" fillId="0" borderId="0"/>
    <xf numFmtId="0" fontId="19" fillId="0" borderId="0">
      <alignment vertical="center"/>
    </xf>
    <xf numFmtId="0" fontId="32" fillId="0" borderId="0"/>
  </cellStyleXfs>
  <cellXfs count="108">
    <xf numFmtId="0" fontId="0" fillId="0" borderId="0" xfId="0"/>
    <xf numFmtId="0" fontId="30" fillId="0" borderId="0" xfId="45">
      <alignment vertical="center"/>
    </xf>
    <xf numFmtId="0" fontId="1" fillId="2" borderId="1" xfId="99" applyFont="1" applyFill="1" applyBorder="1" applyAlignment="1">
      <alignment horizontal="center" vertical="center" wrapText="1"/>
    </xf>
    <xf numFmtId="0" fontId="2" fillId="0" borderId="0" xfId="45" applyFont="1">
      <alignment vertical="center"/>
    </xf>
    <xf numFmtId="0" fontId="1" fillId="0" borderId="0" xfId="99" applyFont="1" applyBorder="1" applyAlignment="1">
      <alignment horizontal="left" vertical="center" wrapText="1"/>
    </xf>
    <xf numFmtId="0" fontId="30" fillId="0" borderId="0" xfId="99" applyBorder="1"/>
    <xf numFmtId="14" fontId="1" fillId="2" borderId="1" xfId="99" applyNumberFormat="1" applyFont="1" applyFill="1" applyBorder="1" applyAlignment="1">
      <alignment horizontal="center" vertical="center" wrapText="1"/>
    </xf>
    <xf numFmtId="0" fontId="1" fillId="3" borderId="1" xfId="99" applyFont="1" applyFill="1" applyBorder="1" applyAlignment="1" applyProtection="1">
      <alignment horizontal="center" vertical="center" wrapText="1"/>
      <protection locked="0"/>
    </xf>
    <xf numFmtId="0" fontId="30" fillId="2" borderId="1" xfId="99" applyFill="1" applyBorder="1" applyAlignment="1">
      <alignment vertical="center"/>
    </xf>
    <xf numFmtId="0" fontId="1" fillId="2" borderId="2" xfId="99" applyFont="1" applyFill="1" applyBorder="1" applyAlignment="1">
      <alignment horizontal="center" vertical="center" wrapText="1"/>
    </xf>
    <xf numFmtId="0" fontId="0" fillId="4" borderId="1" xfId="99" applyFont="1" applyFill="1" applyBorder="1" applyProtection="1">
      <protection locked="0"/>
    </xf>
    <xf numFmtId="0" fontId="0" fillId="2" borderId="1" xfId="99" applyFont="1" applyFill="1" applyBorder="1"/>
    <xf numFmtId="0" fontId="30" fillId="0" borderId="1" xfId="99" applyBorder="1" applyProtection="1">
      <protection locked="0"/>
    </xf>
    <xf numFmtId="0" fontId="1" fillId="0" borderId="1" xfId="99" applyFont="1" applyBorder="1" applyAlignment="1" applyProtection="1">
      <alignment horizontal="left" vertical="center" wrapText="1"/>
      <protection locked="0"/>
    </xf>
    <xf numFmtId="0" fontId="3" fillId="0" borderId="0" xfId="45" applyFont="1" applyAlignment="1">
      <alignment horizontal="center"/>
    </xf>
    <xf numFmtId="0" fontId="4" fillId="0" borderId="1" xfId="64" applyFont="1" applyBorder="1" applyAlignment="1">
      <alignment horizontal="center" vertical="center" wrapText="1"/>
    </xf>
    <xf numFmtId="179" fontId="4" fillId="0" borderId="1" xfId="64" applyNumberFormat="1" applyFont="1" applyBorder="1" applyAlignment="1">
      <alignment horizontal="center" vertical="center" wrapText="1"/>
    </xf>
    <xf numFmtId="0" fontId="4" fillId="0" borderId="1" xfId="64" applyFont="1" applyBorder="1" applyAlignment="1">
      <alignment horizontal="center" vertical="center"/>
    </xf>
    <xf numFmtId="0" fontId="5" fillId="0" borderId="1" xfId="64" applyFont="1" applyBorder="1" applyAlignment="1">
      <alignment horizontal="center" vertical="center" wrapText="1"/>
    </xf>
    <xf numFmtId="0" fontId="5" fillId="0" borderId="1" xfId="60" applyFont="1" applyBorder="1" applyAlignment="1">
      <alignment horizontal="center" vertical="center" wrapText="1"/>
    </xf>
    <xf numFmtId="0" fontId="5" fillId="0" borderId="1" xfId="60" applyFont="1" applyFill="1" applyBorder="1" applyAlignment="1">
      <alignment horizontal="center" vertical="center" wrapText="1"/>
    </xf>
    <xf numFmtId="0" fontId="4" fillId="0" borderId="1" xfId="60" applyFont="1" applyFill="1" applyBorder="1" applyAlignment="1">
      <alignment horizontal="center" vertical="center" wrapText="1"/>
    </xf>
    <xf numFmtId="176" fontId="5" fillId="0" borderId="1" xfId="60" applyNumberFormat="1" applyFont="1" applyFill="1" applyBorder="1" applyAlignment="1">
      <alignment horizontal="center" vertical="center" wrapText="1"/>
    </xf>
    <xf numFmtId="0" fontId="9" fillId="0" borderId="1" xfId="64" applyFont="1" applyBorder="1" applyAlignment="1">
      <alignment horizontal="center" vertical="center" wrapText="1"/>
    </xf>
    <xf numFmtId="178" fontId="30" fillId="0" borderId="0" xfId="45" applyNumberFormat="1">
      <alignment vertical="center"/>
    </xf>
    <xf numFmtId="0" fontId="30" fillId="0" borderId="0" xfId="45" applyAlignment="1">
      <alignment horizontal="center" vertical="center"/>
    </xf>
    <xf numFmtId="0" fontId="8" fillId="0" borderId="0" xfId="45" applyFont="1">
      <alignment vertical="center"/>
    </xf>
    <xf numFmtId="0" fontId="10" fillId="0" borderId="1" xfId="45" applyFont="1" applyBorder="1" applyAlignment="1">
      <alignment horizontal="center" vertical="center"/>
    </xf>
    <xf numFmtId="0" fontId="10" fillId="0" borderId="1" xfId="45" applyFont="1" applyBorder="1" applyAlignment="1">
      <alignment horizontal="center" vertical="center" wrapText="1"/>
    </xf>
    <xf numFmtId="178" fontId="10" fillId="0" borderId="1" xfId="45" applyNumberFormat="1"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180" fontId="14" fillId="4" borderId="1" xfId="0" applyNumberFormat="1" applyFont="1" applyFill="1" applyBorder="1" applyAlignment="1">
      <alignment horizontal="center" vertical="center" wrapText="1"/>
    </xf>
    <xf numFmtId="0" fontId="13" fillId="0" borderId="1" xfId="0" applyFont="1" applyBorder="1" applyAlignment="1">
      <alignment vertical="center" wrapText="1"/>
    </xf>
    <xf numFmtId="180" fontId="30" fillId="0" borderId="0" xfId="45" applyNumberFormat="1">
      <alignment vertical="center"/>
    </xf>
    <xf numFmtId="0" fontId="30" fillId="5" borderId="0" xfId="45" applyFill="1">
      <alignment vertical="center"/>
    </xf>
    <xf numFmtId="180" fontId="14" fillId="0" borderId="1" xfId="0" applyNumberFormat="1" applyFont="1" applyBorder="1" applyAlignment="1">
      <alignment horizontal="center" vertical="center" wrapText="1"/>
    </xf>
    <xf numFmtId="0" fontId="14" fillId="0" borderId="1" xfId="0" applyFont="1" applyBorder="1" applyAlignment="1">
      <alignment vertical="center" wrapText="1"/>
    </xf>
    <xf numFmtId="180" fontId="14" fillId="0"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30" fillId="0" borderId="0" xfId="45" applyBorder="1">
      <alignment vertical="center"/>
    </xf>
    <xf numFmtId="0" fontId="13" fillId="0" borderId="0" xfId="0" applyFont="1" applyBorder="1" applyAlignment="1">
      <alignment vertical="center" wrapText="1"/>
    </xf>
    <xf numFmtId="0" fontId="3" fillId="0" borderId="0" xfId="0" applyFont="1" applyFill="1" applyBorder="1" applyAlignment="1">
      <alignment horizontal="center"/>
    </xf>
    <xf numFmtId="179" fontId="4" fillId="0" borderId="1" xfId="60" applyNumberFormat="1" applyFont="1" applyFill="1" applyBorder="1" applyAlignment="1">
      <alignment horizontal="center" vertical="center" wrapText="1"/>
    </xf>
    <xf numFmtId="0" fontId="4" fillId="0" borderId="1" xfId="60" applyFont="1" applyFill="1" applyBorder="1" applyAlignment="1">
      <alignment horizontal="center" vertical="center"/>
    </xf>
    <xf numFmtId="0" fontId="9" fillId="0" borderId="1" xfId="60" applyFont="1" applyFill="1" applyBorder="1" applyAlignment="1">
      <alignment horizontal="center" vertical="center" wrapText="1"/>
    </xf>
    <xf numFmtId="0" fontId="8" fillId="0" borderId="8" xfId="0" applyFont="1" applyBorder="1" applyAlignment="1">
      <alignment vertical="center"/>
    </xf>
    <xf numFmtId="0" fontId="4" fillId="6" borderId="1" xfId="60" applyFont="1" applyFill="1" applyBorder="1" applyAlignment="1">
      <alignment horizontal="center" vertical="center" wrapText="1"/>
    </xf>
    <xf numFmtId="0" fontId="0" fillId="0" borderId="0" xfId="0" applyAlignment="1">
      <alignment vertical="center"/>
    </xf>
    <xf numFmtId="0" fontId="0" fillId="0" borderId="0" xfId="0" applyFont="1" applyAlignment="1">
      <alignment vertical="center"/>
    </xf>
    <xf numFmtId="0" fontId="15" fillId="0" borderId="0" xfId="0" applyFont="1" applyAlignment="1">
      <alignment vertical="center"/>
    </xf>
    <xf numFmtId="0" fontId="16" fillId="0" borderId="0" xfId="0" applyFont="1"/>
    <xf numFmtId="0" fontId="0" fillId="0" borderId="0" xfId="0" applyFont="1"/>
    <xf numFmtId="0" fontId="0" fillId="0" borderId="1" xfId="0" applyBorder="1"/>
    <xf numFmtId="176" fontId="4" fillId="0" borderId="1" xfId="60" applyNumberFormat="1" applyFont="1" applyFill="1" applyBorder="1" applyAlignment="1">
      <alignment horizontal="center" vertical="center" wrapText="1"/>
    </xf>
    <xf numFmtId="0" fontId="17" fillId="0" borderId="1" xfId="60" applyFont="1" applyFill="1" applyBorder="1" applyAlignment="1">
      <alignment horizontal="center" vertical="center" wrapText="1"/>
    </xf>
    <xf numFmtId="0" fontId="18" fillId="0" borderId="1" xfId="60" applyFont="1" applyFill="1" applyBorder="1" applyAlignment="1">
      <alignment horizontal="center" vertical="center" wrapText="1"/>
    </xf>
    <xf numFmtId="0" fontId="8" fillId="0" borderId="0" xfId="0" applyFont="1" applyAlignment="1">
      <alignment vertical="center"/>
    </xf>
    <xf numFmtId="0" fontId="11" fillId="0" borderId="0" xfId="101" applyFont="1" applyAlignment="1">
      <alignment horizontal="left" vertical="center"/>
    </xf>
    <xf numFmtId="0" fontId="4" fillId="0" borderId="1" xfId="60" applyFont="1" applyFill="1" applyBorder="1" applyAlignment="1">
      <alignment horizontal="center" vertical="center" wrapText="1"/>
    </xf>
    <xf numFmtId="0" fontId="12" fillId="0" borderId="0" xfId="101" applyFont="1" applyAlignment="1">
      <alignment horizontal="left" vertical="center"/>
    </xf>
    <xf numFmtId="49" fontId="11" fillId="0" borderId="0" xfId="101" applyNumberFormat="1" applyFont="1" applyAlignment="1">
      <alignment horizontal="left" vertical="center"/>
    </xf>
    <xf numFmtId="0" fontId="4" fillId="0" borderId="1" xfId="60" applyFont="1" applyFill="1" applyBorder="1" applyAlignment="1">
      <alignment horizontal="center" vertical="center" wrapText="1"/>
    </xf>
    <xf numFmtId="0" fontId="33" fillId="0" borderId="0" xfId="101" applyFont="1" applyAlignment="1">
      <alignment horizontal="left" vertical="center"/>
    </xf>
    <xf numFmtId="0" fontId="11" fillId="4" borderId="0" xfId="101" applyFont="1" applyFill="1" applyAlignment="1">
      <alignment horizontal="left" vertical="center"/>
    </xf>
    <xf numFmtId="0" fontId="4" fillId="0" borderId="1" xfId="60" applyFont="1" applyFill="1" applyBorder="1" applyAlignment="1">
      <alignment horizontal="center" vertical="center" wrapText="1"/>
    </xf>
    <xf numFmtId="0" fontId="34" fillId="0" borderId="9" xfId="0" applyFont="1" applyBorder="1" applyAlignment="1">
      <alignment horizontal="justify" vertical="center" wrapText="1"/>
    </xf>
    <xf numFmtId="0" fontId="35" fillId="0" borderId="9" xfId="0" applyFont="1" applyBorder="1" applyAlignment="1">
      <alignment horizontal="center" vertical="center" wrapText="1"/>
    </xf>
    <xf numFmtId="0" fontId="36" fillId="0" borderId="9" xfId="0" applyFont="1" applyBorder="1" applyAlignment="1">
      <alignment horizontal="justify" vertical="center" wrapText="1"/>
    </xf>
    <xf numFmtId="0" fontId="4" fillId="0" borderId="0" xfId="60" applyFont="1" applyFill="1" applyBorder="1" applyAlignment="1">
      <alignment horizontal="left"/>
    </xf>
    <xf numFmtId="0" fontId="15" fillId="0" borderId="0" xfId="0" applyFont="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8" fontId="4" fillId="0" borderId="1" xfId="60" applyNumberFormat="1" applyFont="1" applyFill="1" applyBorder="1" applyAlignment="1">
      <alignment horizontal="center" vertical="center" wrapText="1"/>
    </xf>
    <xf numFmtId="178" fontId="4" fillId="0" borderId="3" xfId="60" applyNumberFormat="1" applyFont="1" applyFill="1" applyBorder="1" applyAlignment="1">
      <alignment horizontal="center" vertical="center" wrapText="1"/>
    </xf>
    <xf numFmtId="178" fontId="4" fillId="0" borderId="4" xfId="60" applyNumberFormat="1" applyFont="1" applyFill="1" applyBorder="1" applyAlignment="1">
      <alignment horizontal="center" vertical="center" wrapText="1"/>
    </xf>
    <xf numFmtId="0" fontId="4" fillId="0" borderId="1" xfId="60" applyFont="1" applyFill="1" applyBorder="1" applyAlignment="1">
      <alignment vertical="center" wrapText="1"/>
    </xf>
    <xf numFmtId="0" fontId="4" fillId="0" borderId="1" xfId="60" applyFont="1" applyFill="1" applyBorder="1" applyAlignment="1">
      <alignment horizontal="center" vertical="center" wrapText="1"/>
    </xf>
    <xf numFmtId="4" fontId="4" fillId="0" borderId="1" xfId="60" applyNumberFormat="1" applyFont="1" applyFill="1" applyBorder="1" applyAlignment="1">
      <alignment horizontal="center" vertical="center" wrapText="1"/>
    </xf>
    <xf numFmtId="4" fontId="4" fillId="0" borderId="3" xfId="60" applyNumberFormat="1" applyFont="1" applyFill="1" applyBorder="1" applyAlignment="1">
      <alignment horizontal="center" vertical="center" wrapText="1"/>
    </xf>
    <xf numFmtId="4" fontId="4" fillId="0" borderId="4" xfId="60" applyNumberFormat="1" applyFont="1" applyFill="1" applyBorder="1" applyAlignment="1">
      <alignment horizontal="center" vertical="center" wrapText="1"/>
    </xf>
    <xf numFmtId="0" fontId="7" fillId="0" borderId="3" xfId="60" applyFont="1" applyFill="1" applyBorder="1" applyAlignment="1">
      <alignment horizontal="center" vertical="center" wrapText="1"/>
    </xf>
    <xf numFmtId="0" fontId="4" fillId="0" borderId="4" xfId="60" applyFont="1" applyFill="1" applyBorder="1" applyAlignment="1">
      <alignment horizontal="center" vertical="center" wrapText="1"/>
    </xf>
    <xf numFmtId="0" fontId="4" fillId="0" borderId="3" xfId="60" applyFont="1" applyFill="1" applyBorder="1" applyAlignment="1">
      <alignment horizontal="center" vertical="center" wrapText="1"/>
    </xf>
    <xf numFmtId="0" fontId="5" fillId="0" borderId="3" xfId="60" applyFont="1" applyFill="1" applyBorder="1" applyAlignment="1">
      <alignment horizontal="center" vertical="center" wrapText="1"/>
    </xf>
    <xf numFmtId="0" fontId="3" fillId="0" borderId="0" xfId="0" applyFont="1" applyFill="1" applyBorder="1" applyAlignment="1">
      <alignment horizontal="center"/>
    </xf>
    <xf numFmtId="0" fontId="30" fillId="0" borderId="0" xfId="45" applyAlignment="1">
      <alignment horizontal="center" vertical="center" wrapText="1"/>
    </xf>
    <xf numFmtId="4" fontId="4" fillId="0" borderId="1" xfId="64" applyNumberFormat="1" applyFont="1" applyBorder="1" applyAlignment="1">
      <alignment horizontal="center" vertical="center" wrapText="1"/>
    </xf>
    <xf numFmtId="0" fontId="4" fillId="0" borderId="0" xfId="64" applyFont="1" applyAlignment="1">
      <alignment horizontal="left"/>
    </xf>
    <xf numFmtId="0" fontId="8" fillId="0" borderId="2" xfId="45" applyFont="1" applyBorder="1" applyAlignment="1">
      <alignment horizontal="center" vertical="center"/>
    </xf>
    <xf numFmtId="0" fontId="8" fillId="0" borderId="5" xfId="45" applyFont="1" applyBorder="1" applyAlignment="1">
      <alignment horizontal="center" vertical="center"/>
    </xf>
    <xf numFmtId="0" fontId="8" fillId="0" borderId="6" xfId="45" applyFont="1" applyBorder="1" applyAlignment="1">
      <alignment horizontal="center" vertical="center"/>
    </xf>
    <xf numFmtId="0" fontId="8" fillId="0" borderId="7" xfId="45" applyFont="1" applyBorder="1" applyAlignment="1">
      <alignment horizontal="center" vertical="center"/>
    </xf>
    <xf numFmtId="0" fontId="8" fillId="0" borderId="8" xfId="45" applyFont="1" applyBorder="1" applyAlignment="1">
      <alignment horizontal="center" vertical="center"/>
    </xf>
    <xf numFmtId="0" fontId="4" fillId="0" borderId="1" xfId="64" applyFont="1" applyBorder="1" applyAlignment="1">
      <alignment vertical="center" wrapText="1"/>
    </xf>
    <xf numFmtId="0" fontId="4" fillId="0" borderId="1" xfId="64" applyFont="1" applyBorder="1" applyAlignment="1">
      <alignment horizontal="center" vertical="center" wrapText="1"/>
    </xf>
    <xf numFmtId="178" fontId="4" fillId="0" borderId="3" xfId="64" applyNumberFormat="1" applyFont="1" applyBorder="1" applyAlignment="1">
      <alignment horizontal="center" vertical="center" wrapText="1"/>
    </xf>
    <xf numFmtId="178" fontId="4" fillId="0" borderId="4" xfId="64" applyNumberFormat="1" applyFont="1" applyBorder="1" applyAlignment="1">
      <alignment horizontal="center" vertical="center" wrapText="1"/>
    </xf>
    <xf numFmtId="0" fontId="4" fillId="0" borderId="4" xfId="64" applyFont="1" applyBorder="1" applyAlignment="1">
      <alignment horizontal="center" vertical="center" wrapText="1"/>
    </xf>
    <xf numFmtId="178" fontId="4" fillId="0" borderId="1" xfId="64" applyNumberFormat="1" applyFont="1" applyBorder="1" applyAlignment="1">
      <alignment horizontal="center" vertical="center" wrapText="1"/>
    </xf>
    <xf numFmtId="0" fontId="6" fillId="0" borderId="3" xfId="64" applyFont="1" applyBorder="1" applyAlignment="1">
      <alignment horizontal="center" vertical="center" wrapText="1"/>
    </xf>
    <xf numFmtId="178" fontId="7" fillId="0" borderId="3" xfId="64" applyNumberFormat="1" applyFont="1" applyBorder="1" applyAlignment="1">
      <alignment horizontal="center" vertical="center" wrapText="1"/>
    </xf>
    <xf numFmtId="0" fontId="5" fillId="0" borderId="3" xfId="64" applyFont="1" applyBorder="1" applyAlignment="1">
      <alignment horizontal="center" vertical="center" wrapText="1"/>
    </xf>
    <xf numFmtId="0" fontId="4" fillId="0" borderId="3" xfId="64" applyFont="1" applyBorder="1" applyAlignment="1">
      <alignment horizontal="center" vertical="center" wrapText="1"/>
    </xf>
    <xf numFmtId="0" fontId="3" fillId="0" borderId="0" xfId="45" applyFont="1" applyAlignment="1">
      <alignment horizontal="center"/>
    </xf>
  </cellXfs>
  <cellStyles count="102">
    <cellStyle name="Normal 2" xfId="10"/>
    <cellStyle name="Normal 3" xfId="11"/>
    <cellStyle name="Normal 4" xfId="15"/>
    <cellStyle name="常规" xfId="0" builtinId="0"/>
    <cellStyle name="常规 10" xfId="14"/>
    <cellStyle name="常规 10 2" xfId="16"/>
    <cellStyle name="常规 11" xfId="17"/>
    <cellStyle name="常规 11 2" xfId="19"/>
    <cellStyle name="常规 12" xfId="6"/>
    <cellStyle name="常规 12 2" xfId="20"/>
    <cellStyle name="常规 12 3" xfId="21"/>
    <cellStyle name="常规 13" xfId="18"/>
    <cellStyle name="常规 13 2" xfId="3"/>
    <cellStyle name="常规 14" xfId="23"/>
    <cellStyle name="常规 14 2" xfId="25"/>
    <cellStyle name="常规 15" xfId="27"/>
    <cellStyle name="常规 15 2" xfId="29"/>
    <cellStyle name="常规 16" xfId="31"/>
    <cellStyle name="常规 16 2" xfId="13"/>
    <cellStyle name="常规 17" xfId="33"/>
    <cellStyle name="常规 17 2" xfId="36"/>
    <cellStyle name="常规 18" xfId="38"/>
    <cellStyle name="常规 18 2" xfId="40"/>
    <cellStyle name="常规 19" xfId="42"/>
    <cellStyle name="常规 19 2" xfId="44"/>
    <cellStyle name="常规 2" xfId="45"/>
    <cellStyle name="常规 2 10 2" xfId="22"/>
    <cellStyle name="常规 2 10 2 2" xfId="24"/>
    <cellStyle name="常规 2 2" xfId="46"/>
    <cellStyle name="常规 2 3" xfId="47"/>
    <cellStyle name="常规 2 3 2 2" xfId="48"/>
    <cellStyle name="常规 2 34" xfId="49"/>
    <cellStyle name="常规 2 4" xfId="50"/>
    <cellStyle name="常规 20" xfId="26"/>
    <cellStyle name="常规 20 2" xfId="28"/>
    <cellStyle name="常规 21" xfId="30"/>
    <cellStyle name="常规 21 2" xfId="12"/>
    <cellStyle name="常规 22" xfId="32"/>
    <cellStyle name="常规 22 2" xfId="35"/>
    <cellStyle name="常规 23" xfId="37"/>
    <cellStyle name="常规 23 2" xfId="39"/>
    <cellStyle name="常规 24" xfId="41"/>
    <cellStyle name="常规 24 2" xfId="43"/>
    <cellStyle name="常规 25" xfId="52"/>
    <cellStyle name="常规 25 2" xfId="53"/>
    <cellStyle name="常规 26" xfId="8"/>
    <cellStyle name="常规 27" xfId="55"/>
    <cellStyle name="常规 28" xfId="57"/>
    <cellStyle name="常规 29" xfId="59"/>
    <cellStyle name="常规 3" xfId="60"/>
    <cellStyle name="常规 3 2" xfId="61"/>
    <cellStyle name="常规 3 3" xfId="62"/>
    <cellStyle name="常规 3 4" xfId="63"/>
    <cellStyle name="常规 3 5" xfId="64"/>
    <cellStyle name="常规 30" xfId="51"/>
    <cellStyle name="常规 31" xfId="7"/>
    <cellStyle name="常规 32" xfId="54"/>
    <cellStyle name="常规 33" xfId="56"/>
    <cellStyle name="常规 34" xfId="58"/>
    <cellStyle name="常规 35" xfId="66"/>
    <cellStyle name="常规 36" xfId="68"/>
    <cellStyle name="常规 37" xfId="70"/>
    <cellStyle name="常规 38" xfId="72"/>
    <cellStyle name="常规 39" xfId="2"/>
    <cellStyle name="常规 4" xfId="73"/>
    <cellStyle name="常规 4 2" xfId="74"/>
    <cellStyle name="常规 4 3" xfId="75"/>
    <cellStyle name="常规 40" xfId="65"/>
    <cellStyle name="常规 40 2" xfId="76"/>
    <cellStyle name="常规 41" xfId="67"/>
    <cellStyle name="常规 42" xfId="69"/>
    <cellStyle name="常规 43" xfId="71"/>
    <cellStyle name="常规 44" xfId="1"/>
    <cellStyle name="常规 45" xfId="78"/>
    <cellStyle name="常规 46" xfId="80"/>
    <cellStyle name="常规 47" xfId="82"/>
    <cellStyle name="常规 48" xfId="84"/>
    <cellStyle name="常规 49" xfId="85"/>
    <cellStyle name="常规 5" xfId="86"/>
    <cellStyle name="常规 5 2" xfId="5"/>
    <cellStyle name="常规 5 3" xfId="87"/>
    <cellStyle name="常规 50" xfId="77"/>
    <cellStyle name="常规 51" xfId="79"/>
    <cellStyle name="常规 51 2" xfId="88"/>
    <cellStyle name="常规 51 3" xfId="89"/>
    <cellStyle name="常规 52" xfId="81"/>
    <cellStyle name="常规 52 2" xfId="90"/>
    <cellStyle name="常规 53" xfId="83"/>
    <cellStyle name="常规 54" xfId="101"/>
    <cellStyle name="常规 55" xfId="34"/>
    <cellStyle name="常规 59" xfId="91"/>
    <cellStyle name="常规 6" xfId="4"/>
    <cellStyle name="常规 6 2" xfId="92"/>
    <cellStyle name="常规 7" xfId="93"/>
    <cellStyle name="常规 70" xfId="94"/>
    <cellStyle name="常规 70 2" xfId="95"/>
    <cellStyle name="常规 8" xfId="96"/>
    <cellStyle name="常规 8 2" xfId="9"/>
    <cellStyle name="常规 88" xfId="97"/>
    <cellStyle name="常规 89" xfId="98"/>
    <cellStyle name="常规 9" xfId="99"/>
    <cellStyle name="常规 9 2" xfId="1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0</xdr:row>
      <xdr:rowOff>104775</xdr:rowOff>
    </xdr:from>
    <xdr:to>
      <xdr:col>15</xdr:col>
      <xdr:colOff>141548</xdr:colOff>
      <xdr:row>36</xdr:row>
      <xdr:rowOff>46818</xdr:rowOff>
    </xdr:to>
    <xdr:pic>
      <xdr:nvPicPr>
        <xdr:cNvPr id="2" name="图片 1"/>
        <xdr:cNvPicPr>
          <a:picLocks noChangeAspect="1"/>
        </xdr:cNvPicPr>
      </xdr:nvPicPr>
      <xdr:blipFill>
        <a:blip xmlns:r="http://schemas.openxmlformats.org/officeDocument/2006/relationships" r:embed="rId1"/>
        <a:stretch>
          <a:fillRect/>
        </a:stretch>
      </xdr:blipFill>
      <xdr:spPr>
        <a:xfrm>
          <a:off x="361950" y="104775"/>
          <a:ext cx="10619048" cy="6457143"/>
        </a:xfrm>
        <a:prstGeom prst="rect">
          <a:avLst/>
        </a:prstGeom>
      </xdr:spPr>
    </xdr:pic>
    <xdr:clientData/>
  </xdr:twoCellAnchor>
  <xdr:twoCellAnchor editAs="oneCell">
    <xdr:from>
      <xdr:col>13</xdr:col>
      <xdr:colOff>0</xdr:colOff>
      <xdr:row>54</xdr:row>
      <xdr:rowOff>0</xdr:rowOff>
    </xdr:from>
    <xdr:to>
      <xdr:col>29</xdr:col>
      <xdr:colOff>8153</xdr:colOff>
      <xdr:row>90</xdr:row>
      <xdr:rowOff>180139</xdr:rowOff>
    </xdr:to>
    <xdr:pic>
      <xdr:nvPicPr>
        <xdr:cNvPr id="6" name="图片 5"/>
        <xdr:cNvPicPr>
          <a:picLocks noChangeAspect="1"/>
        </xdr:cNvPicPr>
      </xdr:nvPicPr>
      <xdr:blipFill>
        <a:blip xmlns:r="http://schemas.openxmlformats.org/officeDocument/2006/relationships" r:embed="rId2"/>
        <a:stretch>
          <a:fillRect/>
        </a:stretch>
      </xdr:blipFill>
      <xdr:spPr>
        <a:xfrm>
          <a:off x="9467850" y="9772650"/>
          <a:ext cx="10980953" cy="66952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1</xdr:row>
      <xdr:rowOff>114300</xdr:rowOff>
    </xdr:from>
    <xdr:to>
      <xdr:col>13</xdr:col>
      <xdr:colOff>122734</xdr:colOff>
      <xdr:row>22</xdr:row>
      <xdr:rowOff>132873</xdr:rowOff>
    </xdr:to>
    <xdr:pic>
      <xdr:nvPicPr>
        <xdr:cNvPr id="4" name="图片 3"/>
        <xdr:cNvPicPr>
          <a:picLocks noChangeAspect="1"/>
        </xdr:cNvPicPr>
      </xdr:nvPicPr>
      <xdr:blipFill>
        <a:blip xmlns:r="http://schemas.openxmlformats.org/officeDocument/2006/relationships" r:embed="rId1"/>
        <a:stretch>
          <a:fillRect/>
        </a:stretch>
      </xdr:blipFill>
      <xdr:spPr>
        <a:xfrm>
          <a:off x="304800" y="295275"/>
          <a:ext cx="8733334" cy="3819048"/>
        </a:xfrm>
        <a:prstGeom prst="rect">
          <a:avLst/>
        </a:prstGeom>
      </xdr:spPr>
    </xdr:pic>
    <xdr:clientData/>
  </xdr:twoCellAnchor>
  <xdr:twoCellAnchor editAs="oneCell">
    <xdr:from>
      <xdr:col>15</xdr:col>
      <xdr:colOff>0</xdr:colOff>
      <xdr:row>1</xdr:row>
      <xdr:rowOff>0</xdr:rowOff>
    </xdr:from>
    <xdr:to>
      <xdr:col>31</xdr:col>
      <xdr:colOff>560534</xdr:colOff>
      <xdr:row>37</xdr:row>
      <xdr:rowOff>37281</xdr:rowOff>
    </xdr:to>
    <xdr:pic>
      <xdr:nvPicPr>
        <xdr:cNvPr id="5" name="图片 4"/>
        <xdr:cNvPicPr>
          <a:picLocks noChangeAspect="1"/>
        </xdr:cNvPicPr>
      </xdr:nvPicPr>
      <xdr:blipFill>
        <a:blip xmlns:r="http://schemas.openxmlformats.org/officeDocument/2006/relationships" r:embed="rId2"/>
        <a:stretch>
          <a:fillRect/>
        </a:stretch>
      </xdr:blipFill>
      <xdr:spPr>
        <a:xfrm>
          <a:off x="10287000" y="180975"/>
          <a:ext cx="11533334" cy="65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122953</xdr:colOff>
      <xdr:row>36</xdr:row>
      <xdr:rowOff>8774</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6980953" cy="6009524"/>
        </a:xfrm>
        <a:prstGeom prst="rect">
          <a:avLst/>
        </a:prstGeom>
      </xdr:spPr>
    </xdr:pic>
    <xdr:clientData/>
  </xdr:twoCellAnchor>
  <xdr:twoCellAnchor editAs="oneCell">
    <xdr:from>
      <xdr:col>1</xdr:col>
      <xdr:colOff>0</xdr:colOff>
      <xdr:row>37</xdr:row>
      <xdr:rowOff>0</xdr:rowOff>
    </xdr:from>
    <xdr:to>
      <xdr:col>11</xdr:col>
      <xdr:colOff>8667</xdr:colOff>
      <xdr:row>48</xdr:row>
      <xdr:rowOff>28336</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6343650"/>
          <a:ext cx="6866667" cy="19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9;&#20139;&#25991;&#20214;&#22841;/&#30005;&#23376;&#29256;&#27979;&#31639;&#34920;/&#22823;&#20852;&#20134;&#22478;&#20134;&#31143;/&#27979;&#31639;-&#24120;&#30021;20200805-093803-&#24120;&#30021;20200806-10100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chenying110\Users\Administrator\Desktop\2022-1-0335&#24179;&#35895;\F03-8.2\&#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sheetData sheetId="1"/>
      <sheetData sheetId="2"/>
      <sheetData sheetId="3"/>
      <sheetData sheetId="4">
        <row r="14">
          <cell r="H14">
            <v>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topLeftCell="A19" zoomScale="90" zoomScaleNormal="90" workbookViewId="0">
      <selection activeCell="L9" sqref="L9"/>
    </sheetView>
  </sheetViews>
  <sheetFormatPr defaultColWidth="9"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 min="15" max="15" width="12.625"/>
  </cols>
  <sheetData>
    <row r="1" spans="1:13">
      <c r="A1" s="88" t="s">
        <v>0</v>
      </c>
      <c r="B1" s="88"/>
      <c r="C1" s="88"/>
      <c r="D1" s="88"/>
      <c r="E1" s="88"/>
      <c r="F1" s="88"/>
      <c r="G1" s="88"/>
      <c r="H1" s="88"/>
      <c r="I1" s="88"/>
      <c r="J1" s="88"/>
      <c r="K1" s="88"/>
      <c r="L1" s="88"/>
    </row>
    <row r="2" spans="1:13">
      <c r="A2" s="42"/>
      <c r="B2" s="42"/>
      <c r="C2" s="42"/>
      <c r="D2" s="42"/>
      <c r="E2" s="42"/>
      <c r="F2" s="42"/>
      <c r="G2" s="42"/>
      <c r="H2" s="42"/>
      <c r="I2" s="42"/>
      <c r="J2" s="42"/>
      <c r="K2" s="42"/>
      <c r="L2" s="42"/>
    </row>
    <row r="3" spans="1:13">
      <c r="A3" s="86" t="s">
        <v>1</v>
      </c>
      <c r="B3" s="85"/>
      <c r="C3" s="80" t="s">
        <v>2</v>
      </c>
      <c r="D3" s="80"/>
      <c r="E3" s="80" t="s">
        <v>3</v>
      </c>
      <c r="F3" s="80"/>
      <c r="G3" s="80" t="s">
        <v>4</v>
      </c>
      <c r="H3" s="80"/>
      <c r="I3" s="86" t="s">
        <v>5</v>
      </c>
      <c r="J3" s="85"/>
      <c r="K3" s="86" t="s">
        <v>6</v>
      </c>
      <c r="L3" s="85"/>
      <c r="M3" s="53"/>
    </row>
    <row r="4" spans="1:13">
      <c r="A4" s="80" t="s">
        <v>7</v>
      </c>
      <c r="B4" s="80"/>
      <c r="C4" s="87" t="s">
        <v>8</v>
      </c>
      <c r="D4" s="85"/>
      <c r="E4" s="84" t="s">
        <v>215</v>
      </c>
      <c r="F4" s="85"/>
      <c r="G4" s="84" t="s">
        <v>216</v>
      </c>
      <c r="H4" s="85"/>
      <c r="I4" s="86" t="str">
        <f>[4]清枫华景园数据!C2</f>
        <v>清枫华景园</v>
      </c>
      <c r="J4" s="85"/>
      <c r="K4" s="84" t="s">
        <v>217</v>
      </c>
      <c r="L4" s="85"/>
      <c r="M4" s="53"/>
    </row>
    <row r="5" spans="1:13">
      <c r="A5" s="80" t="s">
        <v>9</v>
      </c>
      <c r="B5" s="80"/>
      <c r="C5" s="86" t="s">
        <v>10</v>
      </c>
      <c r="D5" s="85"/>
      <c r="E5" s="77">
        <f>门头沟案例!I60</f>
        <v>15.569999999999999</v>
      </c>
      <c r="F5" s="78"/>
      <c r="G5" s="77">
        <f>门头沟案例!I62</f>
        <v>14.8</v>
      </c>
      <c r="H5" s="78"/>
      <c r="I5" s="77">
        <f>[4]清枫华景园数据!I6</f>
        <v>97.111735724259006</v>
      </c>
      <c r="J5" s="78"/>
      <c r="K5" s="77">
        <f>房山!I28</f>
        <v>18.93</v>
      </c>
      <c r="L5" s="78"/>
      <c r="M5" s="53"/>
    </row>
    <row r="6" spans="1:13" ht="36.75">
      <c r="A6" s="80" t="s">
        <v>11</v>
      </c>
      <c r="B6" s="80"/>
      <c r="C6" s="43" t="s">
        <v>12</v>
      </c>
      <c r="D6" s="44">
        <v>100</v>
      </c>
      <c r="E6" s="43" t="s">
        <v>12</v>
      </c>
      <c r="F6" s="44">
        <v>100</v>
      </c>
      <c r="G6" s="43" t="s">
        <v>12</v>
      </c>
      <c r="H6" s="44">
        <v>100</v>
      </c>
      <c r="I6" s="43" t="s">
        <v>12</v>
      </c>
      <c r="J6" s="44">
        <v>100</v>
      </c>
      <c r="K6" s="43" t="s">
        <v>12</v>
      </c>
      <c r="L6" s="44">
        <v>100</v>
      </c>
      <c r="M6" s="53"/>
    </row>
    <row r="7" spans="1:13">
      <c r="A7" s="80" t="s">
        <v>13</v>
      </c>
      <c r="B7" s="80"/>
      <c r="C7" s="21" t="s">
        <v>14</v>
      </c>
      <c r="D7" s="21">
        <v>100</v>
      </c>
      <c r="E7" s="21" t="s">
        <v>14</v>
      </c>
      <c r="F7" s="21">
        <v>100</v>
      </c>
      <c r="G7" s="21" t="s">
        <v>14</v>
      </c>
      <c r="H7" s="21">
        <f>IF(G7=C7,100,"请调整")</f>
        <v>100</v>
      </c>
      <c r="I7" s="21" t="s">
        <v>14</v>
      </c>
      <c r="J7" s="21">
        <f>IF(I7=C7,100,"请调整")</f>
        <v>100</v>
      </c>
      <c r="K7" s="21" t="s">
        <v>14</v>
      </c>
      <c r="L7" s="21">
        <f>IF(K7=G7,100,"请调整")</f>
        <v>100</v>
      </c>
      <c r="M7" s="53"/>
    </row>
    <row r="8" spans="1:13" ht="79.5" thickBot="1">
      <c r="A8" s="71" t="s">
        <v>15</v>
      </c>
      <c r="B8" s="20" t="s">
        <v>16</v>
      </c>
      <c r="C8" s="66" t="s">
        <v>221</v>
      </c>
      <c r="D8" s="21">
        <v>100</v>
      </c>
      <c r="E8" s="66" t="s">
        <v>226</v>
      </c>
      <c r="F8" s="21">
        <v>100</v>
      </c>
      <c r="G8" s="66" t="s">
        <v>231</v>
      </c>
      <c r="H8" s="21">
        <v>100</v>
      </c>
      <c r="I8" s="21" t="s">
        <v>17</v>
      </c>
      <c r="J8" s="21">
        <v>100</v>
      </c>
      <c r="K8" s="66" t="s">
        <v>234</v>
      </c>
      <c r="L8" s="45">
        <v>103</v>
      </c>
      <c r="M8" s="21">
        <v>3</v>
      </c>
    </row>
    <row r="9" spans="1:13" ht="90.75" thickBot="1">
      <c r="A9" s="72"/>
      <c r="B9" s="20" t="s">
        <v>18</v>
      </c>
      <c r="C9" s="66" t="s">
        <v>222</v>
      </c>
      <c r="D9" s="21">
        <v>100</v>
      </c>
      <c r="E9" s="66" t="s">
        <v>227</v>
      </c>
      <c r="F9" s="21">
        <v>100</v>
      </c>
      <c r="G9" s="66" t="s">
        <v>232</v>
      </c>
      <c r="H9" s="21">
        <v>100</v>
      </c>
      <c r="I9" s="21" t="s">
        <v>17</v>
      </c>
      <c r="J9" s="21">
        <v>100</v>
      </c>
      <c r="K9" s="66" t="s">
        <v>235</v>
      </c>
      <c r="L9" s="65">
        <v>100</v>
      </c>
      <c r="M9" s="21">
        <v>2</v>
      </c>
    </row>
    <row r="10" spans="1:13" ht="68.25" thickBot="1">
      <c r="A10" s="72"/>
      <c r="B10" s="20" t="s">
        <v>19</v>
      </c>
      <c r="C10" s="66" t="s">
        <v>223</v>
      </c>
      <c r="D10" s="21">
        <v>100</v>
      </c>
      <c r="E10" s="66" t="s">
        <v>228</v>
      </c>
      <c r="F10" s="21">
        <v>100</v>
      </c>
      <c r="G10" s="66" t="s">
        <v>228</v>
      </c>
      <c r="H10" s="21">
        <v>100</v>
      </c>
      <c r="I10" s="21" t="s">
        <v>21</v>
      </c>
      <c r="J10" s="21">
        <v>100</v>
      </c>
      <c r="K10" s="66" t="s">
        <v>228</v>
      </c>
      <c r="L10" s="21">
        <v>100</v>
      </c>
      <c r="M10" s="21">
        <v>2</v>
      </c>
    </row>
    <row r="11" spans="1:13" ht="57" thickBot="1">
      <c r="A11" s="72"/>
      <c r="B11" s="20" t="s">
        <v>22</v>
      </c>
      <c r="C11" s="66" t="s">
        <v>224</v>
      </c>
      <c r="D11" s="21">
        <v>100</v>
      </c>
      <c r="E11" s="66" t="s">
        <v>229</v>
      </c>
      <c r="F11" s="21">
        <v>100</v>
      </c>
      <c r="G11" s="66" t="s">
        <v>229</v>
      </c>
      <c r="H11" s="21">
        <v>100</v>
      </c>
      <c r="I11" s="21" t="s">
        <v>21</v>
      </c>
      <c r="J11" s="21">
        <v>100</v>
      </c>
      <c r="K11" s="66" t="s">
        <v>236</v>
      </c>
      <c r="L11" s="21">
        <v>100</v>
      </c>
      <c r="M11" s="21">
        <v>2</v>
      </c>
    </row>
    <row r="12" spans="1:13" ht="140.1" customHeight="1" thickBot="1">
      <c r="A12" s="73"/>
      <c r="B12" s="20" t="s">
        <v>23</v>
      </c>
      <c r="C12" s="66" t="s">
        <v>225</v>
      </c>
      <c r="D12" s="21">
        <v>100</v>
      </c>
      <c r="E12" s="66" t="s">
        <v>230</v>
      </c>
      <c r="F12" s="21">
        <v>100</v>
      </c>
      <c r="G12" s="66" t="s">
        <v>233</v>
      </c>
      <c r="H12" s="45">
        <v>98</v>
      </c>
      <c r="I12" s="21" t="s">
        <v>24</v>
      </c>
      <c r="J12" s="21">
        <v>100</v>
      </c>
      <c r="K12" s="66" t="s">
        <v>237</v>
      </c>
      <c r="L12" s="65">
        <v>100</v>
      </c>
      <c r="M12" s="21">
        <v>2</v>
      </c>
    </row>
    <row r="13" spans="1:13" ht="33" customHeight="1" thickBot="1">
      <c r="A13" s="74" t="s">
        <v>25</v>
      </c>
      <c r="B13" s="20" t="s">
        <v>26</v>
      </c>
      <c r="C13" s="66" t="s">
        <v>238</v>
      </c>
      <c r="D13" s="21">
        <v>100</v>
      </c>
      <c r="E13" s="66" t="s">
        <v>238</v>
      </c>
      <c r="F13" s="21">
        <v>100</v>
      </c>
      <c r="G13" s="66" t="s">
        <v>238</v>
      </c>
      <c r="H13" s="59">
        <v>100</v>
      </c>
      <c r="I13" s="20" t="s">
        <v>27</v>
      </c>
      <c r="J13" s="59">
        <v>100</v>
      </c>
      <c r="K13" s="66" t="s">
        <v>238</v>
      </c>
      <c r="L13" s="59">
        <v>100</v>
      </c>
      <c r="M13" s="21">
        <v>2</v>
      </c>
    </row>
    <row r="14" spans="1:13" ht="21.75" customHeight="1" thickBot="1">
      <c r="A14" s="75"/>
      <c r="B14" s="20" t="s">
        <v>28</v>
      </c>
      <c r="C14" s="66" t="s">
        <v>239</v>
      </c>
      <c r="D14" s="21">
        <v>100</v>
      </c>
      <c r="E14" s="66" t="s">
        <v>239</v>
      </c>
      <c r="F14" s="59">
        <v>100</v>
      </c>
      <c r="G14" s="66" t="s">
        <v>239</v>
      </c>
      <c r="H14" s="59">
        <v>100</v>
      </c>
      <c r="I14" s="21" t="s">
        <v>30</v>
      </c>
      <c r="J14" s="21">
        <v>98</v>
      </c>
      <c r="K14" s="66" t="s">
        <v>239</v>
      </c>
      <c r="L14" s="21">
        <v>100</v>
      </c>
      <c r="M14" s="21">
        <v>2</v>
      </c>
    </row>
    <row r="15" spans="1:13" ht="19.5" customHeight="1" thickBot="1">
      <c r="A15" s="75"/>
      <c r="B15" s="21" t="s">
        <v>31</v>
      </c>
      <c r="C15" s="66" t="s">
        <v>240</v>
      </c>
      <c r="D15" s="21">
        <v>100</v>
      </c>
      <c r="E15" s="66" t="s">
        <v>240</v>
      </c>
      <c r="F15" s="21">
        <v>100</v>
      </c>
      <c r="G15" s="66" t="s">
        <v>240</v>
      </c>
      <c r="H15" s="65">
        <v>100</v>
      </c>
      <c r="I15" s="21" t="s">
        <v>33</v>
      </c>
      <c r="J15" s="21">
        <v>100</v>
      </c>
      <c r="K15" s="66" t="s">
        <v>240</v>
      </c>
      <c r="L15" s="21">
        <v>100</v>
      </c>
      <c r="M15" s="21">
        <v>2</v>
      </c>
    </row>
    <row r="16" spans="1:13" ht="39" customHeight="1" thickBot="1">
      <c r="A16" s="75"/>
      <c r="B16" s="20" t="s">
        <v>34</v>
      </c>
      <c r="C16" s="66" t="s">
        <v>241</v>
      </c>
      <c r="D16" s="59">
        <v>100</v>
      </c>
      <c r="E16" s="66" t="s">
        <v>241</v>
      </c>
      <c r="F16" s="59">
        <v>100</v>
      </c>
      <c r="G16" s="66" t="s">
        <v>251</v>
      </c>
      <c r="H16" s="45">
        <v>99</v>
      </c>
      <c r="I16" s="54" t="s">
        <v>35</v>
      </c>
      <c r="J16" s="59">
        <v>100</v>
      </c>
      <c r="K16" s="66" t="s">
        <v>241</v>
      </c>
      <c r="L16" s="59">
        <v>100</v>
      </c>
      <c r="M16" s="21">
        <v>1</v>
      </c>
    </row>
    <row r="17" spans="1:16" ht="39" customHeight="1" thickBot="1">
      <c r="A17" s="75"/>
      <c r="B17" s="20" t="s">
        <v>36</v>
      </c>
      <c r="C17" s="66" t="s">
        <v>242</v>
      </c>
      <c r="D17" s="21">
        <v>100</v>
      </c>
      <c r="E17" s="66" t="s">
        <v>242</v>
      </c>
      <c r="F17" s="21">
        <v>100</v>
      </c>
      <c r="G17" s="66" t="s">
        <v>252</v>
      </c>
      <c r="H17" s="45">
        <v>99</v>
      </c>
      <c r="I17" s="54"/>
      <c r="J17" s="21"/>
      <c r="K17" s="66" t="s">
        <v>242</v>
      </c>
      <c r="L17" s="59">
        <v>100</v>
      </c>
      <c r="M17" s="21">
        <v>1</v>
      </c>
    </row>
    <row r="18" spans="1:16" ht="14.25" thickBot="1">
      <c r="A18" s="75"/>
      <c r="B18" s="20" t="s">
        <v>37</v>
      </c>
      <c r="C18" s="66" t="s">
        <v>243</v>
      </c>
      <c r="D18" s="21">
        <v>100</v>
      </c>
      <c r="E18" s="66" t="s">
        <v>260</v>
      </c>
      <c r="F18" s="59">
        <v>100</v>
      </c>
      <c r="G18" s="66" t="s">
        <v>253</v>
      </c>
      <c r="H18" s="59">
        <v>100</v>
      </c>
      <c r="I18" s="54"/>
      <c r="J18" s="21"/>
      <c r="K18" s="66" t="s">
        <v>253</v>
      </c>
      <c r="L18" s="59">
        <v>100</v>
      </c>
      <c r="M18" s="21">
        <v>1</v>
      </c>
      <c r="O18" t="s">
        <v>38</v>
      </c>
      <c r="P18">
        <v>102</v>
      </c>
    </row>
    <row r="19" spans="1:16" ht="14.25" thickBot="1">
      <c r="A19" s="75"/>
      <c r="B19" s="20" t="s">
        <v>220</v>
      </c>
      <c r="C19" s="66" t="s">
        <v>244</v>
      </c>
      <c r="D19" s="62">
        <v>100</v>
      </c>
      <c r="E19" s="66" t="s">
        <v>244</v>
      </c>
      <c r="F19" s="62">
        <v>100</v>
      </c>
      <c r="G19" s="66" t="s">
        <v>254</v>
      </c>
      <c r="H19" s="45">
        <v>99</v>
      </c>
      <c r="I19" s="54"/>
      <c r="J19" s="62"/>
      <c r="K19" s="66" t="s">
        <v>244</v>
      </c>
      <c r="L19" s="62">
        <v>100</v>
      </c>
      <c r="M19" s="62">
        <v>1</v>
      </c>
    </row>
    <row r="20" spans="1:16" ht="14.25" thickBot="1">
      <c r="A20" s="75"/>
      <c r="B20" s="20" t="s">
        <v>39</v>
      </c>
      <c r="C20" s="67" t="s">
        <v>245</v>
      </c>
      <c r="D20" s="59">
        <v>100</v>
      </c>
      <c r="E20" s="67" t="s">
        <v>249</v>
      </c>
      <c r="F20" s="59">
        <v>100</v>
      </c>
      <c r="G20" s="67" t="s">
        <v>255</v>
      </c>
      <c r="H20" s="45">
        <v>104</v>
      </c>
      <c r="I20" s="54"/>
      <c r="J20" s="59"/>
      <c r="K20" s="67" t="s">
        <v>259</v>
      </c>
      <c r="L20" s="59">
        <v>100</v>
      </c>
      <c r="M20" s="21">
        <v>2</v>
      </c>
    </row>
    <row r="21" spans="1:16" ht="45.75" customHeight="1" thickBot="1">
      <c r="A21" s="75"/>
      <c r="B21" s="20" t="s">
        <v>40</v>
      </c>
      <c r="C21" s="66" t="s">
        <v>246</v>
      </c>
      <c r="D21" s="21">
        <v>100</v>
      </c>
      <c r="E21" s="66" t="s">
        <v>246</v>
      </c>
      <c r="F21" s="21">
        <v>100</v>
      </c>
      <c r="G21" s="66" t="s">
        <v>246</v>
      </c>
      <c r="H21" s="59">
        <v>100</v>
      </c>
      <c r="I21" s="55" t="s">
        <v>41</v>
      </c>
      <c r="J21" s="56">
        <v>100</v>
      </c>
      <c r="K21" s="66" t="s">
        <v>246</v>
      </c>
      <c r="L21" s="59">
        <v>100</v>
      </c>
      <c r="M21" s="21">
        <v>2</v>
      </c>
      <c r="O21" t="s">
        <v>42</v>
      </c>
      <c r="P21">
        <v>98</v>
      </c>
    </row>
    <row r="22" spans="1:16" ht="45.75" customHeight="1" thickBot="1">
      <c r="A22" s="75"/>
      <c r="B22" s="20" t="s">
        <v>43</v>
      </c>
      <c r="C22" s="66" t="s">
        <v>247</v>
      </c>
      <c r="D22" s="21">
        <v>100</v>
      </c>
      <c r="E22" s="66" t="s">
        <v>247</v>
      </c>
      <c r="F22" s="21">
        <v>100</v>
      </c>
      <c r="G22" s="66" t="s">
        <v>256</v>
      </c>
      <c r="H22" s="45">
        <v>98</v>
      </c>
      <c r="I22" s="55"/>
      <c r="J22" s="56"/>
      <c r="K22" s="66" t="s">
        <v>247</v>
      </c>
      <c r="L22" s="45">
        <v>100</v>
      </c>
      <c r="M22" s="21">
        <v>2</v>
      </c>
    </row>
    <row r="23" spans="1:16" ht="51.75" customHeight="1" thickBot="1">
      <c r="A23" s="75"/>
      <c r="B23" s="20" t="s">
        <v>44</v>
      </c>
      <c r="C23" s="66" t="s">
        <v>248</v>
      </c>
      <c r="D23" s="21">
        <v>100</v>
      </c>
      <c r="E23" s="66" t="s">
        <v>248</v>
      </c>
      <c r="F23" s="21">
        <v>100</v>
      </c>
      <c r="G23" s="66" t="s">
        <v>257</v>
      </c>
      <c r="H23" s="45">
        <v>99</v>
      </c>
      <c r="I23" s="21" t="s">
        <v>46</v>
      </c>
      <c r="J23" s="21">
        <v>100</v>
      </c>
      <c r="K23" s="66" t="s">
        <v>248</v>
      </c>
      <c r="L23" s="59">
        <v>100</v>
      </c>
      <c r="M23" s="21">
        <v>1</v>
      </c>
    </row>
    <row r="24" spans="1:16" ht="48.75" thickBot="1">
      <c r="A24" s="75"/>
      <c r="B24" s="20" t="s">
        <v>47</v>
      </c>
      <c r="C24" s="68" t="s">
        <v>261</v>
      </c>
      <c r="D24" s="21">
        <v>100</v>
      </c>
      <c r="E24" s="66" t="s">
        <v>250</v>
      </c>
      <c r="F24" s="45">
        <v>108</v>
      </c>
      <c r="G24" s="66" t="s">
        <v>258</v>
      </c>
      <c r="H24" s="45">
        <v>104</v>
      </c>
      <c r="I24" s="21" t="s">
        <v>48</v>
      </c>
      <c r="J24" s="21">
        <v>100</v>
      </c>
      <c r="K24" s="66" t="s">
        <v>250</v>
      </c>
      <c r="L24" s="45">
        <v>108</v>
      </c>
      <c r="M24" s="21">
        <v>4</v>
      </c>
    </row>
    <row r="25" spans="1:16" ht="24" hidden="1">
      <c r="A25" s="46"/>
      <c r="B25" s="21" t="s">
        <v>49</v>
      </c>
      <c r="C25" s="21" t="s">
        <v>50</v>
      </c>
      <c r="D25" s="21">
        <v>100</v>
      </c>
      <c r="E25" s="20" t="s">
        <v>51</v>
      </c>
      <c r="F25" s="21">
        <f>D25</f>
        <v>100</v>
      </c>
      <c r="G25" s="20" t="s">
        <v>51</v>
      </c>
      <c r="H25" s="21">
        <f>D25</f>
        <v>100</v>
      </c>
      <c r="I25" s="21" t="s">
        <v>50</v>
      </c>
      <c r="J25" s="21">
        <v>100</v>
      </c>
      <c r="K25" s="20" t="s">
        <v>51</v>
      </c>
      <c r="L25" s="21">
        <f>D25</f>
        <v>100</v>
      </c>
      <c r="M25" s="53"/>
    </row>
    <row r="26" spans="1:16" ht="60" hidden="1">
      <c r="A26" s="46"/>
      <c r="B26" s="21" t="s">
        <v>52</v>
      </c>
      <c r="C26" s="21" t="s">
        <v>53</v>
      </c>
      <c r="D26" s="21">
        <v>100</v>
      </c>
      <c r="E26" s="21" t="s">
        <v>54</v>
      </c>
      <c r="F26" s="47">
        <f>D26</f>
        <v>100</v>
      </c>
      <c r="G26" s="47" t="s">
        <v>54</v>
      </c>
      <c r="H26" s="47">
        <f>F26</f>
        <v>100</v>
      </c>
      <c r="I26" s="47" t="s">
        <v>54</v>
      </c>
      <c r="J26" s="47">
        <v>99</v>
      </c>
      <c r="K26" s="47" t="s">
        <v>54</v>
      </c>
      <c r="L26" s="47">
        <f>F26</f>
        <v>100</v>
      </c>
      <c r="M26" s="53"/>
    </row>
    <row r="27" spans="1:16" ht="48" hidden="1">
      <c r="A27" s="46"/>
      <c r="B27" s="21" t="s">
        <v>55</v>
      </c>
      <c r="C27" s="21" t="s">
        <v>56</v>
      </c>
      <c r="D27" s="21">
        <v>100</v>
      </c>
      <c r="E27" s="21" t="s">
        <v>56</v>
      </c>
      <c r="F27" s="47">
        <v>100</v>
      </c>
      <c r="G27" s="47" t="s">
        <v>56</v>
      </c>
      <c r="H27" s="47">
        <v>100</v>
      </c>
      <c r="I27" s="47" t="s">
        <v>56</v>
      </c>
      <c r="J27" s="47">
        <v>100</v>
      </c>
      <c r="K27" s="47" t="s">
        <v>56</v>
      </c>
      <c r="L27" s="47">
        <v>100</v>
      </c>
      <c r="M27" s="53"/>
    </row>
    <row r="28" spans="1:16">
      <c r="A28" s="79" t="s">
        <v>57</v>
      </c>
      <c r="B28" s="79"/>
      <c r="C28" s="80" t="s">
        <v>58</v>
      </c>
      <c r="D28" s="80"/>
      <c r="E28" s="76">
        <f>E5</f>
        <v>15.569999999999999</v>
      </c>
      <c r="F28" s="76"/>
      <c r="G28" s="76">
        <f>G5</f>
        <v>14.8</v>
      </c>
      <c r="H28" s="76"/>
      <c r="I28" s="77">
        <f>I5</f>
        <v>97.111735724259006</v>
      </c>
      <c r="J28" s="78"/>
      <c r="K28" s="77">
        <f>K5</f>
        <v>18.93</v>
      </c>
      <c r="L28" s="78"/>
      <c r="M28" s="53"/>
      <c r="N28">
        <f>E28/K28</f>
        <v>0.82250396196513464</v>
      </c>
      <c r="O28">
        <f>K28/G28</f>
        <v>1.279054054054054</v>
      </c>
    </row>
    <row r="29" spans="1:16">
      <c r="A29" s="79" t="s">
        <v>59</v>
      </c>
      <c r="B29" s="79"/>
      <c r="C29" s="80" t="s">
        <v>58</v>
      </c>
      <c r="D29" s="80"/>
      <c r="E29" s="81">
        <f>ROUND(E28*POWER(100,COUNT(F6:F27))/PRODUCT(F6:F27),2)</f>
        <v>14.42</v>
      </c>
      <c r="F29" s="81"/>
      <c r="G29" s="81">
        <f>ROUND(G28*POWER(100,COUNT(H6:H27))/PRODUCT(H6:H27),2)</f>
        <v>14.83</v>
      </c>
      <c r="H29" s="81"/>
      <c r="I29" s="82">
        <f>ROUND(I28*POWER(100,COUNT(J6:J27))/PRODUCT(J6:J27),2)</f>
        <v>100.09</v>
      </c>
      <c r="J29" s="83"/>
      <c r="K29" s="82">
        <f>ROUND(K28*POWER(100,COUNT(L6:L27))/PRODUCT(L6:L27),2)</f>
        <v>17.02</v>
      </c>
      <c r="L29" s="83"/>
      <c r="M29" s="53"/>
      <c r="N29">
        <f>E29/K29</f>
        <v>0.84723854289071687</v>
      </c>
    </row>
    <row r="30" spans="1:16" ht="14.25">
      <c r="A30" s="69" t="str">
        <f>CONCATENATE("估价对象比较价值=(",TEXT(E29,"G/通用格式"),"+",TEXT(G29,"G/通用格式"),"+",TEXT(K29,"G/通用格式"),")","/",3,"=",ROUND((E29+G29+K29)/3,2))</f>
        <v>估价对象比较价值=(14.42+14.83+17.02)/3=15.42</v>
      </c>
      <c r="B30" s="69"/>
      <c r="C30" s="69"/>
      <c r="D30" s="69"/>
      <c r="E30" s="69"/>
      <c r="F30" s="69"/>
      <c r="G30" s="69"/>
      <c r="H30" s="69"/>
      <c r="I30" s="69"/>
      <c r="J30" s="69"/>
      <c r="K30" s="57"/>
      <c r="L30" s="57"/>
    </row>
    <row r="31" spans="1:16">
      <c r="A31" s="48" t="s">
        <v>60</v>
      </c>
      <c r="B31" s="48">
        <v>1.45</v>
      </c>
      <c r="C31" s="49" t="s">
        <v>61</v>
      </c>
      <c r="D31" s="48"/>
      <c r="E31" s="48"/>
      <c r="F31" s="48"/>
      <c r="G31" s="48"/>
      <c r="H31" s="48"/>
      <c r="I31" s="48"/>
      <c r="J31" s="48"/>
      <c r="K31" s="48"/>
      <c r="L31" s="48"/>
    </row>
    <row r="32" spans="1:16">
      <c r="A32" s="49"/>
      <c r="B32" s="48"/>
      <c r="C32" s="49"/>
      <c r="D32" s="48"/>
      <c r="E32" s="48"/>
      <c r="F32" s="48"/>
      <c r="G32" s="48"/>
      <c r="H32" s="48"/>
      <c r="I32" s="48"/>
      <c r="J32" s="48"/>
      <c r="K32" s="48"/>
      <c r="L32" s="48"/>
    </row>
    <row r="33" spans="1:12">
      <c r="A33" s="48"/>
      <c r="B33" s="48"/>
      <c r="C33" s="48">
        <f>ROUND((E29+G29+K29)/3,2)</f>
        <v>15.42</v>
      </c>
      <c r="D33" s="48"/>
      <c r="E33" s="48">
        <f>ROUND(E29/E28,4)</f>
        <v>0.92610000000000003</v>
      </c>
      <c r="F33" s="48"/>
      <c r="G33" s="48">
        <f>ROUND(G29/G28,4)</f>
        <v>1.002</v>
      </c>
      <c r="H33" s="48"/>
      <c r="I33" s="48"/>
      <c r="J33" s="48"/>
      <c r="K33" s="48">
        <f>ROUND(K29/K28,4)</f>
        <v>0.89910000000000001</v>
      </c>
      <c r="L33" s="48"/>
    </row>
    <row r="34" spans="1:12">
      <c r="A34" s="70" t="s">
        <v>62</v>
      </c>
      <c r="B34" s="70"/>
      <c r="C34" s="50">
        <f>ROUND(C33+B31,2)</f>
        <v>16.87</v>
      </c>
      <c r="D34" s="48"/>
      <c r="E34" s="48"/>
      <c r="F34" s="48"/>
      <c r="G34" s="48"/>
      <c r="H34" s="48"/>
      <c r="I34" s="48"/>
      <c r="J34" s="48"/>
      <c r="K34" s="48"/>
      <c r="L34" s="48"/>
    </row>
    <row r="35" spans="1:12">
      <c r="A35" s="48"/>
      <c r="B35" s="48"/>
      <c r="C35" s="48"/>
      <c r="D35" s="48"/>
      <c r="E35" s="48">
        <f>E28*E33</f>
        <v>14.419376999999999</v>
      </c>
      <c r="F35" s="48"/>
      <c r="G35" s="48">
        <f>G28*G33</f>
        <v>14.829600000000001</v>
      </c>
      <c r="H35" s="48"/>
      <c r="I35" s="48"/>
      <c r="J35" s="48"/>
      <c r="K35" s="49">
        <f>K28*K33</f>
        <v>17.019963000000001</v>
      </c>
      <c r="L35" s="48"/>
    </row>
    <row r="38" spans="1:12">
      <c r="C38" s="51"/>
      <c r="E38" s="51"/>
    </row>
    <row r="39" spans="1:12">
      <c r="C39" s="52"/>
      <c r="E39" s="52"/>
      <c r="G39" s="52"/>
      <c r="K39" s="52"/>
    </row>
  </sheetData>
  <mergeCells count="37">
    <mergeCell ref="A1:L1"/>
    <mergeCell ref="A3:B3"/>
    <mergeCell ref="C3:D3"/>
    <mergeCell ref="E3:F3"/>
    <mergeCell ref="G3:H3"/>
    <mergeCell ref="I3:J3"/>
    <mergeCell ref="K3:L3"/>
    <mergeCell ref="K4:L4"/>
    <mergeCell ref="A5:B5"/>
    <mergeCell ref="C5:D5"/>
    <mergeCell ref="E5:F5"/>
    <mergeCell ref="G5:H5"/>
    <mergeCell ref="I5:J5"/>
    <mergeCell ref="K5:L5"/>
    <mergeCell ref="A4:B4"/>
    <mergeCell ref="C4:D4"/>
    <mergeCell ref="E4:F4"/>
    <mergeCell ref="G4:H4"/>
    <mergeCell ref="I4:J4"/>
    <mergeCell ref="A6:B6"/>
    <mergeCell ref="A7:B7"/>
    <mergeCell ref="A28:B28"/>
    <mergeCell ref="C28:D28"/>
    <mergeCell ref="E28:F28"/>
    <mergeCell ref="K28:L28"/>
    <mergeCell ref="A29:B29"/>
    <mergeCell ref="C29:D29"/>
    <mergeCell ref="E29:F29"/>
    <mergeCell ref="G29:H29"/>
    <mergeCell ref="I29:J29"/>
    <mergeCell ref="K29:L29"/>
    <mergeCell ref="A30:J30"/>
    <mergeCell ref="A34:B34"/>
    <mergeCell ref="A8:A12"/>
    <mergeCell ref="A13:A24"/>
    <mergeCell ref="G28:H28"/>
    <mergeCell ref="I28:J28"/>
  </mergeCells>
  <phoneticPr fontId="31"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7" workbookViewId="0">
      <selection activeCell="D9" sqref="D9"/>
    </sheetView>
  </sheetViews>
  <sheetFormatPr defaultColWidth="22.875" defaultRowHeight="13.5"/>
  <cols>
    <col min="1" max="1" width="8" style="1" customWidth="1"/>
    <col min="2" max="2" width="14.625" style="1" customWidth="1"/>
    <col min="3" max="3" width="15.5" style="1" customWidth="1"/>
    <col min="4" max="4" width="38.375" style="1" customWidth="1"/>
    <col min="5" max="7" width="10.25" style="1" customWidth="1"/>
    <col min="8" max="16384" width="22.875" style="1"/>
  </cols>
  <sheetData>
    <row r="1" spans="1:9">
      <c r="A1" s="30" t="s">
        <v>65</v>
      </c>
      <c r="B1" s="30" t="s">
        <v>66</v>
      </c>
      <c r="C1" s="30" t="s">
        <v>67</v>
      </c>
      <c r="D1" s="30" t="s">
        <v>68</v>
      </c>
    </row>
    <row r="2" spans="1:9" ht="75.75">
      <c r="A2" s="31">
        <v>1</v>
      </c>
      <c r="B2" s="30" t="s">
        <v>69</v>
      </c>
      <c r="C2" s="32">
        <f>I2</f>
        <v>450335.20689655171</v>
      </c>
      <c r="D2" s="33" t="s">
        <v>70</v>
      </c>
      <c r="E2" s="1">
        <v>342254617.81999999</v>
      </c>
      <c r="F2" s="34">
        <f>E2/60</f>
        <v>5704243.6303333333</v>
      </c>
      <c r="H2" s="35">
        <v>26119442</v>
      </c>
      <c r="I2" s="1">
        <f>H2/58</f>
        <v>450335.20689655171</v>
      </c>
    </row>
    <row r="3" spans="1:9">
      <c r="A3" s="31">
        <v>2</v>
      </c>
      <c r="B3" s="30" t="s">
        <v>71</v>
      </c>
      <c r="C3" s="36" t="e">
        <f>C4+C5+C6</f>
        <v>#REF!</v>
      </c>
      <c r="D3" s="37" t="s">
        <v>72</v>
      </c>
    </row>
    <row r="4" spans="1:9" ht="63">
      <c r="A4" s="31">
        <v>2.1</v>
      </c>
      <c r="B4" s="30" t="s">
        <v>73</v>
      </c>
      <c r="C4" s="38" t="e">
        <f>ROUND(F4,0)</f>
        <v>#REF!</v>
      </c>
      <c r="D4" s="37" t="s">
        <v>74</v>
      </c>
      <c r="E4" s="35" t="e">
        <f>#REF!</f>
        <v>#REF!</v>
      </c>
      <c r="F4" s="1" t="e">
        <f>E4*1.5*12</f>
        <v>#REF!</v>
      </c>
    </row>
    <row r="5" spans="1:9" ht="49.5">
      <c r="A5" s="31">
        <v>2.2000000000000002</v>
      </c>
      <c r="B5" s="30" t="s">
        <v>75</v>
      </c>
      <c r="C5" s="39">
        <f>ROUND(I2*0.1%,0)</f>
        <v>450</v>
      </c>
      <c r="D5" s="37" t="s">
        <v>76</v>
      </c>
      <c r="E5" s="1">
        <v>25669.1</v>
      </c>
    </row>
    <row r="6" spans="1:9" ht="37.5">
      <c r="A6" s="31">
        <v>2.2999999999999998</v>
      </c>
      <c r="B6" s="30" t="s">
        <v>77</v>
      </c>
      <c r="C6" s="31" t="e">
        <f>ROUND(E6,0)</f>
        <v>#REF!</v>
      </c>
      <c r="D6" s="37" t="s">
        <v>78</v>
      </c>
      <c r="E6" s="1" t="e">
        <f>F6*E4*12</f>
        <v>#REF!</v>
      </c>
      <c r="F6" s="35">
        <v>2.48</v>
      </c>
      <c r="H6" s="89"/>
      <c r="I6" s="89"/>
    </row>
    <row r="7" spans="1:9">
      <c r="A7" s="31">
        <v>3</v>
      </c>
      <c r="B7" s="30" t="s">
        <v>79</v>
      </c>
      <c r="C7" s="31" t="e">
        <f>C8+C9+C10</f>
        <v>#REF!</v>
      </c>
      <c r="D7" s="37" t="s">
        <v>80</v>
      </c>
    </row>
    <row r="8" spans="1:9" ht="37.5">
      <c r="A8" s="31">
        <v>3.1</v>
      </c>
      <c r="B8" s="30" t="s">
        <v>81</v>
      </c>
      <c r="C8" s="31" t="e">
        <f>F8</f>
        <v>#REF!</v>
      </c>
      <c r="D8" s="33" t="s">
        <v>82</v>
      </c>
      <c r="E8" s="1" t="e">
        <f>ROUND(比较法!C33*E4*12,0)</f>
        <v>#REF!</v>
      </c>
      <c r="F8" s="1" t="e">
        <f>ROUND(E8*0.02,0)</f>
        <v>#REF!</v>
      </c>
    </row>
    <row r="9" spans="1:9" ht="96">
      <c r="A9" s="31">
        <v>3.2</v>
      </c>
      <c r="B9" s="30" t="s">
        <v>83</v>
      </c>
      <c r="C9" s="39">
        <v>0</v>
      </c>
      <c r="D9" s="33" t="s">
        <v>84</v>
      </c>
      <c r="E9" s="1">
        <f>C2*0.7</f>
        <v>315234.64482758619</v>
      </c>
      <c r="F9" s="1">
        <f>4.75%*0.9</f>
        <v>4.2750000000000003E-2</v>
      </c>
      <c r="G9" s="1">
        <f>ROUND(E9*F9,0)</f>
        <v>13476</v>
      </c>
    </row>
    <row r="10" spans="1:9" ht="73.5">
      <c r="A10" s="31">
        <v>3.3</v>
      </c>
      <c r="B10" s="30" t="s">
        <v>85</v>
      </c>
      <c r="C10" s="39" t="e">
        <f>ROUND((C2+C3+C8+C9)*3%,0)</f>
        <v>#REF!</v>
      </c>
      <c r="D10" s="33" t="s">
        <v>86</v>
      </c>
    </row>
    <row r="11" spans="1:9">
      <c r="A11" s="31">
        <v>4</v>
      </c>
      <c r="B11" s="30" t="s">
        <v>87</v>
      </c>
      <c r="C11" s="36" t="e">
        <f>C2+C3+C7</f>
        <v>#REF!</v>
      </c>
      <c r="D11" s="37" t="s">
        <v>88</v>
      </c>
    </row>
    <row r="12" spans="1:9" ht="25.5">
      <c r="A12" s="31">
        <v>5</v>
      </c>
      <c r="B12" s="30" t="s">
        <v>89</v>
      </c>
      <c r="C12" s="31" t="e">
        <f>ROUND(C11/E4/12,0)</f>
        <v>#REF!</v>
      </c>
      <c r="D12" s="37" t="s">
        <v>90</v>
      </c>
    </row>
    <row r="14" spans="1:9">
      <c r="E14" s="40"/>
    </row>
    <row r="15" spans="1:9">
      <c r="E15" s="41"/>
    </row>
    <row r="16" spans="1:9">
      <c r="E16" s="41"/>
    </row>
    <row r="17" spans="5:5">
      <c r="E17" s="40"/>
    </row>
  </sheetData>
  <mergeCells count="1">
    <mergeCell ref="H6:I6"/>
  </mergeCells>
  <phoneticPr fontId="31"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C30"/>
  <sheetViews>
    <sheetView zoomScale="90" zoomScaleNormal="90" workbookViewId="0">
      <selection activeCell="T8" sqref="T8"/>
    </sheetView>
  </sheetViews>
  <sheetFormatPr defaultColWidth="9" defaultRowHeight="13.5"/>
  <cols>
    <col min="1" max="2" width="9" style="1"/>
    <col min="3" max="3" width="22.625" style="1" customWidth="1"/>
    <col min="4" max="4" width="4.875" style="1" customWidth="1"/>
    <col min="5" max="5" width="24.125" style="1" customWidth="1"/>
    <col min="6" max="6" width="6.25" style="1" customWidth="1"/>
    <col min="7" max="7" width="17.75" style="1" hidden="1" customWidth="1"/>
    <col min="8" max="8" width="4.875" style="1" hidden="1" customWidth="1"/>
    <col min="9" max="9" width="18.25" style="1" hidden="1" customWidth="1"/>
    <col min="10" max="10" width="6.625" style="1" hidden="1" customWidth="1"/>
    <col min="11" max="11" width="20" style="1" hidden="1" customWidth="1"/>
    <col min="12" max="12" width="4.875" style="1" hidden="1" customWidth="1"/>
    <col min="13" max="13" width="19.625" style="1" hidden="1" customWidth="1"/>
    <col min="14" max="14" width="4.625" style="1" hidden="1" customWidth="1"/>
    <col min="15" max="17" width="9" style="1"/>
    <col min="18" max="18" width="16.375" style="1" customWidth="1"/>
    <col min="19" max="19" width="10.5" style="1" customWidth="1"/>
    <col min="20" max="20" width="5.25" style="1" customWidth="1"/>
    <col min="21" max="21" width="6.5" style="1" customWidth="1"/>
    <col min="22" max="22" width="9" style="1"/>
    <col min="23" max="23" width="6.25" style="1" customWidth="1"/>
    <col min="24" max="24" width="11.375" style="1" customWidth="1"/>
    <col min="25" max="16384" width="9" style="1"/>
  </cols>
  <sheetData>
    <row r="1" spans="1:29">
      <c r="A1" s="107" t="s">
        <v>0</v>
      </c>
      <c r="B1" s="107"/>
      <c r="C1" s="107"/>
      <c r="D1" s="107"/>
      <c r="E1" s="107"/>
      <c r="F1" s="107"/>
      <c r="G1" s="107"/>
      <c r="H1" s="107"/>
      <c r="I1" s="107"/>
      <c r="J1" s="107"/>
    </row>
    <row r="2" spans="1:29">
      <c r="A2" s="14"/>
      <c r="B2" s="14"/>
      <c r="C2" s="14"/>
      <c r="D2" s="14"/>
      <c r="E2" s="14"/>
      <c r="F2" s="14"/>
      <c r="G2" s="14"/>
      <c r="H2" s="14"/>
      <c r="I2" s="14"/>
      <c r="J2" s="14"/>
      <c r="K2" s="14"/>
      <c r="L2" s="14"/>
      <c r="M2" s="14"/>
      <c r="N2" s="14"/>
    </row>
    <row r="3" spans="1:29">
      <c r="A3" s="106" t="s">
        <v>1</v>
      </c>
      <c r="B3" s="101"/>
      <c r="C3" s="98" t="s">
        <v>2</v>
      </c>
      <c r="D3" s="98"/>
      <c r="E3" s="98"/>
      <c r="F3" s="98"/>
      <c r="G3" s="98"/>
      <c r="H3" s="98"/>
      <c r="I3" s="98"/>
      <c r="J3" s="98"/>
      <c r="K3" s="98"/>
      <c r="L3" s="98"/>
      <c r="M3" s="98"/>
      <c r="N3" s="98"/>
    </row>
    <row r="4" spans="1:29">
      <c r="A4" s="98" t="s">
        <v>7</v>
      </c>
      <c r="B4" s="98"/>
      <c r="C4" s="105" t="str">
        <f>比较法!C4</f>
        <v>三合北巷2号院</v>
      </c>
      <c r="D4" s="101"/>
      <c r="E4" s="103" t="str">
        <f>R9</f>
        <v>X31博客雅苑</v>
      </c>
      <c r="F4" s="101"/>
      <c r="G4" s="106" t="str">
        <f>R9</f>
        <v>X31博客雅苑</v>
      </c>
      <c r="H4" s="101"/>
      <c r="I4" s="106">
        <f>R10</f>
        <v>0</v>
      </c>
      <c r="J4" s="101"/>
      <c r="K4" s="106">
        <f>R11</f>
        <v>0</v>
      </c>
      <c r="L4" s="101"/>
      <c r="M4" s="106">
        <f>R12</f>
        <v>0</v>
      </c>
      <c r="N4" s="101"/>
    </row>
    <row r="5" spans="1:29" ht="30" customHeight="1">
      <c r="A5" s="98" t="s">
        <v>9</v>
      </c>
      <c r="B5" s="98"/>
      <c r="C5" s="103">
        <f>比较法!C33</f>
        <v>15.42</v>
      </c>
      <c r="D5" s="101"/>
      <c r="E5" s="104" t="s">
        <v>91</v>
      </c>
      <c r="F5" s="100"/>
      <c r="G5" s="99" t="str">
        <f>E5</f>
        <v>待估</v>
      </c>
      <c r="H5" s="100"/>
      <c r="I5" s="99" t="str">
        <f>G5</f>
        <v>待估</v>
      </c>
      <c r="J5" s="100"/>
      <c r="K5" s="99" t="str">
        <f>G5</f>
        <v>待估</v>
      </c>
      <c r="L5" s="100"/>
      <c r="M5" s="99" t="str">
        <f>K5</f>
        <v>待估</v>
      </c>
      <c r="N5" s="101"/>
    </row>
    <row r="6" spans="1:29" ht="24.75">
      <c r="A6" s="98" t="s">
        <v>11</v>
      </c>
      <c r="B6" s="98"/>
      <c r="C6" s="16" t="s">
        <v>12</v>
      </c>
      <c r="D6" s="17">
        <v>100</v>
      </c>
      <c r="E6" s="16" t="s">
        <v>12</v>
      </c>
      <c r="F6" s="17">
        <v>100</v>
      </c>
      <c r="G6" s="16" t="s">
        <v>12</v>
      </c>
      <c r="H6" s="17">
        <v>100</v>
      </c>
      <c r="I6" s="16" t="s">
        <v>12</v>
      </c>
      <c r="J6" s="17">
        <v>100</v>
      </c>
      <c r="K6" s="16" t="s">
        <v>12</v>
      </c>
      <c r="L6" s="17">
        <v>100</v>
      </c>
      <c r="M6" s="16" t="s">
        <v>12</v>
      </c>
      <c r="N6" s="17">
        <v>100</v>
      </c>
    </row>
    <row r="7" spans="1:29" ht="15">
      <c r="A7" s="98" t="s">
        <v>13</v>
      </c>
      <c r="B7" s="98"/>
      <c r="C7" s="15" t="s">
        <v>14</v>
      </c>
      <c r="D7" s="15">
        <v>100</v>
      </c>
      <c r="E7" s="15" t="s">
        <v>14</v>
      </c>
      <c r="F7" s="15">
        <v>100</v>
      </c>
      <c r="G7" s="15" t="s">
        <v>14</v>
      </c>
      <c r="H7" s="15">
        <f>IF(G7=C7,100,"请调整")</f>
        <v>100</v>
      </c>
      <c r="I7" s="15" t="s">
        <v>14</v>
      </c>
      <c r="J7" s="15">
        <f>IF(I7=C7,100,"请调整")</f>
        <v>100</v>
      </c>
      <c r="K7" s="15" t="s">
        <v>14</v>
      </c>
      <c r="L7" s="15">
        <f>IF(K7=G7,100,"请调整")</f>
        <v>100</v>
      </c>
      <c r="M7" s="15" t="s">
        <v>14</v>
      </c>
      <c r="N7" s="15">
        <f>IF(M7=G7,100,"请调整")</f>
        <v>100</v>
      </c>
      <c r="R7" s="27" t="s">
        <v>92</v>
      </c>
      <c r="S7" s="27" t="s">
        <v>93</v>
      </c>
      <c r="T7" s="27" t="s">
        <v>94</v>
      </c>
      <c r="U7" s="27" t="s">
        <v>95</v>
      </c>
      <c r="V7" s="27" t="s">
        <v>96</v>
      </c>
      <c r="W7" s="27" t="s">
        <v>97</v>
      </c>
      <c r="X7" s="27" t="s">
        <v>98</v>
      </c>
      <c r="Y7" s="27" t="s">
        <v>99</v>
      </c>
      <c r="Z7" s="27" t="s">
        <v>100</v>
      </c>
      <c r="AA7" s="27" t="s">
        <v>101</v>
      </c>
      <c r="AB7" s="27" t="s">
        <v>102</v>
      </c>
    </row>
    <row r="8" spans="1:29" ht="96">
      <c r="A8" s="92" t="s">
        <v>103</v>
      </c>
      <c r="B8" s="18" t="s">
        <v>16</v>
      </c>
      <c r="C8" s="19" t="str">
        <f>比较法!C8</f>
        <v>估价对象所处区域国有出让建设用地住宅用房较少，仅有惠和新苑小区，居住小区数量较少，规模较小，入住率一般，综合评价居住区成熟度较差</v>
      </c>
      <c r="D8" s="15">
        <v>100</v>
      </c>
      <c r="E8" s="18" t="s">
        <v>104</v>
      </c>
      <c r="F8" s="15">
        <v>100</v>
      </c>
      <c r="G8" s="18" t="str">
        <f>C8</f>
        <v>估价对象所处区域国有出让建设用地住宅用房较少，仅有惠和新苑小区，居住小区数量较少，规模较小，入住率一般，综合评价居住区成熟度较差</v>
      </c>
      <c r="H8" s="15">
        <f>F8</f>
        <v>100</v>
      </c>
      <c r="I8" s="18" t="str">
        <f>C8</f>
        <v>估价对象所处区域国有出让建设用地住宅用房较少，仅有惠和新苑小区，居住小区数量较少，规模较小，入住率一般，综合评价居住区成熟度较差</v>
      </c>
      <c r="J8" s="15">
        <v>100</v>
      </c>
      <c r="K8" s="18" t="str">
        <f>C8</f>
        <v>估价对象所处区域国有出让建设用地住宅用房较少，仅有惠和新苑小区，居住小区数量较少，规模较小，入住率一般，综合评价居住区成熟度较差</v>
      </c>
      <c r="L8" s="15">
        <f>F8</f>
        <v>100</v>
      </c>
      <c r="M8" s="18" t="str">
        <f>C8</f>
        <v>估价对象所处区域国有出让建设用地住宅用房较少，仅有惠和新苑小区，居住小区数量较少，规模较小，入住率一般，综合评价居住区成熟度较差</v>
      </c>
      <c r="N8" s="15">
        <f>H8</f>
        <v>100</v>
      </c>
      <c r="O8" s="25">
        <f>比较法!M8</f>
        <v>3</v>
      </c>
      <c r="R8" s="27" t="s">
        <v>105</v>
      </c>
      <c r="S8" s="27" t="e">
        <f>#REF!</f>
        <v>#REF!</v>
      </c>
      <c r="T8" s="27" t="e">
        <f>#REF!</f>
        <v>#REF!</v>
      </c>
      <c r="U8" s="27" t="e">
        <f>#REF!</f>
        <v>#REF!</v>
      </c>
      <c r="V8" s="27" t="s">
        <v>106</v>
      </c>
      <c r="W8" s="28" t="e">
        <f>#REF!</f>
        <v>#REF!</v>
      </c>
      <c r="X8" s="28" t="e">
        <f>#REF!</f>
        <v>#REF!</v>
      </c>
      <c r="Y8" s="29">
        <f>C27</f>
        <v>15.42</v>
      </c>
      <c r="Z8" s="27" t="e">
        <f>#REF!</f>
        <v>#REF!</v>
      </c>
      <c r="AA8" s="27">
        <f>30/12</f>
        <v>2.5</v>
      </c>
      <c r="AB8" s="29" t="e">
        <f>ROUND(Y8+Z8+AA8,1)</f>
        <v>#REF!</v>
      </c>
      <c r="AC8" s="1">
        <v>56.8</v>
      </c>
    </row>
    <row r="9" spans="1:29" ht="94.5" customHeight="1">
      <c r="A9" s="93"/>
      <c r="B9" s="18" t="s">
        <v>18</v>
      </c>
      <c r="C9" s="19" t="str">
        <f>比较法!C9</f>
        <v>估价对象所处区域内有109国道复线、下安公路、大台线铁路、丰沙线铁路及892、929、M11、M16、M22路公交线路，位于山区，路网密集度较差，道路通达度较差，综合评价交通便捷度较差。</v>
      </c>
      <c r="D9" s="15">
        <v>100</v>
      </c>
      <c r="E9" s="18" t="s">
        <v>107</v>
      </c>
      <c r="F9" s="15">
        <v>100</v>
      </c>
      <c r="G9" s="18" t="s">
        <v>108</v>
      </c>
      <c r="H9" s="15">
        <v>100</v>
      </c>
      <c r="I9" s="18" t="s">
        <v>109</v>
      </c>
      <c r="J9" s="15">
        <v>100</v>
      </c>
      <c r="K9" s="18" t="s">
        <v>110</v>
      </c>
      <c r="L9" s="15">
        <f>J9</f>
        <v>100</v>
      </c>
      <c r="M9" s="18" t="s">
        <v>110</v>
      </c>
      <c r="N9" s="15">
        <f>L9</f>
        <v>100</v>
      </c>
      <c r="O9" s="25">
        <f>比较法!M9</f>
        <v>2</v>
      </c>
      <c r="R9" s="27" t="s">
        <v>111</v>
      </c>
      <c r="S9" s="27" t="e">
        <f>#REF!</f>
        <v>#REF!</v>
      </c>
      <c r="T9" s="27" t="e">
        <f>#REF!</f>
        <v>#REF!</v>
      </c>
      <c r="U9" s="27" t="e">
        <f>#REF!</f>
        <v>#REF!</v>
      </c>
      <c r="V9" s="27" t="s">
        <v>106</v>
      </c>
      <c r="W9" s="28" t="e">
        <f>#REF!</f>
        <v>#REF!</v>
      </c>
      <c r="X9" s="28" t="e">
        <f>#REF!</f>
        <v>#REF!</v>
      </c>
      <c r="Y9" s="27">
        <f>E27</f>
        <v>15.11</v>
      </c>
      <c r="Z9" s="27" t="e">
        <f>#REF!</f>
        <v>#REF!</v>
      </c>
      <c r="AA9" s="27">
        <f t="shared" ref="AA9" si="0">30/12</f>
        <v>2.5</v>
      </c>
      <c r="AB9" s="29" t="e">
        <f>ROUND(Y9+Z9+AA9,1)</f>
        <v>#REF!</v>
      </c>
      <c r="AC9" s="1">
        <v>55.7</v>
      </c>
    </row>
    <row r="10" spans="1:29" ht="42" customHeight="1">
      <c r="A10" s="93"/>
      <c r="B10" s="18" t="s">
        <v>19</v>
      </c>
      <c r="C10" s="19" t="str">
        <f>比较法!C10</f>
        <v>估价对象所属区域商业氛围较差，商业用房较少，仅有临街商铺等，体量较小，人流量较少，商业设施数量一般，综合评价商业设施较差。</v>
      </c>
      <c r="D10" s="15">
        <v>100</v>
      </c>
      <c r="E10" s="18" t="s">
        <v>20</v>
      </c>
      <c r="F10" s="15">
        <v>100</v>
      </c>
      <c r="G10" s="18" t="s">
        <v>112</v>
      </c>
      <c r="H10" s="15">
        <f>F10</f>
        <v>100</v>
      </c>
      <c r="I10" s="18" t="s">
        <v>113</v>
      </c>
      <c r="J10" s="15">
        <v>100</v>
      </c>
      <c r="K10" s="18" t="s">
        <v>114</v>
      </c>
      <c r="L10" s="15">
        <f>J10</f>
        <v>100</v>
      </c>
      <c r="M10" s="18" t="s">
        <v>114</v>
      </c>
      <c r="N10" s="15">
        <f>L10</f>
        <v>100</v>
      </c>
      <c r="O10" s="25">
        <f>比较法!M10</f>
        <v>2</v>
      </c>
      <c r="W10" s="1" t="e">
        <f>SUM(W8:W9)</f>
        <v>#REF!</v>
      </c>
      <c r="X10" s="1" t="e">
        <f>SUM(X8:X9)</f>
        <v>#REF!</v>
      </c>
    </row>
    <row r="11" spans="1:29" ht="62.25" customHeight="1">
      <c r="A11" s="93"/>
      <c r="B11" s="18" t="s">
        <v>22</v>
      </c>
      <c r="C11" s="19" t="str">
        <f>比较法!C11</f>
        <v>估价对象所处区域有永定河，自然环境较好；周边无人文景观，人文环境较差，综合评价环境状况一般。</v>
      </c>
      <c r="D11" s="15">
        <v>100</v>
      </c>
      <c r="E11" s="18" t="s">
        <v>115</v>
      </c>
      <c r="F11" s="15">
        <v>100</v>
      </c>
      <c r="G11" s="18" t="s">
        <v>116</v>
      </c>
      <c r="H11" s="15">
        <v>100</v>
      </c>
      <c r="I11" s="18" t="s">
        <v>117</v>
      </c>
      <c r="J11" s="15">
        <v>100</v>
      </c>
      <c r="K11" s="18" t="s">
        <v>118</v>
      </c>
      <c r="L11" s="15">
        <v>100</v>
      </c>
      <c r="M11" s="18" t="s">
        <v>118</v>
      </c>
      <c r="N11" s="15">
        <v>100</v>
      </c>
      <c r="O11" s="25">
        <f>比较法!M11</f>
        <v>2</v>
      </c>
    </row>
    <row r="12" spans="1:29" ht="98.25" customHeight="1">
      <c r="A12" s="94"/>
      <c r="B12" s="18" t="s">
        <v>23</v>
      </c>
      <c r="C12" s="19" t="str">
        <f>比较法!C12</f>
        <v>区域范围内有中国邮政储蓄银行；雨润发超市、世纪家家福超市等商服设施；周边有王平村小学、王平中学等教育机构；有北京京煤总医院（王平医院）医疗机构设施。公共配套设施一般。</v>
      </c>
      <c r="D12" s="15">
        <v>100</v>
      </c>
      <c r="E12" s="18" t="s">
        <v>119</v>
      </c>
      <c r="F12" s="15">
        <v>100</v>
      </c>
      <c r="G12" s="18" t="s">
        <v>120</v>
      </c>
      <c r="H12" s="15">
        <v>100</v>
      </c>
      <c r="I12" s="18" t="s">
        <v>121</v>
      </c>
      <c r="J12" s="15">
        <v>100</v>
      </c>
      <c r="K12" s="18" t="s">
        <v>122</v>
      </c>
      <c r="L12" s="15">
        <v>100</v>
      </c>
      <c r="M12" s="18" t="s">
        <v>122</v>
      </c>
      <c r="N12" s="15">
        <v>100</v>
      </c>
      <c r="O12" s="25">
        <f>比较法!M12</f>
        <v>2</v>
      </c>
    </row>
    <row r="13" spans="1:29" ht="24">
      <c r="A13" s="95" t="s">
        <v>123</v>
      </c>
      <c r="B13" s="18" t="s">
        <v>26</v>
      </c>
      <c r="C13" s="19" t="str">
        <f>比较法!C13</f>
        <v>有专业物业公司，物业服务保障一般。</v>
      </c>
      <c r="D13" s="15">
        <v>100</v>
      </c>
      <c r="E13" s="20" t="s">
        <v>27</v>
      </c>
      <c r="F13" s="15">
        <v>100</v>
      </c>
      <c r="G13" s="20" t="s">
        <v>27</v>
      </c>
      <c r="H13" s="15">
        <v>100</v>
      </c>
      <c r="I13" s="20" t="s">
        <v>27</v>
      </c>
      <c r="J13" s="15">
        <v>100</v>
      </c>
      <c r="K13" s="20" t="s">
        <v>27</v>
      </c>
      <c r="L13" s="15">
        <v>100</v>
      </c>
      <c r="M13" s="20" t="s">
        <v>27</v>
      </c>
      <c r="N13" s="15">
        <v>100</v>
      </c>
      <c r="O13" s="25">
        <f>比较法!M13</f>
        <v>2</v>
      </c>
    </row>
    <row r="14" spans="1:29" ht="24.75">
      <c r="A14" s="96"/>
      <c r="B14" s="18" t="s">
        <v>28</v>
      </c>
      <c r="C14" s="19" t="str">
        <f>比较法!C14</f>
        <v>绿化率约为30%，较好。</v>
      </c>
      <c r="D14" s="15">
        <v>100</v>
      </c>
      <c r="E14" s="21" t="s">
        <v>124</v>
      </c>
      <c r="F14" s="15">
        <v>100</v>
      </c>
      <c r="G14" s="21" t="s">
        <v>29</v>
      </c>
      <c r="H14" s="15">
        <f>[5]远山嘉园!H14</f>
        <v>100</v>
      </c>
      <c r="I14" s="21" t="s">
        <v>29</v>
      </c>
      <c r="J14" s="15">
        <v>100</v>
      </c>
      <c r="K14" s="21" t="s">
        <v>29</v>
      </c>
      <c r="L14" s="15">
        <f>H14</f>
        <v>100</v>
      </c>
      <c r="M14" s="21" t="s">
        <v>29</v>
      </c>
      <c r="N14" s="15">
        <f>J14</f>
        <v>100</v>
      </c>
      <c r="O14" s="25">
        <f>比较法!M14</f>
        <v>2</v>
      </c>
    </row>
    <row r="15" spans="1:29">
      <c r="A15" s="96"/>
      <c r="B15" s="15" t="s">
        <v>31</v>
      </c>
      <c r="C15" s="19" t="str">
        <f>比较法!C15</f>
        <v>未配备活动站、医疗站。</v>
      </c>
      <c r="D15" s="15">
        <v>100</v>
      </c>
      <c r="E15" s="20" t="s">
        <v>32</v>
      </c>
      <c r="F15" s="15">
        <v>100</v>
      </c>
      <c r="G15" s="20" t="s">
        <v>32</v>
      </c>
      <c r="H15" s="15">
        <v>100</v>
      </c>
      <c r="I15" s="20" t="s">
        <v>32</v>
      </c>
      <c r="J15" s="15">
        <v>100</v>
      </c>
      <c r="K15" s="20" t="s">
        <v>32</v>
      </c>
      <c r="L15" s="15">
        <v>100</v>
      </c>
      <c r="M15" s="20" t="s">
        <v>32</v>
      </c>
      <c r="N15" s="15">
        <v>100</v>
      </c>
      <c r="O15" s="25">
        <f>比较法!M15</f>
        <v>2</v>
      </c>
    </row>
    <row r="16" spans="1:29" ht="36">
      <c r="A16" s="96"/>
      <c r="B16" s="18" t="s">
        <v>34</v>
      </c>
      <c r="C16" s="19" t="str">
        <f>比较法!C16</f>
        <v>有管理人员配置，房屋住户备案较少，居住安全性一般。</v>
      </c>
      <c r="D16" s="15">
        <v>100</v>
      </c>
      <c r="E16" s="22" t="s">
        <v>125</v>
      </c>
      <c r="F16" s="15">
        <v>100</v>
      </c>
      <c r="G16" s="22" t="s">
        <v>125</v>
      </c>
      <c r="H16" s="15">
        <v>100</v>
      </c>
      <c r="I16" s="22" t="s">
        <v>125</v>
      </c>
      <c r="J16" s="15">
        <v>100</v>
      </c>
      <c r="K16" s="22" t="s">
        <v>125</v>
      </c>
      <c r="L16" s="15">
        <v>100</v>
      </c>
      <c r="M16" s="22" t="s">
        <v>125</v>
      </c>
      <c r="N16" s="15">
        <v>100</v>
      </c>
      <c r="O16" s="25">
        <f>比较法!M16</f>
        <v>1</v>
      </c>
    </row>
    <row r="17" spans="1:15" ht="24">
      <c r="A17" s="96"/>
      <c r="B17" s="18" t="s">
        <v>37</v>
      </c>
      <c r="C17" s="19" t="str">
        <f>比较法!C18</f>
        <v>主力户型为二居室</v>
      </c>
      <c r="D17" s="15">
        <v>100</v>
      </c>
      <c r="E17" s="20" t="s">
        <v>126</v>
      </c>
      <c r="F17" s="15">
        <v>100</v>
      </c>
      <c r="G17" s="20" t="s">
        <v>127</v>
      </c>
      <c r="H17" s="15">
        <v>100</v>
      </c>
      <c r="I17" s="20" t="s">
        <v>127</v>
      </c>
      <c r="J17" s="15">
        <v>100</v>
      </c>
      <c r="K17" s="20" t="s">
        <v>127</v>
      </c>
      <c r="L17" s="15">
        <v>100</v>
      </c>
      <c r="M17" s="20" t="s">
        <v>127</v>
      </c>
      <c r="N17" s="15">
        <v>100</v>
      </c>
      <c r="O17" s="25">
        <f>比较法!M18</f>
        <v>1</v>
      </c>
    </row>
    <row r="18" spans="1:15" ht="60">
      <c r="A18" s="96"/>
      <c r="B18" s="18" t="s">
        <v>40</v>
      </c>
      <c r="C18" s="19" t="str">
        <f>比较法!C21</f>
        <v>朝向好（南北），能保证较长时间的采光，通风较好，综合分析朝向、采光、通风状况好</v>
      </c>
      <c r="D18" s="15">
        <v>100</v>
      </c>
      <c r="E18" s="20" t="s">
        <v>128</v>
      </c>
      <c r="F18" s="23">
        <v>98</v>
      </c>
      <c r="G18" s="20" t="s">
        <v>128</v>
      </c>
      <c r="H18" s="23">
        <f>100+O18</f>
        <v>102</v>
      </c>
      <c r="I18" s="20" t="s">
        <v>128</v>
      </c>
      <c r="J18" s="23">
        <f>100+O18</f>
        <v>102</v>
      </c>
      <c r="K18" s="20" t="s">
        <v>128</v>
      </c>
      <c r="L18" s="23">
        <f>100+O18</f>
        <v>102</v>
      </c>
      <c r="M18" s="20" t="s">
        <v>129</v>
      </c>
      <c r="N18" s="15">
        <v>100</v>
      </c>
      <c r="O18" s="25">
        <f>比较法!M21</f>
        <v>2</v>
      </c>
    </row>
    <row r="19" spans="1:15" ht="48">
      <c r="A19" s="96"/>
      <c r="B19" s="18" t="s">
        <v>44</v>
      </c>
      <c r="C19" s="19" t="str">
        <f>比较法!C23</f>
        <v>装修为普通装修，与居住功能相适应，较好。</v>
      </c>
      <c r="D19" s="15">
        <v>100</v>
      </c>
      <c r="E19" s="20" t="s">
        <v>45</v>
      </c>
      <c r="F19" s="15">
        <v>100</v>
      </c>
      <c r="G19" s="20" t="s">
        <v>130</v>
      </c>
      <c r="H19" s="15">
        <f>F19</f>
        <v>100</v>
      </c>
      <c r="I19" s="20" t="s">
        <v>130</v>
      </c>
      <c r="J19" s="15">
        <v>100</v>
      </c>
      <c r="K19" s="20" t="s">
        <v>130</v>
      </c>
      <c r="L19" s="15">
        <f>F19</f>
        <v>100</v>
      </c>
      <c r="M19" s="20" t="s">
        <v>130</v>
      </c>
      <c r="N19" s="15">
        <f>H19</f>
        <v>100</v>
      </c>
      <c r="O19" s="25">
        <f>比较法!M23</f>
        <v>1</v>
      </c>
    </row>
    <row r="20" spans="1:15" ht="48">
      <c r="A20" s="96"/>
      <c r="B20" s="18" t="s">
        <v>47</v>
      </c>
      <c r="C20" s="19" t="str">
        <f>比较法!C24</f>
        <v>厨房卫生间可正常使用，其余房间不配备家具、家电，较差</v>
      </c>
      <c r="D20" s="15">
        <v>100</v>
      </c>
      <c r="E20" s="20" t="s">
        <v>131</v>
      </c>
      <c r="F20" s="15">
        <v>100</v>
      </c>
      <c r="G20" s="20" t="s">
        <v>131</v>
      </c>
      <c r="H20" s="15">
        <v>100</v>
      </c>
      <c r="I20" s="20" t="s">
        <v>131</v>
      </c>
      <c r="J20" s="15">
        <v>100</v>
      </c>
      <c r="K20" s="20" t="s">
        <v>131</v>
      </c>
      <c r="L20" s="15">
        <v>100</v>
      </c>
      <c r="M20" s="20" t="s">
        <v>131</v>
      </c>
      <c r="N20" s="15">
        <v>100</v>
      </c>
      <c r="O20" s="25">
        <f>比较法!M24</f>
        <v>4</v>
      </c>
    </row>
    <row r="21" spans="1:15">
      <c r="A21" s="97" t="s">
        <v>57</v>
      </c>
      <c r="B21" s="97"/>
      <c r="C21" s="98" t="s">
        <v>58</v>
      </c>
      <c r="D21" s="98"/>
      <c r="E21" s="102">
        <f>C5</f>
        <v>15.42</v>
      </c>
      <c r="F21" s="102"/>
      <c r="G21" s="102" t="str">
        <f>G5</f>
        <v>待估</v>
      </c>
      <c r="H21" s="102"/>
      <c r="I21" s="102" t="str">
        <f>I5</f>
        <v>待估</v>
      </c>
      <c r="J21" s="102"/>
      <c r="K21" s="102" t="str">
        <f>K5</f>
        <v>待估</v>
      </c>
      <c r="L21" s="102"/>
      <c r="M21" s="98" t="str">
        <f>M5</f>
        <v>待估</v>
      </c>
      <c r="N21" s="98"/>
    </row>
    <row r="22" spans="1:15">
      <c r="A22" s="97" t="s">
        <v>59</v>
      </c>
      <c r="B22" s="97"/>
      <c r="C22" s="98" t="s">
        <v>58</v>
      </c>
      <c r="D22" s="98"/>
      <c r="E22" s="90">
        <f>ROUND(E21/POWER(100,COUNT(F6:F20))*PRODUCT(F6:F20),2)</f>
        <v>15.11</v>
      </c>
      <c r="F22" s="90"/>
      <c r="G22" s="90" t="e">
        <f>ROUND(G21/POWER(100,COUNT(H6:H20))*PRODUCT(H6:H20),2)</f>
        <v>#VALUE!</v>
      </c>
      <c r="H22" s="90"/>
      <c r="I22" s="90" t="e">
        <f>ROUND(I21/POWER(100,COUNT(J6:J20))*PRODUCT(J6:J20),2)</f>
        <v>#VALUE!</v>
      </c>
      <c r="J22" s="90"/>
      <c r="K22" s="90" t="e">
        <f>ROUND(K21/POWER(100,COUNT(L6:L20))*PRODUCT(L6:L20),2)</f>
        <v>#VALUE!</v>
      </c>
      <c r="L22" s="90"/>
      <c r="M22" s="90" t="e">
        <f>ROUND(M21*POWER(100,COUNT(N6:N20))/PRODUCT(N6:N20),2)</f>
        <v>#VALUE!</v>
      </c>
      <c r="N22" s="90"/>
    </row>
    <row r="23" spans="1:15" ht="14.25">
      <c r="A23" s="91" t="e">
        <f>CONCATENATE("估价对象比较价值=(",TEXT(E22,"G/通用格式"),"+",TEXT(G22,"G/通用格式"),"+",TEXT(K22,"G/通用格式"),")","/",3,"=",ROUND((E22+G22+K22)/3,2))</f>
        <v>#VALUE!</v>
      </c>
      <c r="B23" s="91"/>
      <c r="C23" s="91"/>
      <c r="D23" s="91"/>
      <c r="E23" s="91"/>
      <c r="F23" s="91"/>
      <c r="G23" s="91"/>
      <c r="H23" s="91"/>
      <c r="I23" s="91"/>
      <c r="J23" s="91"/>
      <c r="K23" s="26"/>
      <c r="L23" s="26"/>
    </row>
    <row r="25" spans="1:15">
      <c r="E25" s="1">
        <f>ROUND(E22/E21,4)</f>
        <v>0.97989999999999999</v>
      </c>
      <c r="G25" s="1" t="e">
        <f>ROUND(G22/G21,4)</f>
        <v>#VALUE!</v>
      </c>
      <c r="I25" s="1" t="e">
        <f>ROUND(I22/I21,4)</f>
        <v>#VALUE!</v>
      </c>
      <c r="K25" s="1" t="e">
        <f>ROUND(K22/K21,4)</f>
        <v>#VALUE!</v>
      </c>
      <c r="M25" s="1" t="e">
        <f>ROUND(M22/M21,4)</f>
        <v>#VALUE!</v>
      </c>
    </row>
    <row r="27" spans="1:15">
      <c r="C27" s="24">
        <f>E21</f>
        <v>15.42</v>
      </c>
      <c r="E27" s="1">
        <f>ROUND(E21*E25,2)</f>
        <v>15.11</v>
      </c>
      <c r="G27" s="1" t="e">
        <f>ROUND(G21*G25,2)</f>
        <v>#VALUE!</v>
      </c>
      <c r="I27" s="1" t="e">
        <f>ROUND(I21*I25,2)</f>
        <v>#VALUE!</v>
      </c>
      <c r="K27" s="1" t="e">
        <f>ROUND(K21*K25,2)</f>
        <v>#VALUE!</v>
      </c>
      <c r="M27" s="1" t="e">
        <f>ROUND(M21*M25,2)</f>
        <v>#VALUE!</v>
      </c>
    </row>
    <row r="30" spans="1:15">
      <c r="C30" s="1" t="s">
        <v>64</v>
      </c>
      <c r="E30" s="1" t="s">
        <v>63</v>
      </c>
      <c r="G30" s="1" t="s">
        <v>63</v>
      </c>
      <c r="I30" s="1" t="s">
        <v>63</v>
      </c>
      <c r="K30" s="1" t="s">
        <v>63</v>
      </c>
      <c r="M30" s="1" t="s">
        <v>132</v>
      </c>
    </row>
  </sheetData>
  <mergeCells count="41">
    <mergeCell ref="A1:J1"/>
    <mergeCell ref="A3:B3"/>
    <mergeCell ref="C3:D3"/>
    <mergeCell ref="E3:F3"/>
    <mergeCell ref="G3:H3"/>
    <mergeCell ref="I3:J3"/>
    <mergeCell ref="K3:L3"/>
    <mergeCell ref="M3:N3"/>
    <mergeCell ref="A4:B4"/>
    <mergeCell ref="C4:D4"/>
    <mergeCell ref="E4:F4"/>
    <mergeCell ref="G4:H4"/>
    <mergeCell ref="I4:J4"/>
    <mergeCell ref="K4:L4"/>
    <mergeCell ref="M4:N4"/>
    <mergeCell ref="K5:L5"/>
    <mergeCell ref="M5:N5"/>
    <mergeCell ref="A6:B6"/>
    <mergeCell ref="A7:B7"/>
    <mergeCell ref="A21:B21"/>
    <mergeCell ref="C21:D21"/>
    <mergeCell ref="E21:F21"/>
    <mergeCell ref="G21:H21"/>
    <mergeCell ref="I21:J21"/>
    <mergeCell ref="K21:L21"/>
    <mergeCell ref="M21:N21"/>
    <mergeCell ref="A5:B5"/>
    <mergeCell ref="C5:D5"/>
    <mergeCell ref="E5:F5"/>
    <mergeCell ref="G5:H5"/>
    <mergeCell ref="I5:J5"/>
    <mergeCell ref="K22:L22"/>
    <mergeCell ref="M22:N22"/>
    <mergeCell ref="A23:J23"/>
    <mergeCell ref="A8:A12"/>
    <mergeCell ref="A13:A20"/>
    <mergeCell ref="A22:B22"/>
    <mergeCell ref="C22:D22"/>
    <mergeCell ref="E22:F22"/>
    <mergeCell ref="G22:H22"/>
    <mergeCell ref="I22:J22"/>
  </mergeCells>
  <phoneticPr fontId="31"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25" defaultRowHeight="13.5"/>
  <cols>
    <col min="1" max="1" width="24.375" style="1" customWidth="1"/>
    <col min="2" max="16384" width="14.625" style="1"/>
  </cols>
  <sheetData>
    <row r="1" spans="1:9">
      <c r="A1" s="2" t="s">
        <v>133</v>
      </c>
      <c r="B1" s="3">
        <v>75</v>
      </c>
      <c r="C1" s="4"/>
      <c r="D1" s="4"/>
      <c r="E1" s="4"/>
      <c r="F1" s="4"/>
      <c r="G1" s="5"/>
    </row>
    <row r="2" spans="1:9">
      <c r="A2" s="2" t="s">
        <v>134</v>
      </c>
      <c r="B2" s="2">
        <f>SUM(C14:C23)</f>
        <v>0</v>
      </c>
      <c r="C2" s="4"/>
      <c r="D2" s="4"/>
      <c r="E2" s="4"/>
      <c r="F2" s="4"/>
      <c r="G2" s="5"/>
    </row>
    <row r="3" spans="1:9">
      <c r="A3" s="2" t="s">
        <v>135</v>
      </c>
      <c r="B3" s="6">
        <v>45090</v>
      </c>
      <c r="C3" s="4"/>
      <c r="D3" s="4"/>
      <c r="E3" s="4"/>
      <c r="F3" s="4"/>
      <c r="G3" s="5"/>
    </row>
    <row r="4" spans="1:9" ht="27">
      <c r="A4" s="2" t="s">
        <v>136</v>
      </c>
      <c r="B4" s="2" t="s">
        <v>137</v>
      </c>
      <c r="C4" s="2" t="s">
        <v>138</v>
      </c>
      <c r="D4" s="2" t="s">
        <v>139</v>
      </c>
      <c r="E4" s="4"/>
      <c r="F4" s="5"/>
      <c r="G4" s="5"/>
    </row>
    <row r="5" spans="1:9">
      <c r="A5" s="2" t="s">
        <v>140</v>
      </c>
      <c r="B5" s="2">
        <f>SUM(D14:D23)</f>
        <v>16.87</v>
      </c>
      <c r="C5" s="2">
        <f>ROUND(B5*10000/$B$1,0)</f>
        <v>2249</v>
      </c>
      <c r="D5" s="2" t="e">
        <f>ROUND(B5*10000/$B$2,0)</f>
        <v>#DIV/0!</v>
      </c>
      <c r="E5" s="4"/>
      <c r="F5" s="5"/>
      <c r="G5" s="5"/>
    </row>
    <row r="6" spans="1:9">
      <c r="A6" s="2" t="s">
        <v>141</v>
      </c>
      <c r="B6" s="2">
        <f>SUM(D14:D23)</f>
        <v>16.87</v>
      </c>
      <c r="C6" s="2">
        <f>ROUND(B6*10000/$B$1,0)</f>
        <v>2249</v>
      </c>
      <c r="D6" s="2" t="e">
        <f>ROUND(B6*10000/$B$2,0)</f>
        <v>#DIV/0!</v>
      </c>
      <c r="E6" s="4"/>
      <c r="F6" s="5"/>
      <c r="G6" s="5"/>
    </row>
    <row r="7" spans="1:9">
      <c r="A7" s="2" t="s">
        <v>142</v>
      </c>
      <c r="B7" s="2">
        <f>B5</f>
        <v>16.87</v>
      </c>
      <c r="C7" s="2">
        <f>ROUND(B7*10000/$B$1,0)</f>
        <v>2249</v>
      </c>
      <c r="D7" s="2" t="e">
        <f>ROUND(B7*10000/$B$2,0)</f>
        <v>#DIV/0!</v>
      </c>
      <c r="E7" s="4"/>
      <c r="F7" s="5"/>
      <c r="G7" s="5"/>
    </row>
    <row r="8" spans="1:9">
      <c r="A8" s="2" t="s">
        <v>143</v>
      </c>
      <c r="B8" s="2">
        <f>B5</f>
        <v>16.87</v>
      </c>
      <c r="C8" s="2">
        <f>ROUND(B8*10000/$B$1,0)</f>
        <v>2249</v>
      </c>
      <c r="D8" s="2" t="e">
        <f>ROUND(B8*10000/$B$2,0)</f>
        <v>#DIV/0!</v>
      </c>
      <c r="E8" s="4"/>
      <c r="F8" s="5"/>
      <c r="G8" s="5"/>
    </row>
    <row r="9" spans="1:9">
      <c r="A9" s="2" t="s">
        <v>144</v>
      </c>
      <c r="B9" s="7"/>
      <c r="C9" s="4"/>
      <c r="D9" s="4"/>
      <c r="E9" s="4"/>
      <c r="F9" s="5"/>
      <c r="G9" s="5"/>
    </row>
    <row r="10" spans="1:9">
      <c r="A10" s="2" t="s">
        <v>145</v>
      </c>
      <c r="B10" s="7">
        <f>B5</f>
        <v>16.87</v>
      </c>
      <c r="C10" s="4"/>
      <c r="D10" s="4"/>
      <c r="E10" s="4"/>
      <c r="F10" s="5"/>
      <c r="G10" s="5"/>
    </row>
    <row r="11" spans="1:9">
      <c r="A11" s="2" t="s">
        <v>146</v>
      </c>
      <c r="B11" s="7"/>
      <c r="C11" s="4"/>
      <c r="D11" s="4"/>
      <c r="E11" s="4"/>
      <c r="F11" s="5"/>
      <c r="G11" s="5"/>
    </row>
    <row r="12" spans="1:9">
      <c r="A12" s="4"/>
      <c r="B12" s="4"/>
      <c r="C12" s="4"/>
      <c r="D12" s="4"/>
      <c r="E12" s="4"/>
      <c r="F12" s="5"/>
      <c r="G12" s="5"/>
    </row>
    <row r="13" spans="1:9" ht="27">
      <c r="A13" s="8" t="s">
        <v>147</v>
      </c>
      <c r="B13" s="9" t="s">
        <v>133</v>
      </c>
      <c r="C13" s="9" t="s">
        <v>134</v>
      </c>
      <c r="D13" s="9" t="s">
        <v>148</v>
      </c>
      <c r="E13" s="2" t="s">
        <v>138</v>
      </c>
      <c r="F13" s="2" t="s">
        <v>139</v>
      </c>
      <c r="G13" s="9" t="s">
        <v>149</v>
      </c>
      <c r="H13" s="9" t="s">
        <v>150</v>
      </c>
      <c r="I13" s="9" t="s">
        <v>151</v>
      </c>
    </row>
    <row r="14" spans="1:9">
      <c r="A14" s="10" t="s">
        <v>152</v>
      </c>
      <c r="B14" s="9">
        <f>B1</f>
        <v>75</v>
      </c>
      <c r="C14" s="9">
        <v>0</v>
      </c>
      <c r="D14" s="9">
        <f>比较法!C34</f>
        <v>16.87</v>
      </c>
      <c r="E14" s="9">
        <f>比较法!C33</f>
        <v>15.42</v>
      </c>
      <c r="F14" s="9" t="e">
        <f>ROUND(D14*10000/C14,0)</f>
        <v>#DIV/0!</v>
      </c>
      <c r="G14" s="9">
        <v>0</v>
      </c>
      <c r="H14" s="9">
        <v>0</v>
      </c>
      <c r="I14" s="9">
        <v>0</v>
      </c>
    </row>
    <row r="15" spans="1:9">
      <c r="A15" s="11" t="s">
        <v>153</v>
      </c>
      <c r="B15" s="12"/>
      <c r="C15" s="12"/>
      <c r="D15" s="12"/>
      <c r="E15" s="9" t="e">
        <f t="shared" ref="E15:E23" si="0">ROUND(D15*10000/B15,0)</f>
        <v>#DIV/0!</v>
      </c>
      <c r="F15" s="9" t="e">
        <f t="shared" ref="F15:F23" si="1">ROUND(D15*10000/C15,0)</f>
        <v>#DIV/0!</v>
      </c>
      <c r="G15" s="13"/>
      <c r="H15" s="13"/>
      <c r="I15" s="12"/>
    </row>
    <row r="16" spans="1:9">
      <c r="A16" s="11" t="s">
        <v>154</v>
      </c>
      <c r="B16" s="12"/>
      <c r="C16" s="12"/>
      <c r="D16" s="12"/>
      <c r="E16" s="9" t="e">
        <f t="shared" si="0"/>
        <v>#DIV/0!</v>
      </c>
      <c r="F16" s="9" t="e">
        <f t="shared" si="1"/>
        <v>#DIV/0!</v>
      </c>
      <c r="G16" s="13"/>
      <c r="H16" s="13"/>
      <c r="I16" s="12"/>
    </row>
    <row r="17" spans="1:9">
      <c r="A17" s="11" t="s">
        <v>155</v>
      </c>
      <c r="B17" s="12"/>
      <c r="C17" s="12"/>
      <c r="D17" s="12"/>
      <c r="E17" s="9" t="e">
        <f t="shared" si="0"/>
        <v>#DIV/0!</v>
      </c>
      <c r="F17" s="9" t="e">
        <f t="shared" si="1"/>
        <v>#DIV/0!</v>
      </c>
      <c r="G17" s="13"/>
      <c r="H17" s="13"/>
      <c r="I17" s="12"/>
    </row>
    <row r="18" spans="1:9">
      <c r="A18" s="11" t="s">
        <v>156</v>
      </c>
      <c r="B18" s="12"/>
      <c r="C18" s="12"/>
      <c r="D18" s="12"/>
      <c r="E18" s="9" t="e">
        <f t="shared" si="0"/>
        <v>#DIV/0!</v>
      </c>
      <c r="F18" s="9" t="e">
        <f t="shared" si="1"/>
        <v>#DIV/0!</v>
      </c>
      <c r="G18" s="12"/>
      <c r="H18" s="12"/>
      <c r="I18" s="12"/>
    </row>
    <row r="19" spans="1:9">
      <c r="A19" s="11" t="s">
        <v>157</v>
      </c>
      <c r="B19" s="12"/>
      <c r="C19" s="12"/>
      <c r="D19" s="12"/>
      <c r="E19" s="9" t="e">
        <f t="shared" si="0"/>
        <v>#DIV/0!</v>
      </c>
      <c r="F19" s="9" t="e">
        <f t="shared" si="1"/>
        <v>#DIV/0!</v>
      </c>
      <c r="G19" s="12"/>
      <c r="H19" s="12"/>
      <c r="I19" s="12"/>
    </row>
    <row r="20" spans="1:9">
      <c r="A20" s="11" t="s">
        <v>158</v>
      </c>
      <c r="B20" s="12"/>
      <c r="C20" s="12"/>
      <c r="D20" s="12"/>
      <c r="E20" s="9" t="e">
        <f t="shared" si="0"/>
        <v>#DIV/0!</v>
      </c>
      <c r="F20" s="9" t="e">
        <f t="shared" si="1"/>
        <v>#DIV/0!</v>
      </c>
      <c r="G20" s="12"/>
      <c r="H20" s="12"/>
      <c r="I20" s="12"/>
    </row>
    <row r="21" spans="1:9">
      <c r="A21" s="11" t="s">
        <v>159</v>
      </c>
      <c r="B21" s="12"/>
      <c r="C21" s="12"/>
      <c r="D21" s="12"/>
      <c r="E21" s="9" t="e">
        <f t="shared" si="0"/>
        <v>#DIV/0!</v>
      </c>
      <c r="F21" s="9" t="e">
        <f t="shared" si="1"/>
        <v>#DIV/0!</v>
      </c>
      <c r="G21" s="12"/>
      <c r="H21" s="12"/>
      <c r="I21" s="12"/>
    </row>
    <row r="22" spans="1:9">
      <c r="A22" s="11" t="s">
        <v>160</v>
      </c>
      <c r="B22" s="12"/>
      <c r="C22" s="12"/>
      <c r="D22" s="12"/>
      <c r="E22" s="9" t="e">
        <f t="shared" si="0"/>
        <v>#DIV/0!</v>
      </c>
      <c r="F22" s="9" t="e">
        <f t="shared" si="1"/>
        <v>#DIV/0!</v>
      </c>
      <c r="G22" s="12"/>
      <c r="H22" s="12"/>
      <c r="I22" s="12"/>
    </row>
    <row r="23" spans="1:9">
      <c r="A23" s="11" t="s">
        <v>161</v>
      </c>
      <c r="B23" s="12"/>
      <c r="C23" s="12"/>
      <c r="D23" s="12"/>
      <c r="E23" s="2" t="e">
        <f t="shared" si="0"/>
        <v>#DIV/0!</v>
      </c>
      <c r="F23" s="2" t="e">
        <f t="shared" si="1"/>
        <v>#DIV/0!</v>
      </c>
      <c r="G23" s="12"/>
      <c r="H23" s="12"/>
      <c r="I23" s="12"/>
    </row>
  </sheetData>
  <phoneticPr fontId="3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R67"/>
  <sheetViews>
    <sheetView topLeftCell="C34" workbookViewId="0">
      <selection activeCell="J66" sqref="J66"/>
    </sheetView>
  </sheetViews>
  <sheetFormatPr defaultRowHeight="14.25"/>
  <cols>
    <col min="1" max="1" width="9" style="58"/>
    <col min="2" max="2" width="13" style="58" customWidth="1"/>
    <col min="3" max="3" width="9" style="58"/>
    <col min="4" max="4" width="12.25" style="58" customWidth="1"/>
    <col min="5" max="16384" width="9" style="58"/>
  </cols>
  <sheetData>
    <row r="12" spans="4:4">
      <c r="D12" s="60"/>
    </row>
    <row r="19" spans="4:4">
      <c r="D19" s="60"/>
    </row>
    <row r="39" spans="2:18">
      <c r="C39" s="58" t="s">
        <v>163</v>
      </c>
      <c r="D39" s="58" t="s">
        <v>176</v>
      </c>
      <c r="E39" s="58" t="s">
        <v>164</v>
      </c>
      <c r="F39" s="58" t="s">
        <v>165</v>
      </c>
      <c r="G39" s="58" t="s">
        <v>167</v>
      </c>
      <c r="H39" s="58" t="s">
        <v>169</v>
      </c>
      <c r="I39" s="58" t="s">
        <v>170</v>
      </c>
      <c r="K39" s="58" t="s">
        <v>193</v>
      </c>
    </row>
    <row r="40" spans="2:18">
      <c r="B40" s="58" t="s">
        <v>162</v>
      </c>
      <c r="C40" s="58">
        <v>2004</v>
      </c>
      <c r="D40" s="58">
        <v>1</v>
      </c>
      <c r="E40" s="58">
        <v>72.680000000000007</v>
      </c>
      <c r="F40" s="58" t="s">
        <v>166</v>
      </c>
      <c r="G40" s="58" t="s">
        <v>168</v>
      </c>
      <c r="H40" s="58" t="s">
        <v>174</v>
      </c>
      <c r="I40" s="58" t="s">
        <v>171</v>
      </c>
      <c r="J40" s="58" t="s">
        <v>172</v>
      </c>
      <c r="K40" s="58">
        <f>30/12</f>
        <v>2.5</v>
      </c>
    </row>
    <row r="41" spans="2:18">
      <c r="B41" s="58" t="s">
        <v>173</v>
      </c>
      <c r="C41" s="58">
        <v>2000</v>
      </c>
      <c r="D41" s="58">
        <v>0.52</v>
      </c>
      <c r="E41" s="58">
        <v>79.349999999999994</v>
      </c>
      <c r="F41" s="58" t="s">
        <v>166</v>
      </c>
      <c r="G41" s="58" t="s">
        <v>168</v>
      </c>
      <c r="H41" s="58" t="s">
        <v>174</v>
      </c>
      <c r="I41" s="58" t="s">
        <v>171</v>
      </c>
      <c r="J41" s="58" t="s">
        <v>172</v>
      </c>
      <c r="K41" s="58">
        <f>K40</f>
        <v>2.5</v>
      </c>
    </row>
    <row r="42" spans="2:18">
      <c r="B42" s="58" t="s">
        <v>175</v>
      </c>
      <c r="C42" s="58">
        <v>2011</v>
      </c>
      <c r="D42" s="58">
        <v>0.55000000000000004</v>
      </c>
      <c r="E42" s="58">
        <v>68.790000000000006</v>
      </c>
      <c r="F42" s="58" t="s">
        <v>177</v>
      </c>
      <c r="G42" s="58" t="s">
        <v>168</v>
      </c>
      <c r="H42" s="58" t="s">
        <v>174</v>
      </c>
      <c r="I42" s="58" t="s">
        <v>171</v>
      </c>
      <c r="J42" s="58" t="s">
        <v>172</v>
      </c>
      <c r="K42" s="58">
        <f>K40</f>
        <v>2.5</v>
      </c>
    </row>
    <row r="48" spans="2:18">
      <c r="C48" s="61" t="s">
        <v>178</v>
      </c>
      <c r="D48" s="61" t="s">
        <v>179</v>
      </c>
      <c r="E48" s="61" t="s">
        <v>180</v>
      </c>
      <c r="F48" s="61" t="s">
        <v>181</v>
      </c>
      <c r="G48" s="61" t="s">
        <v>182</v>
      </c>
      <c r="H48" s="61" t="s">
        <v>183</v>
      </c>
      <c r="I48" s="61" t="s">
        <v>184</v>
      </c>
      <c r="J48" s="61" t="s">
        <v>185</v>
      </c>
      <c r="K48" s="61" t="s">
        <v>186</v>
      </c>
      <c r="L48" s="61" t="s">
        <v>187</v>
      </c>
      <c r="M48" s="61" t="s">
        <v>188</v>
      </c>
      <c r="N48" s="61" t="s">
        <v>189</v>
      </c>
      <c r="O48" s="58" t="s">
        <v>192</v>
      </c>
      <c r="P48" s="58" t="s">
        <v>194</v>
      </c>
      <c r="Q48" s="58" t="s">
        <v>195</v>
      </c>
      <c r="R48" s="58" t="s">
        <v>196</v>
      </c>
    </row>
    <row r="49" spans="2:18">
      <c r="B49" s="58" t="s">
        <v>162</v>
      </c>
      <c r="C49" s="58">
        <v>38.24</v>
      </c>
      <c r="D49" s="58">
        <v>38.369999999999997</v>
      </c>
      <c r="E49" s="58" t="s">
        <v>190</v>
      </c>
      <c r="F49" s="58" t="s">
        <v>191</v>
      </c>
      <c r="G49" s="58" t="s">
        <v>191</v>
      </c>
      <c r="H49" s="58" t="s">
        <v>190</v>
      </c>
      <c r="I49" s="58" t="s">
        <v>190</v>
      </c>
      <c r="J49" s="58" t="s">
        <v>191</v>
      </c>
      <c r="K49" s="58" t="s">
        <v>191</v>
      </c>
      <c r="L49" s="58">
        <v>42.39</v>
      </c>
      <c r="M49" s="58" t="s">
        <v>190</v>
      </c>
      <c r="N49" s="58" t="s">
        <v>190</v>
      </c>
      <c r="O49" s="58">
        <f>ROUND((C49+D49+L49)/3,2)</f>
        <v>39.67</v>
      </c>
      <c r="P49" s="58">
        <f>O49-D40-K40</f>
        <v>36.17</v>
      </c>
      <c r="Q49" s="58">
        <f>ROUND(P49/(1+5%)*2.5%,2)</f>
        <v>0.86</v>
      </c>
      <c r="R49" s="58">
        <f>P49-Q49</f>
        <v>35.31</v>
      </c>
    </row>
    <row r="50" spans="2:18">
      <c r="B50" s="58" t="s">
        <v>173</v>
      </c>
      <c r="C50" s="58">
        <v>38.94</v>
      </c>
      <c r="D50" s="58">
        <v>40.200000000000003</v>
      </c>
      <c r="E50" s="58">
        <v>42.37</v>
      </c>
      <c r="F50" s="58">
        <v>42.21</v>
      </c>
      <c r="G50" s="58">
        <v>40.28</v>
      </c>
      <c r="H50" s="58" t="s">
        <v>190</v>
      </c>
      <c r="I50" s="58" t="s">
        <v>190</v>
      </c>
      <c r="J50" s="58" t="s">
        <v>190</v>
      </c>
      <c r="K50" s="58">
        <v>41.29</v>
      </c>
      <c r="L50" s="58">
        <v>41.52</v>
      </c>
      <c r="M50" s="58">
        <v>41.65</v>
      </c>
      <c r="N50" s="58">
        <v>41.62</v>
      </c>
      <c r="O50" s="58">
        <f>ROUND((C50+D50+E50+F50+G50+K50+L50+M50+N50)/9,2)</f>
        <v>41.12</v>
      </c>
      <c r="P50" s="58">
        <f>O50-D41-K41</f>
        <v>38.099999999999994</v>
      </c>
      <c r="Q50" s="58">
        <f t="shared" ref="Q50:Q51" si="0">ROUND(P50/(1+5%)*2.5%,2)</f>
        <v>0.91</v>
      </c>
      <c r="R50" s="58">
        <f>P50-Q50</f>
        <v>37.19</v>
      </c>
    </row>
    <row r="51" spans="2:18">
      <c r="B51" s="58" t="s">
        <v>175</v>
      </c>
      <c r="C51" s="58">
        <v>39.24</v>
      </c>
      <c r="D51" s="58">
        <v>39.29</v>
      </c>
      <c r="E51" s="58">
        <v>41.41</v>
      </c>
      <c r="F51" s="58">
        <v>40.5</v>
      </c>
      <c r="G51" s="58">
        <v>39.799999999999997</v>
      </c>
      <c r="H51" s="58">
        <v>40.47</v>
      </c>
      <c r="I51" s="58">
        <v>40.93</v>
      </c>
      <c r="J51" s="58">
        <v>42.52</v>
      </c>
      <c r="K51" s="58">
        <v>41.59</v>
      </c>
      <c r="L51" s="58">
        <v>40.1</v>
      </c>
      <c r="M51" s="58" t="s">
        <v>191</v>
      </c>
      <c r="N51" s="58" t="s">
        <v>190</v>
      </c>
      <c r="O51" s="58">
        <f>ROUND((C51+D51+E51+F51+G51+H51+I51+J51+K51+L51)/10,2)</f>
        <v>40.590000000000003</v>
      </c>
      <c r="P51" s="58">
        <f>O51-D42-K42</f>
        <v>37.540000000000006</v>
      </c>
      <c r="Q51" s="58">
        <f t="shared" si="0"/>
        <v>0.89</v>
      </c>
      <c r="R51" s="58">
        <f>P51-Q51</f>
        <v>36.650000000000006</v>
      </c>
    </row>
    <row r="55" spans="2:18">
      <c r="B55" s="58" t="s">
        <v>210</v>
      </c>
      <c r="C55" s="58">
        <v>79</v>
      </c>
      <c r="D55" s="58">
        <v>1500</v>
      </c>
      <c r="E55" s="58">
        <f>ROUND(D55/C55,2)</f>
        <v>18.989999999999998</v>
      </c>
    </row>
    <row r="56" spans="2:18">
      <c r="C56" s="58">
        <v>80</v>
      </c>
      <c r="D56" s="58">
        <v>1500</v>
      </c>
      <c r="E56" s="58">
        <f t="shared" ref="E56:E57" si="1">ROUND(D56/C56,2)</f>
        <v>18.75</v>
      </c>
      <c r="F56" s="58">
        <f>ROUND((E55+E56+E57)/3,2)</f>
        <v>17.399999999999999</v>
      </c>
    </row>
    <row r="57" spans="2:18">
      <c r="C57" s="58">
        <v>83</v>
      </c>
      <c r="D57" s="58">
        <v>1200</v>
      </c>
      <c r="E57" s="58">
        <f t="shared" si="1"/>
        <v>14.46</v>
      </c>
    </row>
    <row r="59" spans="2:18">
      <c r="C59" s="58" t="s">
        <v>211</v>
      </c>
      <c r="D59" s="58" t="s">
        <v>198</v>
      </c>
      <c r="E59" s="58" t="s">
        <v>199</v>
      </c>
      <c r="F59" s="58" t="s">
        <v>200</v>
      </c>
      <c r="H59" s="58" t="s">
        <v>201</v>
      </c>
      <c r="I59" s="58" t="s">
        <v>202</v>
      </c>
      <c r="J59" s="58" t="s">
        <v>204</v>
      </c>
      <c r="K59" s="58" t="s">
        <v>206</v>
      </c>
      <c r="L59" s="58" t="s">
        <v>208</v>
      </c>
    </row>
    <row r="60" spans="2:18">
      <c r="B60" s="58" t="s">
        <v>218</v>
      </c>
      <c r="C60" s="58">
        <v>79</v>
      </c>
      <c r="D60" s="58">
        <f>F56</f>
        <v>17.399999999999999</v>
      </c>
      <c r="E60" s="58">
        <v>1.45</v>
      </c>
      <c r="F60" s="58">
        <v>0</v>
      </c>
      <c r="G60" s="58">
        <f>D60-E60-F60</f>
        <v>15.95</v>
      </c>
      <c r="H60" s="58">
        <f>ROUND(G60/1.05*2.5%,2)</f>
        <v>0.38</v>
      </c>
      <c r="I60" s="64">
        <f>G60-H60</f>
        <v>15.569999999999999</v>
      </c>
      <c r="J60" s="58" t="s">
        <v>212</v>
      </c>
      <c r="K60" s="58" t="s">
        <v>213</v>
      </c>
      <c r="L60" s="58" t="s">
        <v>214</v>
      </c>
    </row>
    <row r="62" spans="2:18">
      <c r="B62" s="58" t="s">
        <v>219</v>
      </c>
      <c r="C62" s="58">
        <v>53.3</v>
      </c>
      <c r="D62" s="58">
        <f>ROUND(1000/C62,2)</f>
        <v>18.760000000000002</v>
      </c>
      <c r="E62" s="58">
        <v>1.1000000000000001</v>
      </c>
      <c r="F62" s="58">
        <v>2.5</v>
      </c>
      <c r="G62" s="58">
        <f>D62-E62-F62</f>
        <v>15.16</v>
      </c>
      <c r="H62" s="58">
        <f>ROUND(G62/(1+0.05)*2.5%,2)</f>
        <v>0.36</v>
      </c>
      <c r="I62" s="64">
        <f>G62-H62</f>
        <v>14.8</v>
      </c>
      <c r="J62" s="58" t="s">
        <v>212</v>
      </c>
      <c r="K62" s="58" t="s">
        <v>213</v>
      </c>
      <c r="L62" s="58" t="s">
        <v>214</v>
      </c>
    </row>
    <row r="67" spans="2:2">
      <c r="B67" s="63"/>
    </row>
  </sheetData>
  <phoneticPr fontId="3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5:L28"/>
  <sheetViews>
    <sheetView workbookViewId="0">
      <selection activeCell="E31" sqref="E31"/>
    </sheetView>
  </sheetViews>
  <sheetFormatPr defaultRowHeight="14.25"/>
  <cols>
    <col min="1" max="16384" width="9" style="58"/>
  </cols>
  <sheetData>
    <row r="25" spans="2:12">
      <c r="C25" s="58" t="s">
        <v>197</v>
      </c>
      <c r="D25" s="58" t="s">
        <v>198</v>
      </c>
      <c r="E25" s="58" t="s">
        <v>199</v>
      </c>
      <c r="F25" s="58" t="s">
        <v>200</v>
      </c>
      <c r="H25" s="58" t="s">
        <v>201</v>
      </c>
      <c r="I25" s="58" t="s">
        <v>202</v>
      </c>
      <c r="J25" s="58" t="s">
        <v>204</v>
      </c>
      <c r="K25" s="58" t="s">
        <v>206</v>
      </c>
      <c r="L25" s="58" t="s">
        <v>208</v>
      </c>
    </row>
    <row r="26" spans="2:12">
      <c r="C26" s="58">
        <v>70.5</v>
      </c>
      <c r="D26" s="58">
        <f>ROUND(1600*0.95/70.5,2)</f>
        <v>21.56</v>
      </c>
    </row>
    <row r="27" spans="2:12">
      <c r="C27" s="58">
        <v>73</v>
      </c>
      <c r="D27" s="58">
        <f>ROUND(1400*0.95/73,2)</f>
        <v>18.22</v>
      </c>
    </row>
    <row r="28" spans="2:12">
      <c r="B28" s="58" t="s">
        <v>203</v>
      </c>
      <c r="C28" s="58">
        <v>73</v>
      </c>
      <c r="D28" s="58">
        <f>(D26+D27)/2</f>
        <v>19.89</v>
      </c>
      <c r="E28" s="58">
        <v>0.5</v>
      </c>
      <c r="F28" s="58">
        <v>0</v>
      </c>
      <c r="G28" s="58">
        <f>D28-E28-F28</f>
        <v>19.39</v>
      </c>
      <c r="H28" s="58">
        <f>ROUND(G28/(1+5%)*2.5%,2)</f>
        <v>0.46</v>
      </c>
      <c r="I28" s="64">
        <f>G28-H28</f>
        <v>18.93</v>
      </c>
      <c r="J28" s="58" t="s">
        <v>205</v>
      </c>
      <c r="K28" s="58" t="s">
        <v>207</v>
      </c>
      <c r="L28" s="58" t="s">
        <v>209</v>
      </c>
    </row>
  </sheetData>
  <phoneticPr fontId="31"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0"/>
  <sheetViews>
    <sheetView topLeftCell="A22" workbookViewId="0">
      <selection activeCell="E52" sqref="E52"/>
    </sheetView>
  </sheetViews>
  <sheetFormatPr defaultRowHeight="13.5"/>
  <sheetData>
    <row r="50" spans="2:2">
      <c r="B50" s="51" t="s">
        <v>262</v>
      </c>
    </row>
  </sheetData>
  <phoneticPr fontId="3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比较法</vt:lpstr>
      <vt:lpstr>成本（静态）</vt:lpstr>
      <vt:lpstr>各小区租金结果</vt:lpstr>
      <vt:lpstr>系统读取表</vt:lpstr>
      <vt:lpstr>门头沟案例</vt:lpstr>
      <vt:lpstr>房山</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USER</cp:lastModifiedBy>
  <dcterms:created xsi:type="dcterms:W3CDTF">2006-09-16T00:00:00Z</dcterms:created>
  <dcterms:modified xsi:type="dcterms:W3CDTF">2023-08-11T06:53:01Z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0F812AE746154D9EA9E69DAA0E5653FA_12</vt:lpwstr>
  </property>
</Properties>
</file>