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2024\雄安\2025\2025-1-0416\河北省高速公路管理局\"/>
    </mc:Choice>
  </mc:AlternateContent>
  <xr:revisionPtr revIDLastSave="0" documentId="13_ncr:1_{3749BA6D-9ED5-4095-AD33-587F47399FFA}" xr6:coauthVersionLast="47" xr6:coauthVersionMax="47" xr10:uidLastSave="{00000000-0000-0000-0000-000000000000}"/>
  <bookViews>
    <workbookView xWindow="-120" yWindow="-120" windowWidth="21840" windowHeight="13140" tabRatio="875" firstSheet="9" activeTab="4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划拨)" sheetId="80"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I23" i="80" l="1"/>
  <c r="I17" i="80" l="1"/>
  <c r="D14" i="66" l="1"/>
  <c r="C14" i="66"/>
  <c r="I14" i="80" l="1"/>
  <c r="I11" i="80"/>
  <c r="I10" i="80" s="1"/>
  <c r="I9" i="80" s="1"/>
  <c r="I18" i="80" l="1"/>
  <c r="I19" i="80"/>
  <c r="I20" i="80" l="1"/>
  <c r="I3" i="59"/>
  <c r="L3" i="59"/>
  <c r="B4" i="80" l="1"/>
  <c r="B2" i="80" s="1"/>
  <c r="B27" i="79"/>
  <c r="B29" i="79" s="1"/>
  <c r="C25" i="79" s="1"/>
  <c r="C21" i="79" s="1"/>
  <c r="I11" i="79"/>
  <c r="I10" i="79" s="1"/>
  <c r="I9" i="79" s="1"/>
  <c r="B5" i="80" l="1"/>
  <c r="I17" i="79"/>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72"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9" i="44"/>
  <c r="J15" i="15"/>
  <c r="B8" i="67"/>
  <c r="F46" i="44"/>
  <c r="F40" i="15"/>
  <c r="M31" i="44"/>
  <c r="I4" i="65"/>
  <c r="B9" i="67"/>
  <c r="I6" i="65"/>
  <c r="E11" i="67"/>
  <c r="B12" i="67"/>
  <c r="F11" i="44"/>
  <c r="F10" i="44"/>
  <c r="F8" i="67"/>
  <c r="F38" i="15"/>
  <c r="L48" i="15"/>
  <c r="L49" i="44"/>
  <c r="F12" i="67"/>
  <c r="D20" i="9"/>
  <c r="F8" i="44"/>
  <c r="F40" i="44"/>
  <c r="M29" i="44"/>
  <c r="M24" i="15"/>
  <c r="M28" i="15"/>
  <c r="N6" i="65"/>
  <c r="C20" i="9"/>
  <c r="M9" i="15"/>
  <c r="M10" i="44"/>
  <c r="F9" i="15"/>
  <c r="N7" i="65"/>
  <c r="F43" i="15"/>
  <c r="F38" i="44"/>
  <c r="F15" i="44"/>
  <c r="M8" i="44"/>
  <c r="J17" i="44"/>
  <c r="E8" i="67"/>
  <c r="F42" i="15"/>
  <c r="F13" i="15"/>
  <c r="F6" i="15"/>
  <c r="F28" i="44"/>
  <c r="B11" i="67"/>
  <c r="E12" i="67"/>
  <c r="F37" i="15"/>
  <c r="M6" i="15"/>
  <c r="E13" i="67"/>
  <c r="N3" i="65"/>
  <c r="I5" i="65"/>
  <c r="J5" i="65"/>
  <c r="B13" i="67"/>
  <c r="F41" i="15"/>
  <c r="F18" i="44"/>
  <c r="B10" i="67"/>
  <c r="M29" i="15"/>
  <c r="F10" i="67"/>
  <c r="M23" i="44"/>
  <c r="L47" i="15"/>
  <c r="M27" i="15"/>
  <c r="J3" i="65"/>
  <c r="F9" i="67"/>
  <c r="F45" i="44"/>
  <c r="F7" i="15"/>
  <c r="F36" i="15"/>
  <c r="M26" i="44"/>
  <c r="B14" i="67"/>
  <c r="F37" i="44"/>
  <c r="M28" i="44"/>
  <c r="M11" i="44"/>
  <c r="M26" i="15"/>
  <c r="F13" i="67"/>
  <c r="M22" i="15"/>
  <c r="N5" i="65"/>
  <c r="F11" i="67"/>
  <c r="M25" i="44"/>
  <c r="N4" i="65"/>
  <c r="F39" i="44"/>
  <c r="I7" i="65"/>
  <c r="C19" i="44"/>
  <c r="F8" i="15"/>
  <c r="J36" i="15"/>
  <c r="M21" i="15"/>
  <c r="M30" i="44"/>
  <c r="L48" i="44"/>
  <c r="F35" i="15"/>
  <c r="F43" i="44"/>
  <c r="F16" i="15"/>
  <c r="J6" i="65"/>
  <c r="I3" i="65"/>
  <c r="M24" i="44"/>
  <c r="F26" i="15"/>
  <c r="M23" i="15"/>
  <c r="E10" i="67"/>
  <c r="E9" i="67"/>
  <c r="F14" i="67"/>
  <c r="M8" i="15"/>
  <c r="J4" i="65"/>
  <c r="E14" i="67"/>
  <c r="J7" i="65"/>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F33" i="44"/>
  <c r="C16" i="15"/>
  <c r="F31" i="15"/>
  <c r="M17" i="15"/>
  <c r="C17" i="15"/>
  <c r="F58" i="15"/>
  <c r="M19" i="44"/>
  <c r="E2" i="65"/>
  <c r="C18" i="44"/>
  <c r="E3" i="6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C19" i="9"/>
  <c r="D19" i="9"/>
  <c r="C21"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<sst xmlns="http://schemas.openxmlformats.org/spreadsheetml/2006/main" count="8220" uniqueCount="3168">
  <si>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</si>
  <si>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</si>
  <si>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</si>
  <si>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</si>
  <si>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</si>
  <si>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</si>
  <si>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</si>
  <si>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</si>
  <si>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</si>
  <si>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</si>
  <si>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</si>
  <si>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</si>
  <si>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</si>
  <si>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</si>
  <si>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</si>
  <si>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</si>
  <si>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</si>
  <si>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</si>
  <si>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</si>
  <si>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</si>
  <si>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</si>
  <si>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</si>
  <si>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</si>
  <si>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</si>
  <si>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</si>
  <si>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</si>
  <si>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</si>
  <si>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</si>
  <si>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</si>
  <si>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</si>
  <si>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</si>
  <si>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</si>
  <si>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</si>
  <si>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</si>
  <si>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</si>
  <si>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</si>
  <si>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</si>
  <si>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</si>
  <si>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</si>
  <si>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</si>
  <si>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</si>
  <si>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</si>
  <si>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</si>
  <si>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</si>
  <si>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</si>
  <si>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</si>
  <si>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</si>
  <si>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</si>
  <si>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</si>
  <si>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</si>
  <si>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</si>
  <si>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</si>
  <si>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</si>
  <si>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</si>
  <si>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</si>
  <si>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</si>
  <si>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</si>
  <si>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</si>
  <si>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</si>
  <si>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</si>
  <si>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</si>
  <si>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</si>
  <si>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</si>
  <si>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</si>
  <si>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</si>
  <si>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</si>
  <si>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</si>
  <si>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</si>
  <si>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</si>
  <si>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</si>
  <si>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</si>
  <si>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</si>
  <si>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</si>
  <si>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</si>
  <si>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</si>
  <si>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</si>
  <si>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</si>
  <si>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</si>
  <si>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</si>
  <si>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</si>
  <si>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</si>
  <si>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</si>
  <si>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</si>
  <si>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</si>
  <si>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</si>
  <si>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</si>
  <si>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</si>
  <si>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</si>
  <si>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</si>
  <si>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</si>
  <si>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</si>
  <si>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</si>
  <si>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</si>
  <si>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</si>
  <si>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</si>
  <si>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</si>
  <si>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</si>
  <si>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</si>
  <si>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</si>
  <si>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</si>
  <si>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</si>
  <si>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</si>
  <si>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</si>
  <si>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</si>
  <si>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</si>
  <si>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</si>
  <si>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</si>
  <si>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</si>
  <si>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</si>
  <si>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</si>
  <si>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</si>
  <si>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</si>
  <si>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</si>
  <si>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</si>
  <si>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</si>
  <si>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</si>
  <si>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</si>
  <si>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</si>
  <si>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</si>
  <si>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</si>
  <si>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</si>
  <si>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</si>
  <si>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</si>
  <si>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</si>
  <si>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</si>
  <si>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</si>
  <si>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</si>
  <si>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</si>
  <si>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</si>
  <si>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</si>
  <si>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</si>
  <si>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</si>
  <si>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</si>
  <si>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</si>
  <si>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</si>
  <si>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</si>
  <si>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</si>
  <si>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</si>
  <si>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</si>
  <si>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</si>
  <si>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</si>
  <si>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</si>
  <si>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</si>
  <si>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</si>
  <si>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</si>
  <si>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</si>
  <si>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</si>
  <si>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</si>
  <si>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</si>
  <si>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</si>
  <si>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</si>
  <si>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</si>
  <si>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</si>
  <si>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</si>
  <si>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</si>
  <si>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</si>
  <si>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</si>
  <si>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</si>
  <si>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</si>
  <si>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</si>
  <si>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</si>
  <si>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</si>
  <si>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</si>
  <si>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</si>
  <si>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</si>
  <si>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</si>
  <si>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</si>
  <si>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</si>
  <si>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</si>
  <si>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</si>
  <si>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</si>
  <si>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</si>
  <si>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</si>
  <si>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</si>
  <si>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</si>
  <si>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</si>
  <si>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</si>
  <si>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</si>
  <si>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</si>
  <si>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</si>
  <si>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</si>
  <si>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</si>
  <si>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</si>
  <si>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</si>
  <si>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</si>
  <si>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</si>
  <si>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</si>
  <si>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</si>
  <si>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</si>
  <si>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</si>
  <si>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</si>
  <si>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</si>
  <si>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</si>
  <si>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</si>
  <si>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</si>
  <si>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</si>
  <si>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</si>
  <si>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</si>
  <si>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</si>
  <si>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</si>
  <si>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</si>
  <si>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</si>
  <si>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</si>
  <si>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</si>
  <si>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</si>
  <si>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</si>
  <si>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</si>
  <si>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</si>
  <si>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</si>
  <si>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</si>
  <si>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</si>
  <si>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</si>
  <si>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</si>
  <si>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</si>
  <si>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</si>
  <si>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</si>
  <si>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</si>
  <si>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</si>
  <si>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</si>
  <si>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</si>
  <si>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</si>
  <si>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</si>
  <si>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</si>
  <si>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</si>
  <si>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</si>
  <si>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</si>
  <si>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</si>
  <si>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</si>
  <si>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</si>
  <si>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</si>
  <si>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</si>
  <si>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</si>
  <si>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</si>
  <si>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</si>
  <si>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</si>
  <si>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</si>
  <si>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</si>
  <si>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</si>
  <si>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</si>
  <si>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</si>
  <si>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</si>
  <si>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</si>
  <si>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</si>
  <si>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</si>
  <si>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</si>
  <si>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</si>
  <si>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</si>
  <si>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</si>
  <si>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</si>
  <si>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</si>
  <si>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</si>
  <si>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</si>
  <si>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</si>
  <si>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</si>
  <si>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</si>
  <si>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</si>
  <si>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</si>
  <si>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</si>
  <si>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</si>
  <si>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</si>
  <si>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</si>
  <si>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</si>
  <si>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</si>
  <si>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</si>
  <si>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</si>
  <si>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</si>
  <si>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</si>
  <si>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</si>
  <si>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</si>
  <si>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</si>
  <si>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</si>
  <si>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</si>
  <si>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</si>
  <si>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</si>
  <si>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</si>
  <si>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</si>
  <si>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</si>
  <si>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</si>
  <si>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</si>
  <si>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</si>
  <si>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</si>
  <si>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</si>
  <si>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</si>
  <si>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</si>
  <si>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</si>
  <si>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</si>
  <si>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</si>
  <si>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</si>
  <si>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</si>
  <si>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</si>
  <si>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</si>
  <si>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</si>
  <si>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</si>
  <si>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</si>
  <si>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</si>
  <si>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</si>
  <si>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</si>
  <si>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</si>
  <si>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</si>
  <si>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</si>
  <si>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</si>
  <si>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</si>
  <si>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</si>
  <si>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</si>
  <si>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</si>
  <si>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</si>
  <si>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</si>
  <si>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</si>
  <si>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</si>
  <si>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</si>
  <si>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</si>
  <si>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</si>
  <si>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</si>
  <si>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</si>
  <si>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</si>
  <si>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</si>
  <si>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</si>
  <si>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</si>
  <si>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</si>
  <si>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</si>
  <si>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</si>
  <si>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</si>
  <si>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</si>
  <si>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</si>
  <si>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</si>
  <si>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</si>
  <si>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</si>
  <si>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</si>
  <si>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</si>
  <si>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</si>
  <si>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</si>
  <si>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</si>
  <si>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</si>
  <si>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</si>
  <si>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</si>
  <si>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</si>
  <si>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</si>
  <si>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</si>
  <si>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</si>
  <si>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</si>
  <si>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</si>
  <si>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</si>
  <si>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</si>
  <si>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</si>
  <si>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</si>
  <si>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</si>
  <si>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</si>
  <si>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</si>
  <si>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</si>
  <si>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</si>
  <si>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</si>
  <si>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</si>
  <si>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</si>
  <si>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</si>
  <si>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</si>
  <si>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</si>
  <si>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</si>
  <si>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</si>
  <si>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</si>
  <si>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</si>
  <si>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</si>
  <si>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</si>
  <si>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</si>
  <si>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</si>
  <si>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</si>
  <si>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</si>
  <si>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</si>
  <si>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</si>
  <si>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</si>
  <si>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</si>
  <si>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</si>
  <si>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</si>
  <si>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</si>
  <si>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</si>
  <si>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</si>
  <si>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</si>
  <si>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</si>
  <si>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</si>
  <si>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</si>
  <si>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</si>
  <si>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</si>
  <si>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</si>
  <si>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</si>
  <si>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</si>
  <si>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</si>
  <si>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</si>
  <si>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</si>
  <si>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</si>
  <si>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</si>
  <si>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</si>
  <si>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</si>
  <si>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</si>
  <si>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</si>
  <si>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</si>
  <si>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</si>
  <si>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</si>
  <si>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</si>
  <si>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</si>
  <si>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</si>
  <si>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</si>
  <si>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</si>
  <si>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</si>
  <si>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</si>
  <si>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</si>
  <si>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</si>
  <si>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</si>
  <si>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</si>
  <si>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</si>
  <si>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</si>
  <si>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</si>
  <si>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</si>
  <si>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</si>
  <si>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</si>
  <si>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</si>
  <si>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</si>
  <si>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</si>
  <si>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</si>
  <si>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</si>
  <si>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</si>
  <si>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</si>
  <si>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</si>
  <si>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</si>
  <si>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</si>
  <si>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</si>
  <si>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</si>
  <si>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</si>
  <si>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</si>
  <si>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</si>
  <si>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</si>
  <si>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</si>
  <si>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</si>
  <si>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</si>
  <si>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</si>
  <si>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</si>
  <si>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</si>
  <si>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</si>
  <si>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</si>
  <si>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</si>
  <si>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</si>
  <si>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</si>
  <si>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</si>
  <si>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</si>
  <si>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</si>
  <si>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</si>
  <si>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</si>
  <si>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</si>
  <si>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</si>
  <si>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</si>
  <si>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</si>
  <si>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</si>
  <si>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</si>
  <si>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</si>
  <si>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</si>
  <si>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</si>
  <si>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</si>
  <si>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</si>
  <si>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</si>
  <si>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</si>
  <si>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</si>
  <si>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</si>
  <si>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</si>
  <si>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</si>
  <si>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</si>
  <si>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</si>
  <si>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</si>
  <si>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</si>
  <si>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</si>
  <si>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</si>
  <si>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</si>
  <si>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</si>
  <si>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</si>
  <si>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</si>
  <si>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</si>
  <si>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</si>
  <si>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</si>
  <si>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</si>
  <si>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</si>
  <si>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</si>
  <si>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</si>
  <si>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</si>
  <si>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</si>
  <si>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</si>
  <si>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</si>
  <si>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</si>
  <si>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</si>
  <si>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</si>
  <si>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</si>
  <si>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</si>
  <si>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</si>
  <si>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</si>
  <si>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</si>
  <si>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</si>
  <si>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</si>
  <si>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</si>
  <si>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</si>
  <si>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</si>
  <si>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</si>
  <si>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</si>
  <si>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</si>
  <si>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</si>
  <si>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</si>
  <si>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</si>
  <si>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</si>
  <si>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</si>
  <si>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</si>
  <si>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</si>
  <si>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</si>
  <si>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</si>
  <si>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</si>
  <si>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</si>
  <si>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</si>
  <si>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</si>
  <si>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</si>
  <si>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</si>
  <si>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</si>
  <si>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</si>
  <si>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</si>
  <si>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</si>
  <si>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</si>
  <si>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</si>
  <si>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</si>
  <si>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</si>
  <si>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</si>
  <si>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</si>
  <si>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</si>
  <si>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</si>
  <si>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</si>
  <si>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</si>
  <si>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</si>
  <si>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</si>
  <si>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</si>
  <si>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</si>
  <si>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</si>
  <si>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</si>
  <si>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</si>
  <si>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</si>
  <si>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</si>
  <si>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</si>
  <si>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</si>
  <si>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</si>
  <si>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</si>
  <si>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</si>
  <si>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</si>
  <si>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</si>
  <si>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</si>
  <si>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</si>
  <si>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</si>
  <si>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</si>
  <si>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</si>
  <si>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</si>
  <si>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</si>
  <si>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</si>
  <si>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</si>
  <si>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</si>
  <si>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</si>
  <si>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</si>
  <si>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</si>
  <si>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</si>
  <si>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</si>
  <si>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</si>
  <si>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</si>
  <si>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</si>
  <si>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</si>
  <si>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</si>
  <si>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</si>
  <si>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</si>
  <si>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</si>
  <si>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</si>
  <si>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</si>
  <si>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</si>
  <si>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</si>
  <si>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</si>
  <si>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</si>
  <si>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</si>
  <si>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</si>
  <si>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</si>
  <si>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</si>
  <si>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</si>
  <si>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</si>
  <si>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</si>
  <si>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</si>
  <si>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</si>
  <si>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</si>
  <si>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</si>
  <si>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</si>
  <si>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</si>
  <si>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</si>
  <si>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</si>
  <si>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</si>
  <si>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</si>
  <si>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</si>
  <si>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</si>
  <si>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</si>
  <si>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</si>
  <si>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</si>
  <si>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</si>
  <si>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</si>
  <si>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</si>
  <si>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</si>
  <si>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</si>
  <si>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</si>
  <si>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</si>
  <si>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</si>
  <si>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</si>
  <si>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</si>
  <si>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</si>
  <si>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</si>
  <si>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</si>
  <si>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</si>
  <si>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</si>
  <si>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</si>
  <si>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</si>
  <si>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</si>
  <si>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</si>
  <si>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</si>
  <si>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</si>
  <si>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</si>
  <si>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</si>
  <si>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</si>
  <si>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</si>
  <si>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</si>
  <si>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</si>
  <si>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</si>
  <si>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</si>
  <si>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</si>
  <si>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</si>
  <si>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</si>
  <si>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</si>
  <si>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</si>
  <si>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</si>
  <si>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</si>
  <si>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</si>
  <si>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</si>
  <si>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</si>
  <si>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</si>
  <si>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</si>
  <si>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</si>
  <si>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</si>
  <si>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</si>
  <si>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</si>
  <si>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</si>
  <si>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</si>
  <si>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</si>
  <si>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</si>
  <si>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</si>
  <si>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</si>
  <si>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</si>
  <si>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</si>
  <si>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</si>
  <si>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</si>
  <si>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</si>
  <si>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</si>
  <si>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</si>
  <si>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</si>
  <si>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</si>
  <si>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</si>
  <si>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</si>
  <si>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</si>
  <si>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</si>
  <si>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</si>
  <si>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</si>
  <si>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</si>
  <si>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</si>
  <si>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</si>
  <si>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</si>
  <si>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</si>
  <si>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</si>
  <si>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</si>
  <si>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</si>
  <si>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</si>
  <si>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</si>
  <si>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</si>
  <si>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</si>
  <si>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</si>
  <si>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</si>
  <si>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</si>
  <si>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</si>
  <si>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</si>
  <si>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</si>
  <si>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</si>
  <si>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</si>
  <si>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</si>
  <si>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</si>
  <si>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</si>
  <si>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</si>
  <si>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</si>
  <si>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</si>
  <si>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</si>
  <si>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</si>
  <si>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</si>
  <si>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</si>
  <si>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</si>
  <si>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</si>
  <si>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</si>
  <si>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</si>
  <si>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</si>
  <si>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</si>
  <si>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</si>
  <si>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</si>
  <si>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</si>
  <si>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</si>
  <si>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</si>
  <si>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</si>
  <si>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</si>
  <si>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</si>
  <si>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</si>
  <si>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</si>
  <si>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</si>
  <si>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</si>
  <si>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</si>
  <si>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</si>
  <si>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</si>
  <si>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</si>
  <si>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</si>
  <si>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</si>
  <si>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</si>
  <si>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</si>
  <si>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</si>
  <si>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</si>
  <si>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</si>
  <si>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</si>
  <si>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</si>
  <si>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</si>
  <si>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</si>
  <si>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</si>
  <si>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</si>
  <si>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</si>
  <si>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</si>
  <si>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</si>
  <si>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</si>
  <si>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</si>
  <si>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</si>
  <si>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</si>
  <si>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</si>
  <si>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</si>
  <si>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</si>
  <si>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</si>
  <si>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</si>
  <si>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</si>
  <si>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</si>
  <si>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</si>
  <si>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</si>
  <si>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</si>
  <si>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</si>
  <si>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</si>
  <si>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</si>
  <si>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</si>
  <si>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</si>
  <si>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</si>
  <si>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</si>
  <si>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</si>
  <si>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</si>
  <si>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</si>
  <si>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</si>
  <si>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</si>
  <si>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</si>
  <si>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</si>
  <si>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</si>
  <si>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</si>
  <si>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</si>
  <si>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</si>
  <si>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</si>
  <si>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</si>
  <si>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</si>
  <si>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</si>
  <si>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</si>
  <si>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</si>
  <si>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</si>
  <si>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</si>
  <si>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</si>
  <si>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</si>
  <si>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</si>
  <si>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</si>
  <si>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</si>
  <si>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</si>
  <si>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</si>
  <si>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</si>
  <si>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</si>
  <si>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</si>
  <si>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</si>
  <si>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</si>
  <si>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</si>
  <si>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</si>
  <si>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</si>
  <si>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</si>
  <si>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</si>
  <si>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</si>
  <si>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</si>
  <si>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</si>
  <si>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</si>
  <si>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</si>
  <si>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</si>
  <si>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</si>
  <si>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</si>
  <si>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</si>
  <si>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</si>
  <si>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</si>
  <si>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</si>
  <si>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</si>
  <si>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</si>
  <si>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</si>
  <si>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</si>
  <si>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</si>
  <si>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</si>
  <si>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</si>
  <si>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</si>
  <si>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</si>
  <si>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</si>
  <si>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</si>
  <si>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</si>
  <si>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</si>
  <si>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</si>
  <si>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</si>
  <si>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</si>
  <si>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</si>
  <si>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</si>
  <si>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</si>
  <si>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</si>
  <si>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</si>
  <si>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</si>
  <si>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</si>
  <si>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</si>
  <si>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</si>
  <si>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</si>
  <si>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</si>
  <si>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</si>
  <si>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</si>
  <si>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</si>
  <si>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</si>
  <si>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</si>
  <si>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</si>
  <si>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</si>
  <si>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</si>
  <si>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</si>
  <si>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</si>
  <si>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</si>
  <si>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</si>
  <si>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</si>
  <si>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</si>
  <si>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</si>
  <si>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</si>
  <si>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</si>
  <si>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</si>
  <si>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</si>
  <si>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</si>
  <si>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</si>
  <si>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</si>
  <si>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</si>
  <si>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</si>
  <si>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</si>
  <si>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</si>
  <si>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</si>
  <si>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</si>
  <si>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</si>
  <si>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</si>
  <si>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</si>
  <si>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</si>
  <si>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</si>
  <si>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</si>
  <si>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</si>
  <si>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</si>
  <si>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</si>
  <si>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</si>
  <si>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</si>
  <si>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</si>
  <si>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</si>
  <si>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</si>
  <si>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</si>
  <si>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</si>
  <si>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</si>
  <si>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</si>
  <si>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</si>
  <si>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</si>
  <si>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</si>
  <si>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</si>
  <si>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</si>
  <si>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</si>
  <si>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</si>
  <si>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</si>
  <si>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</si>
  <si>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</si>
  <si>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</si>
  <si>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</si>
  <si>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</si>
  <si>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</si>
  <si>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</si>
  <si>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</si>
  <si>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</si>
  <si>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</si>
  <si>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</si>
  <si>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</si>
  <si>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</si>
  <si>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</si>
  <si>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</si>
  <si>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</si>
  <si>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</si>
  <si>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</si>
  <si>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</si>
  <si>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</si>
  <si>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</si>
  <si>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</si>
  <si>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</si>
  <si>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</si>
  <si>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</si>
  <si>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</si>
  <si>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</si>
  <si>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</si>
  <si>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</si>
  <si>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</si>
  <si>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</si>
  <si>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</si>
  <si>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</si>
  <si>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</si>
  <si>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</si>
  <si>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</si>
  <si>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</si>
  <si>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</si>
  <si>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</si>
  <si>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</si>
  <si>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</si>
  <si>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</si>
  <si>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</si>
  <si>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</si>
  <si>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</si>
  <si>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</si>
  <si>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</si>
  <si>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</si>
  <si>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</si>
  <si>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</si>
  <si>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</si>
  <si>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</si>
  <si>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</si>
  <si>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</si>
  <si>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</si>
  <si>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</si>
  <si>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</si>
  <si>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</si>
  <si>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</si>
  <si>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</si>
  <si>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</si>
  <si>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</si>
  <si>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</si>
  <si>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</si>
  <si>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</si>
  <si>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</si>
  <si>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</si>
  <si>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</si>
  <si>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</si>
  <si>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</si>
  <si>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</si>
  <si>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</si>
  <si>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</si>
  <si>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</si>
  <si>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</si>
  <si>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</si>
  <si>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</si>
  <si>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</si>
  <si>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</si>
  <si>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</si>
  <si>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</si>
  <si>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</si>
  <si>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</si>
  <si>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</si>
  <si>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</si>
  <si>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</si>
  <si>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</si>
  <si>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</si>
  <si>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</si>
  <si>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</si>
  <si>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</si>
  <si>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</si>
  <si>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</si>
  <si>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</si>
  <si>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</si>
  <si>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</si>
  <si>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</si>
  <si>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</si>
  <si>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</si>
  <si>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</si>
  <si>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</si>
  <si>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</si>
  <si>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</si>
  <si>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</si>
  <si>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</si>
  <si>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</si>
  <si>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</si>
  <si>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</si>
  <si>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</si>
  <si>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</si>
  <si>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</si>
  <si>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</si>
  <si>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</si>
  <si>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</si>
  <si>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</si>
  <si>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</si>
  <si>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</si>
  <si>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</si>
  <si>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</si>
  <si>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</si>
  <si>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</si>
  <si>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</si>
  <si>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</si>
  <si>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</si>
  <si>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</si>
  <si>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</si>
  <si>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</si>
  <si>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</si>
  <si>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</si>
  <si>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</si>
  <si>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</si>
  <si>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</si>
  <si>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</si>
  <si>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</si>
  <si>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</si>
  <si>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</si>
  <si>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</si>
  <si>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</si>
  <si>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</si>
  <si>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</si>
  <si>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</si>
  <si>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</si>
  <si>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</si>
  <si>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</si>
  <si>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</si>
  <si>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</si>
  <si>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</si>
  <si>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</si>
  <si>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</si>
  <si>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</si>
  <si>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</si>
  <si>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</si>
  <si>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</si>
  <si>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</si>
  <si>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</si>
  <si>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</si>
  <si>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</si>
  <si>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</si>
  <si>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</si>
  <si>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</si>
  <si>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</si>
  <si>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</si>
  <si>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</si>
  <si>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</si>
  <si>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</si>
  <si>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</si>
  <si>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</si>
  <si>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</si>
  <si>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</si>
  <si>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</si>
  <si>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</si>
  <si>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</si>
  <si>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</si>
  <si>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</si>
  <si>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</si>
  <si>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</si>
  <si>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</si>
  <si>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</si>
  <si>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</si>
  <si>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</si>
  <si>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</si>
  <si>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</si>
  <si>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</si>
  <si>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</si>
  <si>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</si>
  <si>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</si>
  <si>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</si>
  <si>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</si>
  <si>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</si>
  <si>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</si>
  <si>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</si>
  <si>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</si>
  <si>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</si>
  <si>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</si>
  <si>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</si>
  <si>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</si>
  <si>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</si>
  <si>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</si>
  <si>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</si>
  <si>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</si>
  <si>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</si>
  <si>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</si>
  <si>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</si>
  <si>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</si>
  <si>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</si>
  <si>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</si>
  <si>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</si>
  <si>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</si>
  <si>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</si>
  <si>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</si>
  <si>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</si>
  <si>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</si>
  <si>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</si>
  <si>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</si>
  <si>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</si>
  <si>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</si>
  <si>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</si>
  <si>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</si>
  <si>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</si>
  <si>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</si>
  <si>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</si>
  <si>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</si>
  <si>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</si>
  <si>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</si>
  <si>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</si>
  <si>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</si>
  <si>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</si>
  <si>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</si>
  <si>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</si>
  <si>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</si>
  <si>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</si>
  <si>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</si>
  <si>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</si>
  <si>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</si>
  <si>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</si>
  <si>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</si>
  <si>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</si>
  <si>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</si>
  <si>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</si>
  <si>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</si>
  <si>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</si>
  <si>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</si>
  <si>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</si>
  <si>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</si>
  <si>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</si>
  <si>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</si>
  <si>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</si>
  <si>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</si>
  <si>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</si>
  <si>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</si>
  <si>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</si>
  <si>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</si>
  <si>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</si>
  <si>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</si>
  <si>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</si>
  <si>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</si>
  <si>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</si>
  <si>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</si>
  <si>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</si>
  <si>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</si>
  <si>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</si>
  <si>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</si>
  <si>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</si>
  <si>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</si>
  <si>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</si>
  <si>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</si>
  <si>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</si>
  <si>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</si>
  <si>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</si>
  <si>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</si>
  <si>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</si>
  <si>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</si>
  <si>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</si>
  <si>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</si>
  <si>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</si>
  <si>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</si>
  <si>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</si>
  <si>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</si>
  <si>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</si>
  <si>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</si>
  <si>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</si>
  <si>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</si>
  <si>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</si>
  <si>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</si>
  <si>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</si>
  <si>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</si>
  <si>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</si>
  <si>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</si>
  <si>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</si>
  <si>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</si>
  <si>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</si>
  <si>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</si>
  <si>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</si>
  <si>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</si>
  <si>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</si>
  <si>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</si>
  <si>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</si>
  <si>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</si>
  <si>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</si>
  <si>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</si>
  <si>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</si>
  <si>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</si>
  <si>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</si>
  <si>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</si>
  <si>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</si>
  <si>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</si>
  <si>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</si>
  <si>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</si>
  <si>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</si>
  <si>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</si>
  <si>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</si>
  <si>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</si>
  <si>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</si>
  <si>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</si>
  <si>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</si>
  <si>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</si>
  <si>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</si>
  <si>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</si>
  <si>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</si>
  <si>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</si>
  <si>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</si>
  <si>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</si>
  <si>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</si>
  <si>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</si>
  <si>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</si>
  <si>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</si>
  <si>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</si>
  <si>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</si>
  <si>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</si>
  <si>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</si>
  <si>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</si>
  <si>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</si>
  <si>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</si>
  <si>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</si>
  <si>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</si>
  <si>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</si>
  <si>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</si>
  <si>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</si>
  <si>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</si>
  <si>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</si>
  <si>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</si>
  <si>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</si>
  <si>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</si>
  <si>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</si>
  <si>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</si>
  <si>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</si>
  <si>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</si>
  <si>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</si>
  <si>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</si>
  <si>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</si>
  <si>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</si>
  <si>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</si>
  <si>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</si>
  <si>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</si>
  <si>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</si>
  <si>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</si>
  <si>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</si>
  <si>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</si>
  <si>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</si>
  <si>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</si>
  <si>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</si>
  <si>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</si>
  <si>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</si>
  <si>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</si>
  <si>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</si>
  <si>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</si>
  <si>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</si>
  <si>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</si>
  <si>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</si>
  <si>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</si>
  <si>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</si>
  <si>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</si>
  <si>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</si>
  <si>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</si>
  <si>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</si>
  <si>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</si>
  <si>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</si>
  <si>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</si>
  <si>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</si>
  <si>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</si>
  <si>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</si>
  <si>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</si>
  <si>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</si>
  <si>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</si>
  <si>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</si>
  <si>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</si>
  <si>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</si>
  <si>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</si>
  <si>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</si>
  <si>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</si>
  <si>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</si>
  <si>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</si>
  <si>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</si>
  <si>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</si>
  <si>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</si>
  <si>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</si>
  <si>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</si>
  <si>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</si>
  <si>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</si>
  <si>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</si>
  <si>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</si>
  <si>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</si>
  <si>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</si>
  <si>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</si>
  <si>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</si>
  <si>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</si>
  <si>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</si>
  <si>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</si>
  <si>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</si>
  <si>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</si>
  <si>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</si>
  <si>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</si>
  <si>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</si>
  <si>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</si>
  <si>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</si>
  <si>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</si>
  <si>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</si>
  <si>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</si>
  <si>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</si>
  <si>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</si>
  <si>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</si>
  <si>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</si>
  <si>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</si>
  <si>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</si>
  <si>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</si>
  <si>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</si>
  <si>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</si>
  <si>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</si>
  <si>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</si>
  <si>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</si>
  <si>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</si>
  <si>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</si>
  <si>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</si>
  <si>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</si>
  <si>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</si>
  <si>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</si>
  <si>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</si>
  <si>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</si>
  <si>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</si>
  <si>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</si>
  <si>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</si>
  <si>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</si>
  <si>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</si>
  <si>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</si>
  <si>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</si>
  <si>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</si>
  <si>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</si>
  <si>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</si>
  <si>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</si>
  <si>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</si>
  <si>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</si>
  <si>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</si>
  <si>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</si>
  <si>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</si>
  <si>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</si>
  <si>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</si>
  <si>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</si>
  <si>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</si>
  <si>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</si>
  <si>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</si>
  <si>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</si>
  <si>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</si>
  <si>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</si>
  <si>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</si>
  <si>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</si>
  <si>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</si>
  <si>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</si>
  <si>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</si>
  <si>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</si>
  <si>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</si>
  <si>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</si>
  <si>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</si>
  <si>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</si>
  <si>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</si>
  <si>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</si>
  <si>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</si>
  <si>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</si>
  <si>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</si>
  <si>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</si>
  <si>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</si>
  <si>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</si>
  <si>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</si>
  <si>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</si>
  <si>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</si>
  <si>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</si>
  <si>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</si>
  <si>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</si>
  <si>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</si>
  <si>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</si>
  <si>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</si>
  <si>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</si>
  <si>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</si>
  <si>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</si>
  <si>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</si>
  <si>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</si>
  <si>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</si>
  <si>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</si>
  <si>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</si>
  <si>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</si>
  <si>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</si>
  <si>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</si>
  <si>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</si>
  <si>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</si>
  <si>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</si>
  <si>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</si>
  <si>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</si>
  <si>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</si>
  <si>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</si>
  <si>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</si>
  <si>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</si>
  <si>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</si>
  <si>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</si>
  <si>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</si>
  <si>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</si>
  <si>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</si>
  <si>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</si>
  <si>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</si>
  <si>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</si>
  <si>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</si>
  <si>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</si>
  <si>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</si>
  <si>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</si>
  <si>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</si>
  <si>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</si>
  <si>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</si>
  <si>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</si>
  <si>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</si>
  <si>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</si>
  <si>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</si>
  <si>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</si>
  <si>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</si>
  <si>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</si>
  <si>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</si>
  <si>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</si>
  <si>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</si>
  <si>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</si>
  <si>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</si>
  <si>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</si>
  <si>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</si>
  <si>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</si>
  <si>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</si>
  <si>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</si>
  <si>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</si>
  <si>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</si>
  <si>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</si>
  <si>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</si>
  <si>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</si>
  <si>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</si>
  <si>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</si>
  <si>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</si>
  <si>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</si>
  <si>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</si>
  <si>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</si>
  <si>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</si>
  <si>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</si>
  <si>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</si>
  <si>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</si>
  <si>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</si>
  <si>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</si>
  <si>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</si>
  <si>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</si>
  <si>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</si>
  <si>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</si>
  <si>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</si>
  <si>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</si>
  <si>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</si>
  <si>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</si>
  <si>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</si>
  <si>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</si>
  <si>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</si>
  <si>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</si>
  <si>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</si>
  <si>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</si>
  <si>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</si>
  <si>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</si>
  <si>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</si>
  <si>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</si>
  <si>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</si>
  <si>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</si>
  <si>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</si>
  <si>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</si>
  <si>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</si>
  <si>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</si>
  <si>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</si>
  <si>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</si>
  <si>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</si>
  <si>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</si>
  <si>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</si>
  <si>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</si>
  <si>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</si>
  <si>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</si>
  <si>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</si>
  <si>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</si>
  <si>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</si>
  <si>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</si>
  <si>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</si>
  <si>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</si>
  <si>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</si>
  <si>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</si>
  <si>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</si>
  <si>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</si>
  <si>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</si>
  <si>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</si>
  <si>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</si>
  <si>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</si>
  <si>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</si>
  <si>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</si>
  <si>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</si>
  <si>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</si>
  <si>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</si>
  <si>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</si>
  <si>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</si>
  <si>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</si>
  <si>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</si>
  <si>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</si>
  <si>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</si>
  <si>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</si>
  <si>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</si>
  <si>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</si>
  <si>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</si>
  <si>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</si>
  <si>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</si>
  <si>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</si>
  <si>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</si>
  <si>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</si>
  <si>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</si>
  <si>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</si>
  <si>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</si>
  <si>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</si>
  <si>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</si>
  <si>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</si>
  <si>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</si>
  <si>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</si>
  <si>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</si>
  <si>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</si>
  <si>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</si>
  <si>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</si>
  <si>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</si>
  <si>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</si>
  <si>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</si>
  <si>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</si>
  <si>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</si>
  <si>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</si>
  <si>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</si>
  <si>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</si>
  <si>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</si>
  <si>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</si>
  <si>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</si>
  <si>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</si>
  <si>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</si>
  <si>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</si>
  <si>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</si>
  <si>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</si>
  <si>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</si>
  <si>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</si>
  <si>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</si>
  <si>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</si>
  <si>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</si>
  <si>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</si>
  <si>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</si>
  <si>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</si>
  <si>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</si>
  <si>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</si>
  <si>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</si>
  <si>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</si>
  <si>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</si>
  <si>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</si>
  <si>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</si>
  <si>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</si>
  <si>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</si>
  <si>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</si>
  <si>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</si>
  <si>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</si>
  <si>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</si>
  <si>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</si>
  <si>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</si>
  <si>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</si>
  <si>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</si>
  <si>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</si>
  <si>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</si>
  <si>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</si>
  <si>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</si>
  <si>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</si>
  <si>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</si>
  <si>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</si>
  <si>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</si>
  <si>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</si>
  <si>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</si>
  <si>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</si>
  <si>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</si>
  <si>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</si>
  <si>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</si>
  <si>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</si>
  <si>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</si>
  <si>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</si>
  <si>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</si>
  <si>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</si>
  <si>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</si>
  <si>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</si>
  <si>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</si>
  <si>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</si>
  <si>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</si>
  <si>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</si>
  <si>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</si>
  <si>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</si>
  <si>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</si>
  <si>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</si>
  <si>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</si>
  <si>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</si>
  <si>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</si>
  <si>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</si>
  <si>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</si>
  <si>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</si>
  <si>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</si>
  <si>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</si>
  <si>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</si>
  <si>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</si>
  <si>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</si>
  <si>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</si>
  <si>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</si>
  <si>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</si>
  <si>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</si>
  <si>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</si>
  <si>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</si>
  <si>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</si>
  <si>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</si>
  <si>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</si>
  <si>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</si>
  <si>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</si>
  <si>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</si>
  <si>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</si>
  <si>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</si>
  <si>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</si>
  <si>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</si>
  <si>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</si>
  <si>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</si>
  <si>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</si>
  <si>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</si>
  <si>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</si>
  <si>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</si>
  <si>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</si>
  <si>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</si>
  <si>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</si>
  <si>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</si>
  <si>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</si>
  <si>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</si>
  <si>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</si>
  <si>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</si>
  <si>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</si>
  <si>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</si>
  <si>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</si>
  <si>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</si>
  <si>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</si>
  <si>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</si>
  <si>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</si>
  <si>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</si>
  <si>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</si>
  <si>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</si>
  <si>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</si>
  <si>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</si>
  <si>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</si>
  <si>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</si>
  <si>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</si>
  <si>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</si>
  <si>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</si>
  <si>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</si>
  <si>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</si>
  <si>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</si>
  <si>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</si>
  <si>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</si>
  <si>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</si>
  <si>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</si>
  <si>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</si>
  <si>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</si>
  <si>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</si>
  <si>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</si>
  <si>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</si>
  <si>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</si>
  <si>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</si>
  <si>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</si>
  <si>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</si>
  <si>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</si>
  <si>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</si>
  <si>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</si>
  <si>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</si>
  <si>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</si>
  <si>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</si>
  <si>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</si>
  <si>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</si>
  <si>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</si>
  <si>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</si>
  <si>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</si>
  <si>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</si>
  <si>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</si>
  <si>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</si>
  <si>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</si>
  <si>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</si>
  <si>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</si>
  <si>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</si>
  <si>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</si>
  <si>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</si>
  <si>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</si>
  <si>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</si>
  <si>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</si>
  <si>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</si>
  <si>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</si>
  <si>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</si>
  <si>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</si>
  <si>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</si>
  <si>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</si>
  <si>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</si>
  <si>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</si>
  <si>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</si>
  <si>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</si>
  <si>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</si>
  <si>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</si>
  <si>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</si>
  <si>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</si>
  <si>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</si>
  <si>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</si>
  <si>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</si>
  <si>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</si>
  <si>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</si>
  <si>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</si>
  <si>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</si>
  <si>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</si>
  <si>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</si>
  <si>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</si>
  <si>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</si>
  <si>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</si>
  <si>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</si>
  <si>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</si>
  <si>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</si>
  <si>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</si>
  <si>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</si>
  <si>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</si>
  <si>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</si>
  <si>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</si>
  <si>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</si>
  <si>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</si>
  <si>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</si>
  <si>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</si>
  <si>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</si>
  <si>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</si>
  <si>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</si>
  <si>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</si>
  <si>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</si>
  <si>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</si>
  <si>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</si>
  <si>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</si>
  <si>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</si>
  <si>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</si>
  <si>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</si>
  <si>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</si>
  <si>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</si>
  <si>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</si>
  <si>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</si>
  <si>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</si>
  <si>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</si>
  <si>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</si>
  <si>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</si>
  <si>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</si>
  <si>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</si>
  <si>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</si>
  <si>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</si>
  <si>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</si>
  <si>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</si>
  <si>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</si>
  <si>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</si>
  <si>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</si>
  <si>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</si>
  <si>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</si>
  <si>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</si>
  <si>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</si>
  <si>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</si>
  <si>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</si>
  <si>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</si>
  <si>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</si>
  <si>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</si>
  <si>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</si>
  <si>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</si>
  <si>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</si>
  <si>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</si>
  <si>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</si>
  <si>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</si>
  <si>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</si>
  <si>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</si>
  <si>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</si>
  <si>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</si>
  <si>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</si>
  <si>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</si>
  <si>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</si>
  <si>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</si>
  <si>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</si>
  <si>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</si>
  <si>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</si>
  <si>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</si>
  <si>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</si>
  <si>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</si>
  <si>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</si>
  <si>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</si>
  <si>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</si>
  <si>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</si>
  <si>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</si>
  <si>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</si>
  <si>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</si>
  <si>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</si>
  <si>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</si>
  <si>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</si>
  <si>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</si>
  <si>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</si>
  <si>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</si>
  <si>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</si>
  <si>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</si>
  <si>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</si>
  <si>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</si>
  <si>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</si>
  <si>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</si>
  <si>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</si>
  <si>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</si>
  <si>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</si>
  <si>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</si>
  <si>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</si>
  <si>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</si>
  <si>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</si>
  <si>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</si>
  <si>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</si>
  <si>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</si>
  <si>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</si>
  <si>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</si>
  <si>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</si>
  <si>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</si>
  <si>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</si>
  <si>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</si>
  <si>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</si>
  <si>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</si>
  <si>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</si>
  <si>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</si>
  <si>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</si>
  <si>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</si>
  <si>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</si>
  <si>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</si>
  <si>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</si>
  <si>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</si>
  <si>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</si>
  <si>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</si>
  <si>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</si>
  <si>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</si>
  <si>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</si>
  <si>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</si>
  <si>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</si>
  <si>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</si>
  <si>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</si>
  <si>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</si>
  <si>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</si>
  <si>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</si>
  <si>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</si>
  <si>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</si>
  <si>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</si>
  <si>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</si>
  <si>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</si>
  <si>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</si>
  <si>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</si>
  <si>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</si>
  <si>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</si>
  <si>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</si>
  <si>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</si>
  <si>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</si>
  <si>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</si>
  <si>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</si>
  <si>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</si>
  <si>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</si>
  <si>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</si>
  <si>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</si>
  <si>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</si>
  <si>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</si>
  <si>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</si>
  <si>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</si>
  <si>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</si>
  <si>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</si>
  <si>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</si>
  <si>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</si>
  <si>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</si>
  <si>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</si>
  <si>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</si>
  <si>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</si>
  <si>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</si>
  <si>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</si>
  <si>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</si>
  <si>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</si>
  <si>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</si>
  <si>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</si>
  <si>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</si>
  <si>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</si>
  <si>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</si>
  <si>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</si>
  <si>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</si>
  <si>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</si>
  <si>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</si>
  <si>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</si>
  <si>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</si>
  <si>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</si>
  <si>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</si>
  <si>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</si>
  <si>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</si>
  <si>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</si>
  <si>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</si>
  <si>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</si>
  <si>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</si>
  <si>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</si>
  <si>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</si>
  <si>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</si>
  <si>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</si>
  <si>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</si>
  <si>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</si>
  <si>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</si>
  <si>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</si>
  <si>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</si>
  <si>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</si>
  <si>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</si>
  <si>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</si>
  <si>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</si>
  <si>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</si>
  <si>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</si>
  <si>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</si>
  <si>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</si>
  <si>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</si>
  <si>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</si>
  <si>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</si>
  <si>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</si>
  <si>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</si>
  <si>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</si>
  <si>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</si>
  <si>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</si>
  <si>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</si>
  <si>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</si>
  <si>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</si>
  <si>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</si>
  <si>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</si>
  <si>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</si>
  <si>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</si>
  <si>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</si>
  <si>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</si>
  <si>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</si>
  <si>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</si>
  <si>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</si>
  <si>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</si>
  <si>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</si>
  <si>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</si>
  <si>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</si>
  <si>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</si>
  <si>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</si>
  <si>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</si>
  <si>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</si>
  <si>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</si>
  <si>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</si>
  <si>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</si>
  <si>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</si>
  <si>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</si>
  <si>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</si>
  <si>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</si>
  <si>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</si>
  <si>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</si>
  <si>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</si>
  <si>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</si>
  <si>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</si>
  <si>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</si>
  <si>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</si>
  <si>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</si>
  <si>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</si>
  <si>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</si>
  <si>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</si>
  <si>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</si>
  <si>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</si>
  <si>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</si>
  <si>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</si>
  <si>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</si>
  <si>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</si>
  <si>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</si>
  <si>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</si>
  <si>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</si>
  <si>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</si>
  <si>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</si>
  <si>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</si>
  <si>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</si>
  <si>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</si>
  <si>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</si>
  <si>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</si>
  <si>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</si>
  <si>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</si>
  <si>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</si>
  <si>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</si>
  <si>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</si>
  <si>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</si>
  <si>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</si>
  <si>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</si>
  <si>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</si>
  <si>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</si>
  <si>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</si>
  <si>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</si>
  <si>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</si>
  <si>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</si>
  <si>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</si>
  <si>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</si>
  <si>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</si>
  <si>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</si>
  <si>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</si>
  <si>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</si>
  <si>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</si>
  <si>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</si>
  <si>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</si>
  <si>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</si>
  <si>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</si>
  <si>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</si>
  <si>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</si>
  <si>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</si>
  <si>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</si>
  <si>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</si>
  <si>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</si>
  <si>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</si>
  <si>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</si>
  <si>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</si>
  <si>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</si>
  <si>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</si>
  <si>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</si>
  <si>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</si>
  <si>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</si>
  <si>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</si>
  <si>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</si>
  <si>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</si>
  <si>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</si>
  <si>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</si>
  <si>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</si>
  <si>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</si>
  <si>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</si>
  <si>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</si>
  <si>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</si>
  <si>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</si>
  <si>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</si>
  <si>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</si>
  <si>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</si>
  <si>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</si>
  <si>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</si>
  <si>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</si>
  <si>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</si>
  <si>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</si>
  <si>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</si>
  <si>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</si>
  <si>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</si>
  <si>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</si>
  <si>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</si>
  <si>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</si>
  <si>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</si>
  <si>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</si>
  <si>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</si>
  <si>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</si>
  <si>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</si>
  <si>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</si>
  <si>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</si>
  <si>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</si>
  <si>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</si>
  <si>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</si>
  <si>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</si>
  <si>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</si>
  <si>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</si>
  <si>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</si>
  <si>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</si>
  <si>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</si>
  <si>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</si>
  <si>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</si>
  <si>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</si>
  <si>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</si>
  <si>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</si>
  <si>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</si>
  <si>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</si>
  <si>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</si>
  <si>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</si>
  <si>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</si>
  <si>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</si>
  <si>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</si>
  <si>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</si>
  <si>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</si>
  <si>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</si>
  <si>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</si>
  <si>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</si>
  <si>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</si>
  <si>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</si>
  <si>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</si>
  <si>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</si>
  <si>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</si>
  <si>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</si>
  <si>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</si>
  <si>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</si>
  <si>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</si>
  <si>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</si>
  <si>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</si>
  <si>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</si>
  <si>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</si>
  <si>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</si>
  <si>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</si>
  <si>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</si>
  <si>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</si>
  <si>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</si>
  <si>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</si>
  <si>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</si>
  <si>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</si>
  <si>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</si>
  <si>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</si>
  <si>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</si>
  <si>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</si>
  <si>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</si>
  <si>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</si>
  <si>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</si>
  <si>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</si>
  <si>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</si>
  <si>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</si>
  <si>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</si>
  <si>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</si>
  <si>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</si>
  <si>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</si>
  <si>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</si>
  <si>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</si>
  <si>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</si>
  <si>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</si>
  <si>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</si>
  <si>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</si>
  <si>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</si>
  <si>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</si>
  <si>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</si>
  <si>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</si>
  <si>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</si>
  <si>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</si>
  <si>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</si>
  <si>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</si>
  <si>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</si>
  <si>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</si>
  <si>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</si>
  <si>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</si>
  <si>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</si>
  <si>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</si>
  <si>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</si>
  <si>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</si>
  <si>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</si>
  <si>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</si>
  <si>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</si>
  <si>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</si>
  <si>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</si>
  <si>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</si>
  <si>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</si>
  <si>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</si>
  <si>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</si>
  <si>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</si>
  <si>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</si>
  <si>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</si>
  <si>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</si>
  <si>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</si>
  <si>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</si>
  <si>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</si>
  <si>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</si>
  <si>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</si>
  <si>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</si>
  <si>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</si>
  <si>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</si>
  <si>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</si>
  <si>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</si>
  <si>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</si>
  <si>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</si>
  <si>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</si>
  <si>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</si>
  <si>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</si>
  <si>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</si>
  <si>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</si>
  <si>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</si>
  <si>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</si>
  <si>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</si>
  <si>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</si>
  <si>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</si>
  <si>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</si>
  <si>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</si>
  <si>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</si>
  <si>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</si>
  <si>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</si>
  <si>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</si>
  <si>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</si>
  <si>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</si>
  <si>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</si>
  <si>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</si>
  <si>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</si>
  <si>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</si>
  <si>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</si>
  <si>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</si>
  <si>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</si>
  <si>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</si>
  <si>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</si>
  <si>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</si>
  <si>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</si>
  <si>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</si>
  <si>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</si>
  <si>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</si>
  <si>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</si>
  <si>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</si>
  <si>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</si>
  <si>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</si>
  <si>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</si>
  <si>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</si>
  <si>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</si>
  <si>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</si>
  <si>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</si>
  <si>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</si>
  <si>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</si>
  <si>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</si>
  <si>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</si>
  <si>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</si>
  <si>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</si>
  <si>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</si>
  <si>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</si>
  <si>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</si>
  <si>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</si>
  <si>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</si>
  <si>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</si>
  <si>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</si>
  <si>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</si>
  <si>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</si>
  <si>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</si>
  <si>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</si>
  <si>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</si>
  <si>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</si>
  <si>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</si>
  <si>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</si>
  <si>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</si>
  <si>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</si>
  <si>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</si>
  <si>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</si>
  <si>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</si>
  <si>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</si>
  <si>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</si>
  <si>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</si>
  <si>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</si>
  <si>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</si>
  <si>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</si>
  <si>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</si>
  <si>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</si>
  <si>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</si>
  <si>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</si>
  <si>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</si>
  <si>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</si>
  <si>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</si>
  <si>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</si>
  <si>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</si>
  <si>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</si>
  <si>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</si>
  <si>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</si>
  <si>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</si>
  <si>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</si>
  <si>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</si>
  <si>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</si>
  <si>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</si>
  <si>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</si>
  <si>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</si>
  <si>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</si>
  <si>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</si>
  <si>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</si>
  <si>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</si>
  <si>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</si>
  <si>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</si>
  <si>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</si>
  <si>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</si>
  <si>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</si>
  <si>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</si>
  <si>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</si>
  <si>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</si>
  <si>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</si>
  <si>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</si>
  <si>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</si>
  <si>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</si>
  <si>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</si>
  <si>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</si>
  <si>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</si>
  <si>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</si>
  <si>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</si>
  <si>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</si>
  <si>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</si>
  <si>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</si>
  <si>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</si>
  <si>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</si>
  <si>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</si>
  <si>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</si>
  <si>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</si>
  <si>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</si>
  <si>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</si>
  <si>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</si>
  <si>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</si>
  <si>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</si>
  <si>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</si>
  <si>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</si>
  <si>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</si>
  <si>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</si>
  <si>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</si>
  <si>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</si>
  <si>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</si>
  <si>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</si>
  <si>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</si>
  <si>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</si>
  <si>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</si>
  <si>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</si>
  <si>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</si>
  <si>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</si>
  <si>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</si>
  <si>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</si>
  <si>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</si>
  <si>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</si>
  <si>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</si>
  <si>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</si>
  <si>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</si>
  <si>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</si>
  <si>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</si>
  <si>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</si>
  <si>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</si>
  <si>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</si>
  <si>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</si>
  <si>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</si>
  <si>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</si>
  <si>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</si>
  <si>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</si>
  <si>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</si>
  <si>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</si>
  <si>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</si>
  <si>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</si>
  <si>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</si>
  <si>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</si>
  <si>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</si>
  <si>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</si>
  <si>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</si>
  <si>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</si>
  <si>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</si>
  <si>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</si>
  <si>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</si>
  <si>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</si>
  <si>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</si>
  <si>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</si>
  <si>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</si>
  <si>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</si>
  <si>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</si>
  <si>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</si>
  <si>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</si>
  <si>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</si>
  <si>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</si>
  <si>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</si>
  <si>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</si>
  <si>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</si>
  <si>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</si>
  <si>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</si>
  <si>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</si>
  <si>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</si>
  <si>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</si>
  <si>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</si>
  <si>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</si>
  <si>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</si>
  <si>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</si>
  <si>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</si>
  <si>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</si>
  <si>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</si>
  <si>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</si>
  <si>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</si>
  <si>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</si>
  <si>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</si>
  <si>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</si>
  <si>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</si>
  <si>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</si>
  <si>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</si>
  <si>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</si>
  <si>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</si>
  <si>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</si>
  <si>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</si>
  <si>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</si>
  <si>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</si>
  <si>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</si>
  <si>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</si>
  <si>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</si>
  <si>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</si>
  <si>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</si>
  <si>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</si>
  <si>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</si>
  <si>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</si>
  <si>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</si>
  <si>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</si>
  <si>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</si>
  <si>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</si>
  <si>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</si>
  <si>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</si>
  <si>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</si>
  <si>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</si>
  <si>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</si>
  <si>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</si>
  <si>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</si>
  <si>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</si>
  <si>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</si>
  <si>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</si>
  <si>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</si>
  <si>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</si>
  <si>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</si>
  <si>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</si>
  <si>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</si>
  <si>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</si>
  <si>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</si>
  <si>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</si>
  <si>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</si>
  <si>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</si>
  <si>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</si>
  <si>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</si>
  <si>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</si>
  <si>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</si>
  <si>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</si>
  <si>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</si>
  <si>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</si>
  <si>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</si>
  <si>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</si>
  <si>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</si>
  <si>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</si>
  <si>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</si>
  <si>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</si>
  <si>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</si>
  <si>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</si>
  <si>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</si>
  <si>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</si>
  <si>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</si>
  <si>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</si>
  <si>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</si>
  <si>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</si>
  <si>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</si>
  <si>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</si>
  <si>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</si>
  <si>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</si>
  <si>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</si>
  <si>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</si>
  <si>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</si>
  <si>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</si>
  <si>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</si>
  <si>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</si>
  <si>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</si>
  <si>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</si>
  <si>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</si>
  <si>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</si>
  <si>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</si>
  <si>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</si>
  <si>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</si>
  <si>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</si>
  <si>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</si>
  <si>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</si>
  <si>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</si>
  <si>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</si>
  <si>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</si>
  <si>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</si>
  <si>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</si>
  <si>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</si>
  <si>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</si>
  <si>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</si>
  <si>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</si>
  <si>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</si>
  <si>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</si>
  <si>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</si>
  <si>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</si>
  <si>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</si>
  <si>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</si>
  <si>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</si>
  <si>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</si>
  <si>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</si>
  <si>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</si>
  <si>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</si>
  <si>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</si>
  <si>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</si>
  <si>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</si>
  <si>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</si>
  <si>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</si>
  <si>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</si>
  <si>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</si>
  <si>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</si>
  <si>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</si>
  <si>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</si>
  <si>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</si>
  <si>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</si>
  <si>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</si>
  <si>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</si>
  <si>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</si>
  <si>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</si>
  <si>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</si>
  <si>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</si>
  <si>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</si>
  <si>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</si>
  <si>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</si>
  <si>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</si>
  <si>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</si>
  <si>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</si>
  <si>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</si>
  <si>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</si>
  <si>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</si>
  <si>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</si>
  <si>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</si>
  <si>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</si>
  <si>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</si>
  <si>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</si>
  <si>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</si>
  <si>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</si>
  <si>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</si>
  <si>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</si>
  <si>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</si>
  <si>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</si>
  <si>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</si>
  <si>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</si>
  <si>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</si>
  <si>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</si>
  <si>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</si>
  <si>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</si>
  <si>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</si>
  <si>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</si>
  <si>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</si>
  <si>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</si>
  <si>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</si>
  <si>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</si>
  <si>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</si>
  <si>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</si>
  <si>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</si>
  <si>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</si>
  <si>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</si>
  <si>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</si>
  <si>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</si>
  <si>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</si>
  <si>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</si>
  <si>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</si>
  <si>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</si>
  <si>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</si>
  <si>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</si>
  <si>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</si>
  <si>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</si>
  <si>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</si>
  <si>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</si>
  <si>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</si>
  <si>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</si>
  <si>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</si>
  <si>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</si>
  <si>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</si>
  <si>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</si>
  <si>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</si>
  <si>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</si>
  <si>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</si>
  <si>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</si>
  <si>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</si>
  <si>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</si>
  <si>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</si>
  <si>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</si>
  <si>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</si>
  <si>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</si>
  <si>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</si>
  <si>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</si>
  <si>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</si>
  <si>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</si>
  <si>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</si>
  <si>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</si>
  <si>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</si>
  <si>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</si>
  <si>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</si>
  <si>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</si>
  <si>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</si>
  <si>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</si>
  <si>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</si>
  <si>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</si>
  <si>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</si>
  <si>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</si>
  <si>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</si>
  <si>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</si>
  <si>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</si>
  <si>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</si>
  <si>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</si>
  <si>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</si>
  <si>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</si>
  <si>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</si>
  <si>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</si>
  <si>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</si>
  <si>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</si>
  <si>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</si>
  <si>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</si>
  <si>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</si>
  <si>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</si>
  <si>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</si>
  <si>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</si>
  <si>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</si>
  <si>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</si>
  <si>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</si>
  <si>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</si>
  <si>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</si>
  <si>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</si>
  <si>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</si>
  <si>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</si>
  <si>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</si>
  <si>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</si>
  <si>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</si>
  <si>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</si>
  <si>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</si>
  <si>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</si>
  <si>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</si>
  <si>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</si>
  <si>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</si>
  <si>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</si>
  <si>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</si>
  <si>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</si>
  <si>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</si>
  <si>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</si>
  <si>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</si>
  <si>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</si>
  <si>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</si>
  <si>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</si>
  <si>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</si>
  <si>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</si>
  <si>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</si>
  <si>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</si>
  <si>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</si>
  <si>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</si>
  <si>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</si>
  <si>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</si>
  <si>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</si>
  <si>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</si>
  <si>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</si>
  <si>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</si>
  <si>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</si>
  <si>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</si>
  <si>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</si>
  <si>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</si>
  <si>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</si>
  <si>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</si>
  <si>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</si>
  <si>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</si>
  <si>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</si>
  <si>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</si>
  <si>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</si>
  <si>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</si>
  <si>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</si>
  <si>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</si>
  <si>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</si>
  <si>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</si>
  <si>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</si>
  <si>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</si>
  <si>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</si>
  <si>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</si>
  <si>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</si>
  <si>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</si>
  <si>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</si>
  <si>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</si>
  <si>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</si>
  <si>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</si>
  <si>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</si>
  <si>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</si>
  <si>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</si>
  <si>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</si>
  <si>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</si>
  <si>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</si>
  <si>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</si>
  <si>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</si>
  <si>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</si>
  <si>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</si>
  <si>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</si>
  <si>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</si>
  <si>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</si>
  <si>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</si>
  <si>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</si>
  <si>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</si>
  <si>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</si>
  <si>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</si>
  <si>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</si>
  <si>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</si>
  <si>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</si>
  <si>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</si>
  <si>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</si>
  <si>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</si>
  <si>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</si>
  <si>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</si>
  <si>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</si>
  <si>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</si>
  <si>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</si>
  <si>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</si>
  <si>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</si>
  <si>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</si>
  <si>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</si>
  <si>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</si>
  <si>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</si>
  <si>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</si>
  <si>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</si>
  <si>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</si>
  <si>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</si>
  <si>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</si>
  <si>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</si>
  <si>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</si>
  <si>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</si>
  <si>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</si>
  <si>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</si>
  <si>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</si>
  <si>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</si>
  <si>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</si>
  <si>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</si>
  <si>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</si>
  <si>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</si>
  <si>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</si>
  <si>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</si>
  <si>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</si>
  <si>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</si>
  <si>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</si>
  <si>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</si>
  <si>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</si>
  <si>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</si>
  <si>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</si>
  <si>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</si>
  <si>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</si>
  <si>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</si>
  <si>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</si>
  <si>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</si>
  <si>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</si>
  <si>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</si>
  <si>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</si>
  <si>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</si>
  <si>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</si>
  <si>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</si>
  <si>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</si>
  <si>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</si>
  <si>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</si>
  <si>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</si>
  <si>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</si>
  <si>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</si>
  <si>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</si>
  <si>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</si>
  <si>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</si>
  <si>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</si>
  <si>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</si>
  <si>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</si>
  <si>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</si>
  <si>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</si>
  <si>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</si>
  <si>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</si>
  <si>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</si>
  <si>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</si>
  <si>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</si>
  <si>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</si>
  <si>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</si>
  <si>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</si>
  <si>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</si>
  <si>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</si>
  <si>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</si>
  <si>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</si>
  <si>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</si>
  <si>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</si>
  <si>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</si>
  <si>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</si>
  <si>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</si>
  <si>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</si>
  <si>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</si>
  <si>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</si>
  <si>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</si>
  <si>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</si>
  <si>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</si>
  <si>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</si>
  <si>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</si>
  <si>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</si>
  <si>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</si>
  <si>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</si>
  <si>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</si>
  <si>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</si>
  <si>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</si>
  <si>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</si>
  <si>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</si>
  <si>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</si>
  <si>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</si>
  <si>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</si>
  <si>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</si>
  <si>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</si>
  <si>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</si>
  <si>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</si>
  <si>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</si>
  <si>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</si>
  <si>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</si>
  <si>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</si>
  <si>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</si>
  <si>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</si>
  <si>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</si>
  <si>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</si>
  <si>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</si>
  <si>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</si>
  <si>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</si>
  <si>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</si>
  <si>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</si>
  <si>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</si>
  <si>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</si>
  <si>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</si>
  <si>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</si>
  <si>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</si>
  <si>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</si>
  <si>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</si>
  <si>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</si>
  <si>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</si>
  <si>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</si>
  <si>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</si>
  <si>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</si>
  <si>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</si>
  <si>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</si>
  <si>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</si>
  <si>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</si>
  <si>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</si>
  <si>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</si>
  <si>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</si>
  <si>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</si>
  <si>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</si>
  <si>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</si>
  <si>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</si>
  <si>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</si>
  <si>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</si>
  <si>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</si>
  <si>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</si>
  <si>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</si>
  <si>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</si>
  <si>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</si>
  <si>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</si>
  <si>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</si>
  <si>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</si>
  <si>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</si>
  <si>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</si>
  <si>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</si>
  <si>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</si>
  <si>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</si>
  <si>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</si>
  <si>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</si>
  <si>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</si>
  <si>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</si>
  <si>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</si>
  <si>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</si>
  <si>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</si>
  <si>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</si>
  <si>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</si>
  <si>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</si>
  <si>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</si>
  <si>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</si>
  <si>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</si>
  <si>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</si>
  <si>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</si>
  <si>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</si>
  <si>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</si>
  <si>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</si>
  <si>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</si>
  <si>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</si>
  <si>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</si>
  <si>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</si>
  <si>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</si>
  <si>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</si>
  <si>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</si>
  <si>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</si>
  <si>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</si>
  <si>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</si>
  <si>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</si>
  <si>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</si>
  <si>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</si>
  <si>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</si>
  <si>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</si>
  <si>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</si>
  <si>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</si>
  <si>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</si>
  <si>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</si>
  <si>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</si>
  <si>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</si>
  <si>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</si>
  <si>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</si>
  <si>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</si>
  <si>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</si>
  <si>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</si>
  <si>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</si>
  <si>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</si>
  <si>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</si>
  <si>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</si>
  <si>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</si>
  <si>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</si>
  <si>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</si>
  <si>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</si>
  <si>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</si>
  <si>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</si>
  <si>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</si>
  <si>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</si>
  <si>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</si>
  <si>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</si>
  <si>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</si>
  <si>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</si>
  <si>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</si>
  <si>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</si>
  <si>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</si>
  <si>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</si>
  <si>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</si>
  <si>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</si>
  <si>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</si>
  <si>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</si>
  <si>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</si>
  <si>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</si>
  <si>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</si>
  <si>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</si>
  <si>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</si>
  <si>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</si>
  <si>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</si>
  <si>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</si>
  <si>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</si>
  <si>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</si>
  <si>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</si>
  <si>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</si>
  <si>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</si>
  <si>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</si>
  <si>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</si>
  <si>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</si>
  <si>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</si>
  <si>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</si>
  <si>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</si>
  <si>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</si>
  <si>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</si>
  <si>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</si>
  <si>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</si>
  <si>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</si>
  <si>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</si>
  <si>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</si>
  <si>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</si>
  <si>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</si>
  <si>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</si>
  <si>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</si>
  <si>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</si>
  <si>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</si>
  <si>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</si>
  <si>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</si>
  <si>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</si>
  <si>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</si>
  <si>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</si>
  <si>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</si>
  <si>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</si>
  <si>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</si>
  <si>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</si>
  <si>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</si>
  <si>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</si>
  <si>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</si>
  <si>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</si>
  <si>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</si>
  <si>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</si>
  <si>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</si>
  <si>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</si>
  <si>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</si>
  <si>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</si>
  <si>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</si>
  <si>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</si>
  <si>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</si>
  <si>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</si>
  <si>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</si>
  <si>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</si>
  <si>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</si>
  <si>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</si>
  <si>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</si>
  <si>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</si>
  <si>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</si>
  <si>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</si>
  <si>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</si>
  <si>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</si>
  <si>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</si>
  <si>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</si>
  <si>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</si>
  <si>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</si>
  <si>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</si>
  <si>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</si>
  <si>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</si>
  <si>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</si>
  <si>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</si>
  <si>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</si>
  <si>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</si>
  <si>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</si>
  <si>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</si>
  <si>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</si>
  <si>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</si>
  <si>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</si>
  <si>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</si>
  <si>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</si>
  <si>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</si>
  <si>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</si>
  <si>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</si>
  <si>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</si>
  <si>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</si>
  <si>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</si>
  <si>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</si>
  <si>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</si>
  <si>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</si>
  <si>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</si>
  <si>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</si>
  <si>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</si>
  <si>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</si>
  <si>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</si>
  <si>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</si>
  <si>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</si>
  <si>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</si>
  <si>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</si>
  <si>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</si>
  <si>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</si>
  <si>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</si>
  <si>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</si>
  <si>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</si>
  <si>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</si>
  <si>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</si>
  <si>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</si>
  <si>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</si>
  <si>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</si>
  <si>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</si>
  <si>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</si>
  <si>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</si>
  <si>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</si>
  <si>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</si>
  <si>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</si>
  <si>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</si>
  <si>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</si>
  <si>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</si>
  <si>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</si>
  <si>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</si>
  <si>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</si>
  <si>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</si>
  <si>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</si>
  <si>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</si>
  <si>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</si>
  <si>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</si>
  <si>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</si>
  <si>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</si>
  <si>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</si>
  <si>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</si>
  <si>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</si>
  <si>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</si>
  <si>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</si>
  <si>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</si>
  <si>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</si>
  <si>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</si>
  <si>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</si>
  <si>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</si>
  <si>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</si>
  <si>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</si>
  <si>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</si>
  <si>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</si>
  <si>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</si>
  <si>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</si>
  <si>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</si>
  <si>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</si>
  <si>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</si>
  <si>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</si>
  <si>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</si>
  <si>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</si>
  <si>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</si>
  <si>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</si>
  <si>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</si>
  <si>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</si>
  <si>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</si>
  <si>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</si>
  <si>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</si>
  <si>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</si>
  <si>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</si>
  <si>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</si>
  <si>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</si>
  <si>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</si>
  <si>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</si>
  <si>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</si>
  <si>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</si>
  <si>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</si>
  <si>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</si>
  <si>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</si>
  <si>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</si>
  <si>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</si>
  <si>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</si>
  <si>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</si>
  <si>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</si>
  <si>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</si>
  <si>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</si>
  <si>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</si>
  <si>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</si>
  <si>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</si>
  <si>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</si>
  <si>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</si>
  <si>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</si>
  <si>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</si>
  <si>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</si>
  <si>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</si>
  <si>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</si>
  <si>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</si>
  <si>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</si>
  <si>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</si>
  <si>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</si>
  <si>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</si>
  <si>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</si>
  <si>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</si>
  <si>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</si>
  <si>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</si>
  <si>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</si>
  <si>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</si>
  <si>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</si>
  <si>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</si>
  <si>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</si>
  <si>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</si>
  <si>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</si>
  <si>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</si>
  <si>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</si>
  <si>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</si>
  <si>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</si>
  <si>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</si>
  <si>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</si>
  <si>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</si>
  <si>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</si>
  <si>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</si>
  <si>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</si>
  <si>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</si>
  <si>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</si>
  <si>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</si>
  <si>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</si>
  <si>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</si>
  <si>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</si>
  <si>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</si>
  <si>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</si>
  <si>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</si>
  <si>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</si>
  <si>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</si>
  <si>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</si>
  <si>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</si>
  <si>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</si>
  <si>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</si>
  <si>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</si>
  <si>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</si>
  <si>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</si>
  <si>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</si>
  <si>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</si>
  <si>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</si>
  <si>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</si>
  <si>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</si>
  <si>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</si>
  <si>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</si>
  <si>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</si>
  <si>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</si>
  <si>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</si>
  <si>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</si>
  <si>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</si>
  <si>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</si>
  <si>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</si>
  <si>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</si>
  <si>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</si>
  <si>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</si>
  <si>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</si>
  <si>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</si>
  <si>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</si>
  <si>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</si>
  <si>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</si>
  <si>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</si>
  <si>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</si>
  <si>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</si>
  <si>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</si>
  <si>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</si>
  <si>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</si>
  <si>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</si>
  <si>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</si>
  <si>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</si>
  <si>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</si>
  <si>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</si>
  <si>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</si>
  <si>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</si>
  <si>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</si>
  <si>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</si>
  <si>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</si>
  <si>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</si>
  <si>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</si>
  <si>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</si>
  <si>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</si>
  <si>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</si>
  <si>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</si>
  <si>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</si>
  <si>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</si>
  <si>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</si>
  <si>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</si>
  <si>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</si>
  <si>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</si>
  <si>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</si>
  <si>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</si>
  <si>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</si>
  <si>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</si>
  <si>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</si>
  <si>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工业用地</t>
  </si>
  <si>
    <t>地价指数</t>
  </si>
  <si>
    <t>耕地开垦费</t>
  </si>
  <si>
    <t>六通（多燃气）</t>
    <phoneticPr fontId="228" type="noConversion"/>
  </si>
  <si>
    <r>
      <rPr>
        <b/>
        <sz val="10"/>
        <rFont val="宋体"/>
        <family val="3"/>
        <charset val="134"/>
      </rPr>
      <t>（</t>
    </r>
    <r>
      <rPr>
        <b/>
        <sz val="10"/>
        <rFont val="Arial"/>
        <family val="2"/>
      </rPr>
      <t>2</t>
    </r>
    <r>
      <rPr>
        <b/>
        <sz val="10"/>
        <rFont val="宋体"/>
        <family val="3"/>
        <charset val="134"/>
      </rPr>
      <t>）</t>
    </r>
    <phoneticPr fontId="228" type="noConversion"/>
  </si>
  <si>
    <t>根据调查耕地面积占土地总面积约70%，耕地开垦费为15元/平方米</t>
    <phoneticPr fontId="228" type="noConversion"/>
  </si>
  <si>
    <t>7</t>
    <phoneticPr fontId="228" type="noConversion"/>
  </si>
  <si>
    <t>年期修正</t>
    <phoneticPr fontId="228" type="noConversion"/>
  </si>
  <si>
    <t>——</t>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</si>
  <si>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年测算，土地还原利率</t>
    </r>
    <r>
      <rPr>
        <b/>
        <sz val="10"/>
        <rFont val="Arial"/>
        <family val="2"/>
      </rPr>
      <t>6%</t>
    </r>
    <r>
      <rPr>
        <b/>
        <sz val="10"/>
        <rFont val="宋体"/>
        <family val="3"/>
        <charset val="134"/>
      </rPr>
      <t>。</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</si>
</sst>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
      <b/>
      <sz val="10"/>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178" fontId="221" fillId="5"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178" fontId="221" fillId="6" borderId="2" xfId="2" applyNumberFormat="1" applyFont="1" applyFill="1" applyBorder="1" applyAlignment="1">
      <alignment horizontal="center" vertical="center"/>
    </xf>
    <xf numFmtId="0" fontId="145" fillId="0" borderId="0" xfId="0" applyFont="1">
      <alignment vertical="center"/>
    </xf>
    <xf numFmtId="0" fontId="145" fillId="0" borderId="0" xfId="0" applyFont="1" applyAlignment="1">
      <alignment horizontal="left" vertical="center"/>
    </xf>
    <xf numFmtId="49" fontId="275" fillId="5" borderId="11" xfId="2" applyNumberFormat="1" applyFont="1" applyFill="1" applyBorder="1" applyAlignment="1">
      <alignment horizontal="left" vertical="center"/>
    </xf>
    <xf numFmtId="0" fontId="274" fillId="6" borderId="5" xfId="2" applyFont="1" applyFill="1" applyBorder="1" applyAlignment="1">
      <alignment horizontal="left" vertical="center"/>
    </xf>
    <xf numFmtId="49" fontId="275" fillId="5" borderId="2" xfId="2" applyNumberFormat="1" applyFont="1" applyFill="1" applyBorder="1" applyAlignment="1">
      <alignment horizontal="left" vertical="center" wrapText="1"/>
    </xf>
    <xf numFmtId="178" fontId="274" fillId="6" borderId="2" xfId="2" applyNumberFormat="1" applyFont="1" applyFill="1" applyBorder="1" applyAlignment="1">
      <alignment horizontal="left" vertical="center"/>
    </xf>
    <xf numFmtId="0" fontId="185" fillId="0" borderId="0" xfId="7" applyFont="1" applyAlignment="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5" fillId="5" borderId="61" xfId="0" applyFont="1" applyFill="1" applyBorder="1" applyAlignment="1">
      <alignment horizontal="center" vertical="center"/>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76" fillId="5" borderId="5" xfId="0" applyFont="1" applyFill="1" applyBorder="1" applyAlignment="1">
      <alignment horizontal="center" vertical="center" wrapText="1"/>
    </xf>
    <xf numFmtId="0" fontId="76" fillId="5" borderId="9" xfId="0" applyFont="1" applyFill="1" applyBorder="1" applyAlignment="1">
      <alignment horizontal="center" vertical="center" wrapText="1"/>
    </xf>
    <xf numFmtId="0" fontId="75" fillId="5" borderId="53" xfId="0" applyFont="1" applyFill="1" applyBorder="1" applyAlignment="1">
      <alignment horizontal="left" vertical="center" wrapText="1"/>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1" xfId="0" applyFont="1" applyFill="1" applyBorder="1" applyAlignment="1">
      <alignment horizontal="left" vertical="center" wrapText="1"/>
    </xf>
    <xf numFmtId="0" fontId="76" fillId="5" borderId="2" xfId="0" applyFont="1" applyFill="1" applyBorder="1" applyAlignment="1">
      <alignment horizontal="left"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lignment horizontal="left" vertical="center" wrapText="1"/>
    </xf>
    <xf numFmtId="0" fontId="71" fillId="5" borderId="2" xfId="0" applyFont="1" applyFill="1" applyBorder="1" applyAlignment="1">
      <alignment horizontal="center" vertical="center" wrapText="1"/>
    </xf>
    <xf numFmtId="0" fontId="76" fillId="5" borderId="5" xfId="0" applyFont="1" applyFill="1" applyBorder="1" applyAlignment="1">
      <alignment horizontal="left" vertical="center" wrapText="1"/>
    </xf>
    <xf numFmtId="0" fontId="76" fillId="5" borderId="8" xfId="0" applyFont="1" applyFill="1" applyBorder="1" applyAlignment="1">
      <alignment horizontal="left" vertical="center" wrapText="1"/>
    </xf>
    <xf numFmtId="0" fontId="76" fillId="5" borderId="16" xfId="0" applyFont="1" applyFill="1" applyBorder="1" applyAlignment="1">
      <alignment horizontal="left"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lignment horizontal="center" vertical="center" wrapText="1"/>
    </xf>
    <xf numFmtId="0" fontId="76" fillId="5" borderId="9"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84" fillId="5" borderId="2" xfId="0" applyFont="1" applyFill="1" applyBorder="1" applyAlignment="1">
      <alignment horizontal="center" vertical="center" wrapText="1"/>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2"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185" fontId="84" fillId="5" borderId="2" xfId="0" applyNumberFormat="1" applyFont="1" applyFill="1" applyBorder="1" applyAlignment="1">
      <alignment horizontal="center" vertical="center"/>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236" fillId="12" borderId="119"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84" fillId="5" borderId="8"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2024年9月9日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估价期日：2024年9月9日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27" t="str">
        <f>IF(B10="北京市","北京市",C10)&amp;F10&amp;B16&amp;"国有建设用地使用权"&amp;B9&amp;"预评估"</f>
        <v>出让国有建设用地使用权预评估</v>
      </c>
      <c r="C1" s="3028"/>
      <c r="D1" s="3028"/>
      <c r="E1" s="3028"/>
      <c r="F1" s="3028"/>
      <c r="G1" s="3028"/>
      <c r="H1" s="3028"/>
      <c r="I1" s="3029"/>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45544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33"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34"/>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30"/>
      <c r="C12" s="3031"/>
      <c r="D12" s="3032"/>
      <c r="E12" s="1593" t="s">
        <v>2061</v>
      </c>
      <c r="F12" s="3048" t="s">
        <v>2890</v>
      </c>
      <c r="G12" s="3049"/>
      <c r="H12" s="3049"/>
      <c r="I12" s="3050"/>
      <c r="J12" s="1555"/>
      <c r="K12" s="1666"/>
      <c r="L12" s="1616"/>
      <c r="M12" s="1616"/>
      <c r="N12" s="1555"/>
      <c r="O12" s="1589"/>
      <c r="P12" s="1555"/>
      <c r="Q12" s="1555"/>
      <c r="R12" s="1555"/>
      <c r="S12" s="1555"/>
      <c r="T12" s="1555"/>
      <c r="U12" s="1555"/>
    </row>
    <row r="13" spans="1:21">
      <c r="A13" s="1582" t="s">
        <v>2059</v>
      </c>
      <c r="B13" s="3030"/>
      <c r="C13" s="3031"/>
      <c r="D13" s="3032"/>
      <c r="E13" s="1593" t="s">
        <v>2061</v>
      </c>
      <c r="F13" s="3048" t="s">
        <v>2891</v>
      </c>
      <c r="G13" s="3049"/>
      <c r="H13" s="3049"/>
      <c r="I13" s="3050"/>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20.95</v>
      </c>
      <c r="J19" s="1555"/>
      <c r="K19" s="1666"/>
      <c r="L19" s="1616"/>
      <c r="M19" s="1616"/>
      <c r="N19" s="1555"/>
      <c r="O19" s="1589"/>
      <c r="P19" s="1555"/>
      <c r="Q19" s="1555"/>
      <c r="R19" s="1555"/>
      <c r="S19" s="1555"/>
      <c r="T19" s="1555"/>
      <c r="U19" s="1555"/>
    </row>
    <row r="20" spans="1:21">
      <c r="A20" s="1677"/>
      <c r="B20" s="1678"/>
      <c r="C20" s="1679" t="s">
        <v>2060</v>
      </c>
      <c r="D20" s="3045"/>
      <c r="E20" s="3046"/>
      <c r="F20" s="3046"/>
      <c r="G20" s="3046"/>
      <c r="H20" s="3046"/>
      <c r="I20" s="3047"/>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35" t="s">
        <v>1998</v>
      </c>
      <c r="F21" s="3036"/>
      <c r="G21" s="3036"/>
      <c r="H21" s="3036"/>
      <c r="I21" s="3037"/>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35" t="s">
        <v>2892</v>
      </c>
      <c r="F22" s="3036"/>
      <c r="G22" s="3036"/>
      <c r="H22" s="3036"/>
      <c r="I22" s="3037"/>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38" t="s">
        <v>1966</v>
      </c>
      <c r="C24" s="3039"/>
      <c r="D24" s="3040" t="s">
        <v>1967</v>
      </c>
      <c r="E24" s="3041"/>
      <c r="F24" s="1601" t="s">
        <v>1968</v>
      </c>
      <c r="G24" s="1555"/>
      <c r="H24" s="1555"/>
      <c r="I24" s="1589"/>
      <c r="J24" s="1555"/>
      <c r="K24" s="3026"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26"/>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26"/>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53" t="s">
        <v>2001</v>
      </c>
      <c r="B31" s="1657" t="s">
        <v>2002</v>
      </c>
      <c r="C31" s="3051"/>
      <c r="D31" s="3052"/>
      <c r="E31" s="1555"/>
      <c r="F31" s="1555"/>
      <c r="G31" s="1555"/>
      <c r="H31" s="1555"/>
      <c r="I31" s="1589"/>
      <c r="J31" s="1555"/>
      <c r="K31" s="2261"/>
      <c r="L31" s="1555"/>
      <c r="M31" s="1555"/>
      <c r="N31" s="1555"/>
      <c r="O31" s="1555"/>
      <c r="P31" s="1555"/>
      <c r="Q31" s="1555"/>
      <c r="R31" s="1555"/>
      <c r="S31" s="1555"/>
      <c r="T31" s="1555"/>
      <c r="U31" s="1555"/>
    </row>
    <row r="32" spans="1:21">
      <c r="A32" s="3053"/>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53"/>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54"/>
      <c r="B34" s="1556" t="s">
        <v>2005</v>
      </c>
      <c r="C34" s="3055"/>
      <c r="D34" s="3056"/>
      <c r="E34" s="1555"/>
      <c r="F34" s="1555"/>
      <c r="G34" s="1555"/>
      <c r="H34" s="1555"/>
      <c r="I34" s="1589"/>
      <c r="J34" s="1555"/>
      <c r="K34" s="2261"/>
      <c r="L34" s="1555"/>
      <c r="M34" s="1555"/>
      <c r="N34" s="1555"/>
      <c r="O34" s="1555"/>
      <c r="P34" s="1555"/>
      <c r="Q34" s="1555"/>
      <c r="R34" s="1555"/>
      <c r="S34" s="1555"/>
      <c r="T34" s="1555"/>
      <c r="U34" s="1555"/>
    </row>
    <row r="35" spans="1:21">
      <c r="A35" s="3057" t="s">
        <v>847</v>
      </c>
      <c r="B35" s="1615"/>
      <c r="C35" s="1668" t="str">
        <f>IF(B35="场地平整","——","具体情况：")</f>
        <v>具体情况：</v>
      </c>
      <c r="D35" s="3059"/>
      <c r="E35" s="3060"/>
      <c r="F35" s="3060"/>
      <c r="G35" s="3060"/>
      <c r="H35" s="3060"/>
      <c r="I35" s="3061"/>
      <c r="J35" s="1555"/>
      <c r="K35" s="1667"/>
      <c r="L35" s="1616"/>
      <c r="M35" s="1616"/>
      <c r="N35" s="1555"/>
      <c r="O35" s="1589"/>
      <c r="P35" s="1555"/>
      <c r="Q35" s="1555"/>
      <c r="R35" s="1555"/>
      <c r="S35" s="1555"/>
      <c r="T35" s="1555"/>
      <c r="U35" s="1555"/>
    </row>
    <row r="36" spans="1:21">
      <c r="A36" s="3053"/>
      <c r="B36" s="3062" t="s">
        <v>2054</v>
      </c>
      <c r="C36" s="3063"/>
      <c r="D36" s="1683"/>
      <c r="E36" s="3064"/>
      <c r="F36" s="3064"/>
      <c r="G36" s="1582" t="str">
        <f>IF(B35="场地未平整","估价结果处理","")</f>
        <v/>
      </c>
      <c r="H36" s="3065"/>
      <c r="I36" s="3065"/>
      <c r="J36" s="1555"/>
      <c r="K36" s="1667"/>
      <c r="L36" s="1616"/>
      <c r="M36" s="1616"/>
      <c r="N36" s="1555"/>
      <c r="O36" s="1589"/>
      <c r="P36" s="1555"/>
      <c r="Q36" s="1555"/>
      <c r="R36" s="1555"/>
      <c r="S36" s="1555"/>
      <c r="T36" s="1555"/>
      <c r="U36" s="1555"/>
    </row>
    <row r="37" spans="1:21" ht="28.5">
      <c r="A37" s="3053"/>
      <c r="B37" s="3042"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53"/>
      <c r="B38" s="3043"/>
      <c r="C38" s="1564" t="s">
        <v>850</v>
      </c>
      <c r="D38" s="1682">
        <f>ROUNDDOWN(MIN(('数据-取费表'!$B$2-D37)/365,D34),1)</f>
        <v>124.7</v>
      </c>
      <c r="E38" s="1620" t="s">
        <v>851</v>
      </c>
      <c r="F38" s="1555"/>
      <c r="G38" s="1555"/>
      <c r="H38" s="1555"/>
      <c r="I38" s="1589"/>
      <c r="J38" s="1555"/>
      <c r="K38" s="1667"/>
      <c r="L38" s="1555"/>
      <c r="M38" s="1555"/>
      <c r="N38" s="1555"/>
      <c r="O38" s="1555"/>
      <c r="P38" s="1555"/>
      <c r="Q38" s="1555"/>
      <c r="R38" s="1555"/>
      <c r="S38" s="1555"/>
      <c r="T38" s="1555"/>
      <c r="U38" s="1555"/>
    </row>
    <row r="39" spans="1:21">
      <c r="A39" s="3054"/>
      <c r="B39" s="3044"/>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25" t="s">
        <v>1985</v>
      </c>
      <c r="T40" s="1624" t="str">
        <f>NUMBERSTRING(7-K40,1)&amp;"通"</f>
        <v>七通</v>
      </c>
      <c r="U40" s="1555"/>
    </row>
    <row r="41" spans="1:21">
      <c r="A41" s="1558"/>
      <c r="B41" s="3058" t="s">
        <v>1721</v>
      </c>
      <c r="C41" s="3058"/>
      <c r="D41" s="3058"/>
      <c r="E41" s="3058"/>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25"/>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6" t="s">
        <v>0</v>
      </c>
      <c r="B1" s="3066" t="s">
        <v>4</v>
      </c>
      <c r="C1" s="3066" t="s">
        <v>5</v>
      </c>
      <c r="D1" s="3067" t="s">
        <v>40</v>
      </c>
      <c r="E1" s="3067" t="s">
        <v>41</v>
      </c>
      <c r="F1" s="3067"/>
      <c r="G1" s="3067"/>
      <c r="H1" s="3067"/>
      <c r="I1" s="3067"/>
      <c r="J1" s="3067"/>
      <c r="K1" s="3067"/>
      <c r="L1" s="3067"/>
      <c r="M1" s="3067"/>
    </row>
    <row r="2" spans="1:13" ht="27" customHeight="1">
      <c r="A2" s="3066"/>
      <c r="B2" s="3066"/>
      <c r="C2" s="3066"/>
      <c r="D2" s="3067"/>
      <c r="E2" s="3067" t="s">
        <v>24</v>
      </c>
      <c r="F2" s="3067" t="s">
        <v>25</v>
      </c>
      <c r="G2" s="3067"/>
      <c r="H2" s="3067"/>
      <c r="I2" s="3067"/>
      <c r="J2" s="3067" t="s">
        <v>26</v>
      </c>
      <c r="K2" s="3067"/>
      <c r="L2" s="3067"/>
      <c r="M2" s="3067"/>
    </row>
    <row r="3" spans="1:13" ht="28.5">
      <c r="A3" s="3066"/>
      <c r="B3" s="3066"/>
      <c r="C3" s="3066"/>
      <c r="D3" s="3067"/>
      <c r="E3" s="30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7" t="s">
        <v>42</v>
      </c>
      <c r="B9" s="3067"/>
      <c r="C9" s="30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7" t="s">
        <v>203</v>
      </c>
      <c r="B2" s="3077"/>
      <c r="C2" s="3077"/>
      <c r="D2" s="1860" t="s">
        <v>204</v>
      </c>
      <c r="E2" s="101" t="s">
        <v>205</v>
      </c>
      <c r="F2" s="1862"/>
      <c r="G2" s="1137"/>
      <c r="H2" s="1138"/>
      <c r="I2" s="1139" t="s">
        <v>857</v>
      </c>
      <c r="J2" s="1862"/>
      <c r="K2" s="1862"/>
      <c r="L2" s="1862"/>
    </row>
    <row r="3" spans="1:16" ht="15.75" thickBot="1">
      <c r="A3" s="3078" t="s">
        <v>206</v>
      </c>
      <c r="B3" s="3078"/>
      <c r="C3" s="3078"/>
      <c r="D3" s="102" t="e">
        <f>'数据-基础表'!AY6</f>
        <v>#DIV/0!</v>
      </c>
      <c r="E3" s="102">
        <f>'数据-基础表'!AZ5</f>
        <v>0</v>
      </c>
      <c r="F3" s="1862"/>
      <c r="G3" s="110" t="s">
        <v>858</v>
      </c>
      <c r="H3" s="106" t="s">
        <v>859</v>
      </c>
      <c r="I3" s="1091">
        <f>ROUND('数据-基础表'!B3/'数据-基础表'!A3,2)</f>
        <v>0</v>
      </c>
      <c r="J3" s="1862"/>
      <c r="K3" s="1862"/>
      <c r="L3" s="1862"/>
    </row>
    <row r="4" spans="1:16" ht="15">
      <c r="A4" s="3079"/>
      <c r="B4" s="3080"/>
      <c r="C4" s="3081"/>
      <c r="D4" s="103" t="s">
        <v>204</v>
      </c>
      <c r="E4" s="104" t="s">
        <v>205</v>
      </c>
      <c r="F4" s="1862"/>
      <c r="G4" s="123"/>
      <c r="H4" s="106" t="s">
        <v>860</v>
      </c>
      <c r="I4" s="1091">
        <f>ROUND(SUMIF('数据-基础表'!I9:AS9,"地上",'数据-基础表'!I5:AS5)/'数据-基础表'!A3,2)</f>
        <v>0</v>
      </c>
      <c r="J4" s="1862"/>
      <c r="K4" s="1862"/>
      <c r="L4" s="1862"/>
    </row>
    <row r="5" spans="1:16">
      <c r="A5" s="105" t="s">
        <v>207</v>
      </c>
      <c r="B5" s="3082" t="s">
        <v>230</v>
      </c>
      <c r="C5" s="3082"/>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82" t="s">
        <v>208</v>
      </c>
      <c r="C6" s="3082"/>
      <c r="D6" s="106" t="e">
        <f>ROUND($D$3*E6/$E$3,2)</f>
        <v>#DIV/0!</v>
      </c>
      <c r="E6" s="107">
        <f>E3-E5</f>
        <v>0</v>
      </c>
      <c r="F6" s="1862"/>
      <c r="G6" s="123"/>
      <c r="H6" s="106" t="s">
        <v>860</v>
      </c>
      <c r="I6" s="1091" t="e">
        <f>ROUND(F31/D31,2)</f>
        <v>#DIV/0!</v>
      </c>
      <c r="J6" s="1862"/>
      <c r="K6" s="1862"/>
      <c r="L6" s="1862"/>
    </row>
    <row r="7" spans="1:16" ht="15">
      <c r="A7" s="3074"/>
      <c r="B7" s="3075"/>
      <c r="C7" s="3076"/>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8" t="s">
        <v>2566</v>
      </c>
      <c r="L16" s="3069"/>
      <c r="M16" s="3069"/>
      <c r="N16" s="3069"/>
      <c r="O16" s="3069"/>
      <c r="P16" s="3070"/>
    </row>
    <row r="17" spans="1:19" ht="15">
      <c r="A17" s="116" t="s">
        <v>216</v>
      </c>
      <c r="B17" s="117" t="s">
        <v>217</v>
      </c>
      <c r="C17" s="2134" t="s">
        <v>2313</v>
      </c>
      <c r="D17" s="103" t="s">
        <v>204</v>
      </c>
      <c r="E17" s="119" t="s">
        <v>205</v>
      </c>
      <c r="F17" s="120"/>
      <c r="G17" s="1293"/>
      <c r="H17" s="920" t="s">
        <v>218</v>
      </c>
      <c r="I17" s="921" t="s">
        <v>2312</v>
      </c>
      <c r="J17" s="1862"/>
      <c r="K17" s="3071" t="s">
        <v>2567</v>
      </c>
      <c r="L17" s="3072"/>
      <c r="M17" s="3073"/>
      <c r="N17" s="3071" t="s">
        <v>2568</v>
      </c>
      <c r="O17" s="3072"/>
      <c r="P17" s="3073"/>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45544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54">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20.95</v>
      </c>
      <c r="G6" s="166">
        <f>IF(ISERROR(ROUND(POWER(1+H6,D6-F6)*(POWER(1+H6,F6)-1)/(POWER(1+H6,D6)-1),3)),0,ROUND(POWER(1+H6,D6-F6)*(POWER(1+H6,F6)-1)/(POWER(1+H6,D6)-1),3))</f>
        <v>0.745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0.70499999999999996</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83" t="s">
        <v>1663</v>
      </c>
      <c r="B1" s="3084"/>
      <c r="C1" s="3084"/>
      <c r="D1" s="3084"/>
      <c r="E1" s="3084"/>
      <c r="F1" s="3084"/>
      <c r="G1" s="3084"/>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workbookViewId="0">
      <selection activeCell="G8" sqref="G8"/>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t="e">
        <f>SUM(C14:C23)</f>
        <v>#REF!</v>
      </c>
      <c r="C2" s="2770"/>
      <c r="D2" s="2770"/>
      <c r="E2" s="2770"/>
      <c r="F2" s="2770"/>
    </row>
    <row r="3" spans="1:10" ht="16.5">
      <c r="A3" s="2769" t="s">
        <v>2846</v>
      </c>
      <c r="B3" s="2771">
        <f>项目基本情况!D3</f>
        <v>45544</v>
      </c>
      <c r="C3" s="2770"/>
      <c r="D3" s="2770"/>
      <c r="E3" s="2770"/>
      <c r="F3" s="2770"/>
    </row>
    <row r="4" spans="1:10" ht="33">
      <c r="A4" s="2769" t="s">
        <v>2847</v>
      </c>
      <c r="B4" s="2769" t="s">
        <v>2848</v>
      </c>
      <c r="C4" s="2769" t="s">
        <v>2849</v>
      </c>
      <c r="D4" s="2769" t="s">
        <v>2850</v>
      </c>
      <c r="E4" s="2770"/>
      <c r="F4" s="2770"/>
    </row>
    <row r="5" spans="1:10" ht="16.5">
      <c r="A5" s="2769" t="s">
        <v>2851</v>
      </c>
      <c r="B5" s="2769" t="e">
        <f>SUM(D14:D23)</f>
        <v>#REF!</v>
      </c>
      <c r="C5" s="2769" t="e">
        <f>ROUND(B5*10000/$B$1,0)</f>
        <v>#REF!</v>
      </c>
      <c r="D5" s="2769" t="e">
        <f>ROUND(B5*10000/$B$2,0)</f>
        <v>#REF!</v>
      </c>
      <c r="E5" s="2770"/>
      <c r="F5" s="2770"/>
    </row>
    <row r="6" spans="1:10" ht="16.5">
      <c r="A6" s="2769" t="s">
        <v>2852</v>
      </c>
      <c r="B6" s="2769">
        <f>SUM(G14:G23)</f>
        <v>0</v>
      </c>
      <c r="C6" s="2769" t="e">
        <f t="shared" ref="C6:C8" si="0">ROUND(B6*10000/$B$1,0)</f>
        <v>#DIV/0!</v>
      </c>
      <c r="D6" s="2769" t="e">
        <f t="shared" ref="D6:D8" si="1">ROUND(B6*10000/$B$2,0)</f>
        <v>#REF!</v>
      </c>
      <c r="E6" s="2770"/>
      <c r="F6" s="2770"/>
    </row>
    <row r="7" spans="1:10" ht="16.5">
      <c r="A7" s="2769" t="s">
        <v>2853</v>
      </c>
      <c r="B7" s="2769">
        <f>SUM(H14:H23)</f>
        <v>0</v>
      </c>
      <c r="C7" s="2769" t="e">
        <f t="shared" si="0"/>
        <v>#DIV/0!</v>
      </c>
      <c r="D7" s="2769" t="e">
        <f t="shared" si="1"/>
        <v>#REF!</v>
      </c>
      <c r="E7" s="2770"/>
      <c r="F7" s="2770"/>
    </row>
    <row r="8" spans="1:10" ht="16.5">
      <c r="A8" s="2769" t="s">
        <v>2854</v>
      </c>
      <c r="B8" s="2769">
        <f>SUM(I14:I23)</f>
        <v>0</v>
      </c>
      <c r="C8" s="2769" t="e">
        <f t="shared" si="0"/>
        <v>#DIV/0!</v>
      </c>
      <c r="D8" s="2769" t="e">
        <f t="shared" si="1"/>
        <v>#REF!</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t="e">
        <f>#REF!</f>
        <v>#REF!</v>
      </c>
      <c r="D14" s="2773" t="e">
        <f>#REF!/10000</f>
        <v>#REF!</v>
      </c>
      <c r="E14" s="2773" t="e">
        <f>ROUND(D14*10000/B14,0)</f>
        <v>#REF!</v>
      </c>
      <c r="F14" s="2773" t="e">
        <f>ROUND(D14*10000/C14,0)</f>
        <v>#REF!</v>
      </c>
      <c r="G14" s="2773" t="str">
        <f>结果表!C44</f>
        <v>——</v>
      </c>
      <c r="H14" s="2773" t="str">
        <f>结果表!C45</f>
        <v>——</v>
      </c>
      <c r="I14" s="2773" t="str">
        <f>结果表!C46</f>
        <v>——</v>
      </c>
      <c r="J14" t="e">
        <f>ROUND(F14*666.67/10000,2)</f>
        <v>#REF!</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30" t="str">
        <f>项目基本情况!K2</f>
        <v>出让国有建设用地使用权</v>
      </c>
      <c r="B2" s="3131"/>
      <c r="C2" s="3132"/>
      <c r="D2" s="3132"/>
      <c r="E2" s="3132"/>
      <c r="F2" s="3132"/>
      <c r="G2" s="3131"/>
      <c r="H2" s="3131"/>
      <c r="I2" s="3133"/>
      <c r="J2" s="1886"/>
      <c r="K2" s="1865"/>
      <c r="L2" s="1865"/>
      <c r="M2" s="1865"/>
      <c r="N2" s="1865"/>
      <c r="O2" s="1865"/>
      <c r="P2" s="1865"/>
      <c r="Q2" s="1865"/>
      <c r="R2" s="1865"/>
      <c r="S2" s="1865"/>
      <c r="T2" s="1865"/>
      <c r="U2" s="1865"/>
      <c r="V2" s="1865"/>
    </row>
    <row r="3" spans="1:22" ht="14.25">
      <c r="A3" s="3141" t="s">
        <v>298</v>
      </c>
      <c r="B3" s="3142"/>
      <c r="C3" s="3142"/>
      <c r="D3" s="3142"/>
      <c r="E3" s="3142"/>
      <c r="F3" s="3142"/>
      <c r="G3" s="3142"/>
      <c r="H3" s="3142"/>
      <c r="I3" s="3142"/>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105" t="s">
        <v>301</v>
      </c>
      <c r="F4" s="3147"/>
      <c r="G4" s="3147"/>
      <c r="H4" s="3147"/>
      <c r="I4" s="3106"/>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134" t="s">
        <v>302</v>
      </c>
      <c r="B5" s="3135">
        <v>25</v>
      </c>
      <c r="C5" s="3143"/>
      <c r="D5" s="3146"/>
      <c r="E5" s="248" t="s">
        <v>303</v>
      </c>
      <c r="F5" s="249"/>
      <c r="G5" s="249"/>
      <c r="H5" s="249"/>
      <c r="I5" s="250"/>
      <c r="J5" s="1886"/>
      <c r="K5" s="1865"/>
      <c r="L5" s="1865"/>
      <c r="M5" s="1865"/>
      <c r="N5" s="1865"/>
      <c r="O5" s="1865"/>
      <c r="P5" s="1865"/>
      <c r="Q5" s="1865"/>
      <c r="R5" s="1865"/>
      <c r="S5" s="1865"/>
      <c r="T5" s="1865"/>
      <c r="U5" s="1865"/>
      <c r="V5" s="1865"/>
    </row>
    <row r="6" spans="1:22" ht="14.25">
      <c r="A6" s="3134"/>
      <c r="B6" s="3135"/>
      <c r="C6" s="3144"/>
      <c r="D6" s="3146"/>
      <c r="E6" s="248" t="s">
        <v>304</v>
      </c>
      <c r="F6" s="249"/>
      <c r="G6" s="249"/>
      <c r="H6" s="249"/>
      <c r="I6" s="250"/>
      <c r="J6" s="1886"/>
      <c r="K6" s="1865"/>
      <c r="L6" s="1865"/>
      <c r="M6" s="1865"/>
      <c r="N6" s="1865"/>
      <c r="O6" s="1865"/>
      <c r="P6" s="1865"/>
      <c r="Q6" s="1865"/>
      <c r="R6" s="1865"/>
      <c r="S6" s="1865"/>
      <c r="T6" s="1865"/>
      <c r="U6" s="1865"/>
      <c r="V6" s="1865"/>
    </row>
    <row r="7" spans="1:22" ht="14.25">
      <c r="A7" s="3134"/>
      <c r="B7" s="3135"/>
      <c r="C7" s="3145"/>
      <c r="D7" s="3146"/>
      <c r="E7" s="248" t="s">
        <v>305</v>
      </c>
      <c r="F7" s="249"/>
      <c r="G7" s="249"/>
      <c r="H7" s="249"/>
      <c r="I7" s="250"/>
      <c r="J7" s="1886"/>
      <c r="K7" s="1865"/>
      <c r="L7" s="1865"/>
      <c r="M7" s="1865"/>
      <c r="N7" s="1865"/>
      <c r="O7" s="1865"/>
      <c r="P7" s="1865"/>
      <c r="Q7" s="1865"/>
      <c r="R7" s="1865"/>
      <c r="S7" s="1865"/>
      <c r="T7" s="1865"/>
      <c r="U7" s="1865"/>
      <c r="V7" s="1865"/>
    </row>
    <row r="8" spans="1:22" ht="14.25">
      <c r="A8" s="3134" t="s">
        <v>306</v>
      </c>
      <c r="B8" s="3135">
        <v>15</v>
      </c>
      <c r="C8" s="3143"/>
      <c r="D8" s="3146"/>
      <c r="E8" s="248" t="s">
        <v>307</v>
      </c>
      <c r="F8" s="249"/>
      <c r="G8" s="249"/>
      <c r="H8" s="249"/>
      <c r="I8" s="250"/>
      <c r="J8" s="1886"/>
      <c r="K8" s="1865"/>
      <c r="L8" s="1865"/>
      <c r="M8" s="1865"/>
      <c r="N8" s="1865"/>
      <c r="O8" s="1865"/>
      <c r="P8" s="1865"/>
      <c r="Q8" s="1865"/>
      <c r="R8" s="1865"/>
      <c r="S8" s="1865"/>
      <c r="T8" s="1865"/>
      <c r="U8" s="1865"/>
      <c r="V8" s="1865"/>
    </row>
    <row r="9" spans="1:22" ht="14.25">
      <c r="A9" s="3134"/>
      <c r="B9" s="3135"/>
      <c r="C9" s="3145"/>
      <c r="D9" s="3146"/>
      <c r="E9" s="248" t="s">
        <v>308</v>
      </c>
      <c r="F9" s="249"/>
      <c r="G9" s="249"/>
      <c r="H9" s="249"/>
      <c r="I9" s="250"/>
      <c r="J9" s="1886"/>
      <c r="K9" s="1865"/>
      <c r="L9" s="1865"/>
      <c r="M9" s="1865"/>
      <c r="N9" s="1865"/>
      <c r="O9" s="1865"/>
      <c r="P9" s="1865"/>
      <c r="Q9" s="1865"/>
      <c r="R9" s="1865"/>
      <c r="S9" s="1865"/>
      <c r="T9" s="1865"/>
      <c r="U9" s="1865"/>
      <c r="V9" s="1865"/>
    </row>
    <row r="10" spans="1:22" ht="14.25">
      <c r="A10" s="3134" t="s">
        <v>309</v>
      </c>
      <c r="B10" s="3135">
        <v>15</v>
      </c>
      <c r="C10" s="3143"/>
      <c r="D10" s="3146"/>
      <c r="E10" s="248" t="s">
        <v>310</v>
      </c>
      <c r="F10" s="249"/>
      <c r="G10" s="249"/>
      <c r="H10" s="249"/>
      <c r="I10" s="250"/>
      <c r="J10" s="1886"/>
      <c r="K10" s="1865"/>
      <c r="L10" s="1865"/>
      <c r="M10" s="1865"/>
      <c r="N10" s="1865"/>
      <c r="O10" s="1865"/>
      <c r="P10" s="1865"/>
      <c r="Q10" s="1865"/>
      <c r="R10" s="1865"/>
      <c r="S10" s="1865"/>
      <c r="T10" s="1865"/>
      <c r="U10" s="1865"/>
      <c r="V10" s="1865"/>
    </row>
    <row r="11" spans="1:22" ht="14.25">
      <c r="A11" s="3134"/>
      <c r="B11" s="3135"/>
      <c r="C11" s="3145"/>
      <c r="D11" s="3146"/>
      <c r="E11" s="248" t="s">
        <v>311</v>
      </c>
      <c r="F11" s="249"/>
      <c r="G11" s="249"/>
      <c r="H11" s="249"/>
      <c r="I11" s="250"/>
      <c r="J11" s="1886"/>
      <c r="K11" s="1865"/>
      <c r="L11" s="1865"/>
      <c r="M11" s="1865"/>
      <c r="N11" s="1865"/>
      <c r="O11" s="1865"/>
      <c r="P11" s="1865"/>
      <c r="Q11" s="1865"/>
      <c r="R11" s="1865"/>
      <c r="S11" s="1865"/>
      <c r="T11" s="1865"/>
      <c r="U11" s="1865"/>
      <c r="V11" s="1865"/>
    </row>
    <row r="12" spans="1:22" ht="14.25">
      <c r="A12" s="3134" t="s">
        <v>312</v>
      </c>
      <c r="B12" s="3135">
        <v>15</v>
      </c>
      <c r="C12" s="3143"/>
      <c r="D12" s="3146"/>
      <c r="E12" s="248" t="s">
        <v>313</v>
      </c>
      <c r="F12" s="249"/>
      <c r="G12" s="249"/>
      <c r="H12" s="249"/>
      <c r="I12" s="250"/>
      <c r="J12" s="1886"/>
      <c r="K12" s="1865"/>
      <c r="L12" s="1865"/>
      <c r="M12" s="1865"/>
      <c r="N12" s="1865"/>
      <c r="O12" s="1865"/>
      <c r="P12" s="1865"/>
      <c r="Q12" s="1865"/>
      <c r="R12" s="1865"/>
      <c r="S12" s="1865"/>
      <c r="T12" s="1865"/>
      <c r="U12" s="1865"/>
      <c r="V12" s="1865"/>
    </row>
    <row r="13" spans="1:22" ht="14.25">
      <c r="A13" s="3134"/>
      <c r="B13" s="3135"/>
      <c r="C13" s="3145"/>
      <c r="D13" s="3146"/>
      <c r="E13" s="248" t="s">
        <v>314</v>
      </c>
      <c r="F13" s="249"/>
      <c r="G13" s="249"/>
      <c r="H13" s="249"/>
      <c r="I13" s="250"/>
      <c r="J13" s="1886"/>
      <c r="K13" s="1865"/>
      <c r="L13" s="1865"/>
      <c r="M13" s="1865"/>
      <c r="N13" s="1865"/>
      <c r="O13" s="1865"/>
      <c r="P13" s="1865"/>
      <c r="Q13" s="1865"/>
      <c r="R13" s="1865"/>
      <c r="S13" s="1865"/>
      <c r="T13" s="1865"/>
      <c r="U13" s="1865"/>
      <c r="V13" s="1865"/>
    </row>
    <row r="14" spans="1:22" ht="14.25">
      <c r="A14" s="3134" t="s">
        <v>315</v>
      </c>
      <c r="B14" s="3135">
        <v>30</v>
      </c>
      <c r="C14" s="3143">
        <v>1</v>
      </c>
      <c r="D14" s="3146">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134"/>
      <c r="B15" s="3135"/>
      <c r="C15" s="3144"/>
      <c r="D15" s="3146"/>
      <c r="E15" s="248" t="s">
        <v>317</v>
      </c>
      <c r="F15" s="249"/>
      <c r="G15" s="249"/>
      <c r="H15" s="249"/>
      <c r="I15" s="250"/>
      <c r="J15" s="1886"/>
      <c r="K15" s="1865"/>
      <c r="L15" s="1865"/>
      <c r="M15" s="1865"/>
      <c r="N15" s="1865"/>
      <c r="O15" s="1865"/>
      <c r="P15" s="1865"/>
      <c r="Q15" s="1865"/>
      <c r="R15" s="1865"/>
      <c r="S15" s="1865"/>
      <c r="T15" s="1865"/>
      <c r="U15" s="1865"/>
      <c r="V15" s="1865"/>
    </row>
    <row r="16" spans="1:22" ht="14.25">
      <c r="A16" s="3134"/>
      <c r="B16" s="3135"/>
      <c r="C16" s="3145"/>
      <c r="D16" s="3146"/>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107"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149"/>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107"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08"/>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09"/>
      <c r="F35" s="285" t="s">
        <v>342</v>
      </c>
      <c r="G35" s="932"/>
      <c r="H35" s="931" t="s">
        <v>343</v>
      </c>
      <c r="I35" s="294"/>
      <c r="J35" s="1865"/>
      <c r="K35" s="3113" t="s">
        <v>350</v>
      </c>
      <c r="L35" s="3113" t="s">
        <v>351</v>
      </c>
      <c r="M35" s="1195" t="s">
        <v>352</v>
      </c>
      <c r="N35" s="3113" t="s">
        <v>353</v>
      </c>
      <c r="O35" s="3113" t="s">
        <v>354</v>
      </c>
      <c r="P35" s="1865"/>
      <c r="V35" s="1865"/>
    </row>
    <row r="36" spans="1:22" ht="16.5" customHeight="1">
      <c r="A36" s="287" t="s">
        <v>344</v>
      </c>
      <c r="B36" s="288" t="s">
        <v>333</v>
      </c>
      <c r="C36" s="289" t="s">
        <v>345</v>
      </c>
      <c r="D36" s="289" t="s">
        <v>346</v>
      </c>
      <c r="E36" s="290" t="s">
        <v>347</v>
      </c>
      <c r="F36" s="294"/>
      <c r="G36" s="294"/>
      <c r="H36" s="294"/>
      <c r="I36" s="294"/>
      <c r="J36" s="1887"/>
      <c r="K36" s="3114"/>
      <c r="L36" s="3114"/>
      <c r="M36" s="1197" t="s">
        <v>355</v>
      </c>
      <c r="N36" s="3114"/>
      <c r="O36" s="3114"/>
      <c r="P36" s="1865"/>
      <c r="V36" s="1865"/>
    </row>
    <row r="37" spans="1:22" ht="16.5" customHeight="1" thickBot="1">
      <c r="A37" s="1191" t="s">
        <v>348</v>
      </c>
      <c r="B37" s="277"/>
      <c r="C37" s="278"/>
      <c r="D37" s="278"/>
      <c r="E37" s="279"/>
      <c r="F37" s="294"/>
      <c r="G37" s="294"/>
      <c r="H37" s="294"/>
      <c r="I37" s="294"/>
      <c r="J37" s="1887"/>
      <c r="K37" s="3115"/>
      <c r="L37" s="3115"/>
      <c r="M37" s="1198"/>
      <c r="N37" s="3115"/>
      <c r="O37" s="3115"/>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090" t="str">
        <f>MID(A44,3,LEN(A44)-2)</f>
        <v/>
      </c>
      <c r="L39" s="3091"/>
      <c r="M39" s="3091"/>
      <c r="N39" s="3092"/>
      <c r="O39" s="1318" t="str">
        <f>C44</f>
        <v>——</v>
      </c>
      <c r="P39" s="1865"/>
      <c r="V39" s="1865"/>
    </row>
    <row r="40" spans="1:22" ht="19.5" thickBot="1">
      <c r="A40" s="99" t="s">
        <v>873</v>
      </c>
      <c r="B40" s="294"/>
      <c r="C40" s="294"/>
      <c r="D40" s="294"/>
      <c r="E40" s="294"/>
      <c r="F40" s="294"/>
      <c r="G40" s="294"/>
      <c r="H40" s="294"/>
      <c r="I40" s="294"/>
      <c r="J40" s="1887"/>
      <c r="K40" s="3090" t="str">
        <f t="shared" ref="K40:K41" si="0">MID(A45,3,LEN(A45)-2)</f>
        <v/>
      </c>
      <c r="L40" s="3091"/>
      <c r="M40" s="3091"/>
      <c r="N40" s="3092"/>
      <c r="O40" s="1318" t="str">
        <f>C45</f>
        <v>——</v>
      </c>
      <c r="P40" s="1865"/>
      <c r="V40" s="1865"/>
    </row>
    <row r="41" spans="1:22" ht="16.5" thickBot="1">
      <c r="A41" s="295" t="s">
        <v>356</v>
      </c>
      <c r="B41" s="296"/>
      <c r="C41" s="297" t="s">
        <v>357</v>
      </c>
      <c r="D41" s="298" t="s">
        <v>358</v>
      </c>
      <c r="E41" s="298" t="s">
        <v>359</v>
      </c>
      <c r="F41" s="299" t="s">
        <v>360</v>
      </c>
      <c r="G41" s="294"/>
      <c r="H41" s="294"/>
      <c r="I41" s="294"/>
      <c r="J41" s="1887"/>
      <c r="K41" s="3090" t="str">
        <f t="shared" si="0"/>
        <v/>
      </c>
      <c r="L41" s="3091"/>
      <c r="M41" s="3091"/>
      <c r="N41" s="3092"/>
      <c r="O41" s="1318" t="str">
        <f>C46</f>
        <v>——</v>
      </c>
      <c r="P41" s="1865"/>
      <c r="V41" s="1865"/>
    </row>
    <row r="42" spans="1:22" ht="29.25">
      <c r="A42" s="3150" t="s">
        <v>2067</v>
      </c>
      <c r="B42" s="3151"/>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60" t="s">
        <v>2730</v>
      </c>
      <c r="B43" s="3161"/>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150" t="str">
        <f>IF(OR(项目基本情况!E8="抵押价格",项目基本情况!E8="已注销及未注销"),"3.抵押价格","——")</f>
        <v>——</v>
      </c>
      <c r="B44" s="3151"/>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55" t="str">
        <f>IF(项目基本情况!E8="已注销及未注销","4.抵押担保权已注销时的抵押价格",IF(项目基本情况!E8="已注销","3.抵押担保权已注销时的抵押价格","——"))</f>
        <v>——</v>
      </c>
      <c r="B45" s="3156"/>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152" t="str">
        <f>IF(项目基本情况!E9="抵押净值",IF(A45="——","4.抵押净值","5.抵押净值"),"——")</f>
        <v>——</v>
      </c>
      <c r="B46" s="3153"/>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18" t="s">
        <v>374</v>
      </c>
      <c r="B63" s="3119"/>
      <c r="C63" s="3120"/>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57" t="s">
        <v>378</v>
      </c>
      <c r="B64" s="3158"/>
      <c r="C64" s="3158"/>
      <c r="D64" s="3158"/>
      <c r="E64" s="3158"/>
      <c r="F64" s="3158"/>
      <c r="G64" s="3159"/>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154" t="s">
        <v>386</v>
      </c>
      <c r="B66" s="3125"/>
      <c r="C66" s="3125"/>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094" t="s">
        <v>385</v>
      </c>
      <c r="M66" s="3095"/>
      <c r="N66" s="2262"/>
      <c r="O66" s="2263"/>
      <c r="P66" s="2264"/>
      <c r="Q66" s="1865"/>
      <c r="R66" s="1865"/>
      <c r="S66" s="1865"/>
      <c r="T66" s="1865"/>
      <c r="U66" s="1865"/>
      <c r="V66" s="1865"/>
    </row>
    <row r="67" spans="1:22" ht="25.5" customHeight="1">
      <c r="A67" s="333" t="s">
        <v>390</v>
      </c>
      <c r="B67" s="3137" t="s">
        <v>391</v>
      </c>
      <c r="C67" s="3137"/>
      <c r="D67" s="334">
        <v>0</v>
      </c>
      <c r="E67" s="39" t="s">
        <v>392</v>
      </c>
      <c r="F67" s="60" t="s">
        <v>21</v>
      </c>
      <c r="G67" s="3121"/>
      <c r="H67" s="294"/>
      <c r="I67" s="1222"/>
      <c r="J67" s="1892"/>
      <c r="K67" s="1861">
        <v>2</v>
      </c>
      <c r="L67" s="3093" t="s">
        <v>389</v>
      </c>
      <c r="M67" s="3093"/>
      <c r="N67" s="1253">
        <f>'数据-取费表'!B2</f>
        <v>45544</v>
      </c>
      <c r="O67" s="1253"/>
      <c r="P67" s="1253"/>
      <c r="Q67" s="1865"/>
      <c r="R67" s="1865"/>
      <c r="S67" s="1865"/>
      <c r="T67" s="1865"/>
      <c r="U67" s="1865"/>
      <c r="V67" s="1865"/>
    </row>
    <row r="68" spans="1:22" ht="25.5" customHeight="1">
      <c r="A68" s="335"/>
      <c r="B68" s="3137" t="s">
        <v>394</v>
      </c>
      <c r="C68" s="3137"/>
      <c r="D68" s="336"/>
      <c r="E68" s="75"/>
      <c r="F68" s="337"/>
      <c r="G68" s="3122"/>
      <c r="H68" s="294"/>
      <c r="I68" s="1222"/>
      <c r="J68" s="1892"/>
      <c r="K68" s="1861">
        <v>3</v>
      </c>
      <c r="L68" s="3093" t="s">
        <v>393</v>
      </c>
      <c r="M68" s="3093"/>
      <c r="N68" s="1223" t="e">
        <f ca="1">C42</f>
        <v>#REF!</v>
      </c>
      <c r="O68" s="1223"/>
      <c r="P68" s="1223"/>
      <c r="Q68" s="1865"/>
      <c r="R68" s="1865"/>
      <c r="S68" s="1865"/>
      <c r="T68" s="1865"/>
      <c r="U68" s="1865"/>
      <c r="V68" s="1865"/>
    </row>
    <row r="69" spans="1:22" ht="12" customHeight="1">
      <c r="A69" s="338"/>
      <c r="B69" s="3137" t="s">
        <v>395</v>
      </c>
      <c r="C69" s="3137"/>
      <c r="D69" s="339"/>
      <c r="E69" s="71"/>
      <c r="F69" s="337"/>
      <c r="G69" s="3123"/>
      <c r="H69" s="294"/>
      <c r="I69" s="1222"/>
      <c r="J69" s="1892"/>
      <c r="K69" s="1224">
        <v>4</v>
      </c>
      <c r="L69" s="3099" t="s">
        <v>2883</v>
      </c>
      <c r="M69" s="3100"/>
      <c r="N69" s="1225" t="str">
        <f>C44</f>
        <v>——</v>
      </c>
      <c r="O69" s="1225"/>
      <c r="P69" s="1225"/>
      <c r="Q69" s="1865"/>
      <c r="R69" s="1865"/>
      <c r="S69" s="1865"/>
      <c r="T69" s="1865"/>
      <c r="U69" s="1865"/>
      <c r="V69" s="1865"/>
    </row>
    <row r="70" spans="1:22" ht="24" customHeight="1">
      <c r="A70" s="340" t="s">
        <v>396</v>
      </c>
      <c r="B70" s="3137" t="s">
        <v>397</v>
      </c>
      <c r="C70" s="3137"/>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136" t="s">
        <v>405</v>
      </c>
      <c r="C71" s="3148"/>
      <c r="D71" s="339" t="e">
        <f ca="1">ROUND(D63*'数据-取费表'!B41/(1+'数据-取费表'!C42),0)</f>
        <v>#REF!</v>
      </c>
      <c r="E71" s="16" t="s">
        <v>398</v>
      </c>
      <c r="F71" s="341">
        <f>'数据-取费表'!B41</f>
        <v>0</v>
      </c>
      <c r="G71" s="342"/>
      <c r="H71" s="294"/>
      <c r="I71" s="1222"/>
      <c r="J71" s="1892"/>
      <c r="K71" s="2784" t="s">
        <v>399</v>
      </c>
      <c r="L71" s="3101" t="s">
        <v>400</v>
      </c>
      <c r="M71" s="3101"/>
      <c r="N71" s="2784" t="s">
        <v>401</v>
      </c>
      <c r="O71" s="2784" t="s">
        <v>402</v>
      </c>
      <c r="P71" s="2784" t="s">
        <v>403</v>
      </c>
      <c r="Q71" s="1865"/>
      <c r="R71" s="1865"/>
      <c r="S71" s="1865"/>
      <c r="T71" s="1865"/>
      <c r="U71" s="1865"/>
      <c r="V71" s="1865"/>
    </row>
    <row r="72" spans="1:22" ht="12" customHeight="1">
      <c r="A72" s="340" t="s">
        <v>407</v>
      </c>
      <c r="B72" s="3136" t="s">
        <v>408</v>
      </c>
      <c r="C72" s="3148"/>
      <c r="D72" s="339" t="e">
        <f ca="1">C86</f>
        <v>#REF!</v>
      </c>
      <c r="E72" s="71" t="s">
        <v>409</v>
      </c>
      <c r="F72" s="341">
        <f>'数据-取费表'!B41</f>
        <v>0</v>
      </c>
      <c r="G72" s="342"/>
      <c r="H72" s="1228"/>
      <c r="I72" s="1222"/>
      <c r="J72" s="1892"/>
      <c r="K72" s="1861">
        <v>1</v>
      </c>
      <c r="L72" s="3098" t="s">
        <v>406</v>
      </c>
      <c r="M72" s="3098"/>
      <c r="N72" s="1226" t="e">
        <f ca="1">D66</f>
        <v>#REF!</v>
      </c>
      <c r="O72" s="1746" t="str">
        <f>E66</f>
        <v>销售额×税（费）率</v>
      </c>
      <c r="P72" s="1227">
        <f>F66</f>
        <v>0</v>
      </c>
      <c r="Q72" s="1865"/>
      <c r="R72" s="1865"/>
      <c r="S72" s="1865"/>
      <c r="T72" s="1865"/>
      <c r="U72" s="1865"/>
      <c r="V72" s="1865"/>
    </row>
    <row r="73" spans="1:22" ht="24" customHeight="1">
      <c r="A73" s="3124" t="s">
        <v>411</v>
      </c>
      <c r="B73" s="3125"/>
      <c r="C73" s="3125"/>
      <c r="D73" s="343">
        <f>IF(H73="个人住宅",0,ROUND(D63*I73,0))</f>
        <v>0</v>
      </c>
      <c r="E73" s="16" t="s">
        <v>412</v>
      </c>
      <c r="F73" s="341" t="str">
        <f>IF(H73="正常",I73,"免征")</f>
        <v>免征</v>
      </c>
      <c r="G73" s="342"/>
      <c r="H73" s="181" t="s">
        <v>2455</v>
      </c>
      <c r="I73" s="341">
        <f>'数据-取费表'!B49</f>
        <v>0</v>
      </c>
      <c r="J73" s="1892"/>
      <c r="K73" s="1861">
        <v>2</v>
      </c>
      <c r="L73" s="3098" t="s">
        <v>410</v>
      </c>
      <c r="M73" s="3098"/>
      <c r="N73" s="1226">
        <f t="shared" ref="N73:P74" si="1">D73</f>
        <v>0</v>
      </c>
      <c r="O73" s="1746" t="str">
        <f t="shared" si="1"/>
        <v>销售额×税（费）率</v>
      </c>
      <c r="P73" s="1227" t="str">
        <f t="shared" si="1"/>
        <v>免征</v>
      </c>
      <c r="Q73" s="1865"/>
      <c r="R73" s="1865"/>
      <c r="S73" s="1865"/>
      <c r="T73" s="1865"/>
      <c r="U73" s="1865"/>
      <c r="V73" s="1865"/>
    </row>
    <row r="74" spans="1:22" ht="24.75">
      <c r="A74" s="3124" t="s">
        <v>415</v>
      </c>
      <c r="B74" s="3125"/>
      <c r="C74" s="3125"/>
      <c r="D74" s="343" t="e">
        <f ca="1">IF(H74="个人住宅",D75,D76)</f>
        <v>#REF!</v>
      </c>
      <c r="E74" s="16" t="s">
        <v>416</v>
      </c>
      <c r="F74" s="341" t="str">
        <f>IF(H74="正常",F76,"免征")</f>
        <v>——</v>
      </c>
      <c r="G74" s="933" t="s">
        <v>417</v>
      </c>
      <c r="H74" s="344" t="s">
        <v>413</v>
      </c>
      <c r="I74" s="40"/>
      <c r="J74" s="1892"/>
      <c r="K74" s="1861">
        <v>3</v>
      </c>
      <c r="L74" s="3098" t="s">
        <v>414</v>
      </c>
      <c r="M74" s="3098"/>
      <c r="N74" s="1226" t="e">
        <f t="shared" ca="1" si="1"/>
        <v>#REF!</v>
      </c>
      <c r="O74" s="1746" t="str">
        <f t="shared" si="1"/>
        <v>增值额×税（费）率</v>
      </c>
      <c r="P74" s="1229" t="str">
        <f t="shared" si="1"/>
        <v>——</v>
      </c>
      <c r="Q74" s="1865"/>
      <c r="R74" s="1865"/>
      <c r="S74" s="1865"/>
      <c r="T74" s="1865"/>
      <c r="U74" s="1865"/>
      <c r="V74" s="1865"/>
    </row>
    <row r="75" spans="1:22" ht="24">
      <c r="A75" s="340" t="s">
        <v>418</v>
      </c>
      <c r="B75" s="3105" t="s">
        <v>419</v>
      </c>
      <c r="C75" s="3106"/>
      <c r="D75" s="345">
        <v>0</v>
      </c>
      <c r="E75" s="39" t="s">
        <v>420</v>
      </c>
      <c r="F75" s="346"/>
      <c r="G75" s="342"/>
      <c r="H75" s="40"/>
      <c r="I75" s="40"/>
      <c r="J75" s="1892"/>
      <c r="K75" s="1861">
        <f>IF(H77="非个人房产","",4)</f>
        <v>4</v>
      </c>
      <c r="L75" s="3098" t="str">
        <f>IF(H77="非个人房产","——","个人所得税")</f>
        <v>个人所得税</v>
      </c>
      <c r="M75" s="3098"/>
      <c r="N75" s="1230" t="e">
        <f ca="1">D77</f>
        <v>#REF!</v>
      </c>
      <c r="O75" s="1759" t="str">
        <f>E77</f>
        <v>销售额×税（费）率</v>
      </c>
      <c r="P75" s="1231">
        <f>F77</f>
        <v>0.01</v>
      </c>
      <c r="Q75" s="1865"/>
      <c r="R75" s="1865"/>
      <c r="S75" s="1865"/>
      <c r="T75" s="1865"/>
      <c r="U75" s="1865"/>
      <c r="V75" s="1865"/>
    </row>
    <row r="76" spans="1:22" ht="24.75">
      <c r="A76" s="340" t="s">
        <v>396</v>
      </c>
      <c r="B76" s="3105" t="s">
        <v>422</v>
      </c>
      <c r="C76" s="3147"/>
      <c r="D76" s="343" t="e">
        <f ca="1">IF(H76="转让取得",C99,C115)</f>
        <v>#REF!</v>
      </c>
      <c r="E76" s="16" t="s">
        <v>423</v>
      </c>
      <c r="F76" s="51" t="s">
        <v>21</v>
      </c>
      <c r="G76" s="342"/>
      <c r="H76" s="344" t="s">
        <v>424</v>
      </c>
      <c r="I76" s="40"/>
      <c r="J76" s="1892"/>
      <c r="K76" s="1861" t="str">
        <f>IF(项目基本情况!K6="上海银行",IF(K75="",4,K75+1),"")</f>
        <v/>
      </c>
      <c r="L76" s="3086" t="str">
        <f>IF(项目基本情况!K6="上海银行","其他处置费用","")</f>
        <v/>
      </c>
      <c r="M76" s="3087"/>
      <c r="N76" s="1226" t="str">
        <f>IF(项目基本情况!K6="上海银行",N89,"")</f>
        <v/>
      </c>
      <c r="O76" s="3088" t="str">
        <f>IF(项目基本情况!K6="上海银行","包含处置中涉及的律师、诉讼、拍卖、评估等费用","")</f>
        <v/>
      </c>
      <c r="P76" s="3089"/>
      <c r="Q76" s="1865"/>
      <c r="R76" s="1865"/>
      <c r="S76" s="1865"/>
      <c r="T76" s="1865"/>
      <c r="U76" s="1865"/>
      <c r="V76" s="1865"/>
    </row>
    <row r="77" spans="1:22" ht="26.25" thickBot="1">
      <c r="A77" s="3116" t="s">
        <v>426</v>
      </c>
      <c r="B77" s="3117"/>
      <c r="C77" s="3117"/>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12">
        <f>IF(AND(K75="",K76=""),4,IF(项目基本情况!K6="上海银行",K76+1,K75+1))</f>
        <v>5</v>
      </c>
      <c r="L77" s="3098"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12"/>
      <c r="L78" s="3098"/>
      <c r="M78" s="2783" t="s">
        <v>425</v>
      </c>
      <c r="N78" s="1232"/>
      <c r="O78" s="1233" t="str">
        <f ca="1">NUMBERSTRING(INT(O77*10000),2)&amp;"元整"</f>
        <v>零元整</v>
      </c>
      <c r="P78" s="1234"/>
      <c r="Q78" s="1865"/>
      <c r="R78" s="1865"/>
      <c r="S78" s="1865"/>
      <c r="T78" s="1865"/>
      <c r="U78" s="1865"/>
      <c r="V78" s="1865"/>
    </row>
    <row r="79" spans="1:22" ht="13.5" thickBot="1">
      <c r="A79" s="3102" t="s">
        <v>427</v>
      </c>
      <c r="B79" s="3102"/>
      <c r="C79" s="3102"/>
      <c r="D79" s="3102"/>
      <c r="E79" s="3102"/>
      <c r="F79" s="40"/>
      <c r="G79" s="40"/>
      <c r="H79" s="901"/>
      <c r="I79" s="294"/>
      <c r="J79" s="1892"/>
      <c r="K79" s="3096">
        <f>K77+1</f>
        <v>6</v>
      </c>
      <c r="L79" s="3098" t="s">
        <v>2886</v>
      </c>
      <c r="M79" s="2783" t="s">
        <v>421</v>
      </c>
      <c r="N79" s="1232"/>
      <c r="O79" s="1233" t="e">
        <f ca="1">N69-O77</f>
        <v>#VALUE!</v>
      </c>
      <c r="P79" s="1234"/>
      <c r="Q79" s="1865"/>
      <c r="R79" s="1865"/>
      <c r="S79" s="1865"/>
      <c r="T79" s="1865"/>
      <c r="U79" s="1865"/>
      <c r="V79" s="1865"/>
    </row>
    <row r="80" spans="1:22" ht="12.75">
      <c r="A80" s="3103" t="s">
        <v>428</v>
      </c>
      <c r="B80" s="3104"/>
      <c r="C80" s="943"/>
      <c r="D80" s="943" t="s">
        <v>429</v>
      </c>
      <c r="E80" s="351" t="s">
        <v>430</v>
      </c>
      <c r="F80" s="40"/>
      <c r="G80" s="40"/>
      <c r="H80" s="901"/>
      <c r="I80" s="294"/>
      <c r="J80" s="1865"/>
      <c r="K80" s="3097"/>
      <c r="L80" s="3098"/>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10" t="s">
        <v>2887</v>
      </c>
      <c r="M81" s="3111"/>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085"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085"/>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085"/>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085"/>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085"/>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39" t="s">
        <v>437</v>
      </c>
      <c r="B88" s="3140"/>
      <c r="C88" s="3140"/>
      <c r="D88" s="3140"/>
      <c r="E88" s="3140"/>
      <c r="F88" s="3140"/>
      <c r="G88" s="3140"/>
      <c r="H88" s="3140"/>
      <c r="I88" s="1244"/>
      <c r="J88" s="1893"/>
      <c r="K88" s="3085"/>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03" t="s">
        <v>428</v>
      </c>
      <c r="B89" s="3104"/>
      <c r="C89" s="943"/>
      <c r="D89" s="943" t="s">
        <v>429</v>
      </c>
      <c r="E89" s="372" t="s">
        <v>438</v>
      </c>
      <c r="F89" s="373"/>
      <c r="G89" s="373"/>
      <c r="H89" s="374"/>
      <c r="I89" s="1245"/>
      <c r="J89" s="1895"/>
      <c r="K89" s="3085"/>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136" t="s">
        <v>447</v>
      </c>
      <c r="F94" s="3137"/>
      <c r="G94" s="3137"/>
      <c r="H94" s="3138"/>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26" t="s">
        <v>2428</v>
      </c>
      <c r="F96" s="3127"/>
      <c r="G96" s="3127"/>
      <c r="H96" s="3128"/>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39" t="s">
        <v>454</v>
      </c>
      <c r="B101" s="3140"/>
      <c r="C101" s="3140"/>
      <c r="D101" s="3140"/>
      <c r="E101" s="3140"/>
      <c r="F101" s="3140"/>
      <c r="G101" s="3140"/>
      <c r="H101" s="3140"/>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03" t="s">
        <v>428</v>
      </c>
      <c r="B102" s="3104"/>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9" t="s">
        <v>462</v>
      </c>
      <c r="F109" s="3127"/>
      <c r="G109" s="3127"/>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9" t="s">
        <v>464</v>
      </c>
      <c r="F110" s="3127"/>
      <c r="G110" s="3127"/>
      <c r="H110" s="3128"/>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26" t="s">
        <v>2428</v>
      </c>
      <c r="F111" s="3127"/>
      <c r="G111" s="3127"/>
      <c r="H111" s="3128"/>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9" t="s">
        <v>2453</v>
      </c>
      <c r="F112" s="3127"/>
      <c r="G112" s="3127"/>
      <c r="H112" s="3128"/>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2999" t="str">
        <f>项目基本情况!B1</f>
        <v>出让国有建设用地使用权预评估</v>
      </c>
      <c r="C37" s="2999"/>
      <c r="D37" s="2999"/>
      <c r="E37" s="2999"/>
      <c r="F37" s="2999"/>
      <c r="G37" s="2999"/>
      <c r="H37" s="2999"/>
      <c r="I37" s="2999"/>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84" t="s">
        <v>522</v>
      </c>
      <c r="D6" s="3185"/>
      <c r="E6" s="3184" t="s">
        <v>523</v>
      </c>
      <c r="F6" s="3185"/>
      <c r="G6" s="3184" t="s">
        <v>524</v>
      </c>
      <c r="H6" s="3185"/>
      <c r="I6" s="3184" t="s">
        <v>525</v>
      </c>
      <c r="J6" s="3185"/>
      <c r="K6" s="492" t="s">
        <v>526</v>
      </c>
      <c r="L6" s="1985"/>
      <c r="M6" s="1984"/>
      <c r="N6" s="1984"/>
      <c r="O6" s="1986"/>
      <c r="P6" s="3186" t="s">
        <v>527</v>
      </c>
      <c r="Q6" s="3187"/>
      <c r="R6" s="3172" t="s">
        <v>523</v>
      </c>
      <c r="S6" s="3173"/>
      <c r="T6" s="3172" t="s">
        <v>524</v>
      </c>
      <c r="U6" s="3173"/>
      <c r="V6" s="3192" t="s">
        <v>525</v>
      </c>
      <c r="W6" s="3192"/>
      <c r="X6" s="1473"/>
      <c r="Y6" s="3172" t="s">
        <v>527</v>
      </c>
      <c r="Z6" s="3173"/>
      <c r="AA6" s="3167" t="s">
        <v>523</v>
      </c>
      <c r="AB6" s="3168" t="s">
        <v>524</v>
      </c>
      <c r="AC6" s="3167" t="s">
        <v>525</v>
      </c>
    </row>
    <row r="7" spans="1:29" ht="20.25">
      <c r="A7" s="493"/>
      <c r="B7" s="494"/>
      <c r="C7" s="3195" t="s">
        <v>2931</v>
      </c>
      <c r="D7" s="3196"/>
      <c r="E7" s="3195" t="s">
        <v>2932</v>
      </c>
      <c r="F7" s="3196"/>
      <c r="G7" s="3195" t="s">
        <v>2933</v>
      </c>
      <c r="H7" s="3196"/>
      <c r="I7" s="3195" t="s">
        <v>2934</v>
      </c>
      <c r="J7" s="3196"/>
      <c r="K7" s="492"/>
      <c r="L7" s="1985"/>
      <c r="M7" s="1984"/>
      <c r="N7" s="1984"/>
      <c r="O7" s="1986"/>
      <c r="P7" s="3188"/>
      <c r="Q7" s="3189"/>
      <c r="R7" s="3174"/>
      <c r="S7" s="3175"/>
      <c r="T7" s="3174"/>
      <c r="U7" s="3175"/>
      <c r="V7" s="3192"/>
      <c r="W7" s="3192"/>
      <c r="X7" s="1473"/>
      <c r="Y7" s="3174"/>
      <c r="Z7" s="3175"/>
      <c r="AA7" s="3168"/>
      <c r="AB7" s="3168"/>
      <c r="AC7" s="3168"/>
    </row>
    <row r="8" spans="1:29" ht="21" thickBot="1">
      <c r="A8" s="493"/>
      <c r="B8" s="494"/>
      <c r="C8" s="3197" t="s">
        <v>2935</v>
      </c>
      <c r="D8" s="3198"/>
      <c r="E8" s="3197" t="s">
        <v>2935</v>
      </c>
      <c r="F8" s="3198"/>
      <c r="G8" s="3193" t="s">
        <v>2935</v>
      </c>
      <c r="H8" s="3194"/>
      <c r="I8" s="3193" t="s">
        <v>2935</v>
      </c>
      <c r="J8" s="3194"/>
      <c r="K8" s="492" t="s">
        <v>528</v>
      </c>
      <c r="L8" s="1985"/>
      <c r="M8" s="1984"/>
      <c r="N8" s="1984"/>
      <c r="O8" s="1986"/>
      <c r="P8" s="3190"/>
      <c r="Q8" s="3191"/>
      <c r="R8" s="3174"/>
      <c r="S8" s="3175"/>
      <c r="T8" s="3176"/>
      <c r="U8" s="3177"/>
      <c r="V8" s="3192"/>
      <c r="W8" s="3192"/>
      <c r="X8" s="1473"/>
      <c r="Y8" s="3176"/>
      <c r="Z8" s="3177"/>
      <c r="AA8" s="3169"/>
      <c r="AB8" s="3169"/>
      <c r="AC8" s="3169"/>
    </row>
    <row r="9" spans="1:29" s="1155" customFormat="1" ht="21" thickBot="1">
      <c r="A9" s="2646"/>
      <c r="B9" s="2653" t="s">
        <v>529</v>
      </c>
      <c r="C9" s="2645">
        <f>'数据-取费表'!B2</f>
        <v>45544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70" t="s">
        <v>530</v>
      </c>
      <c r="Q9" s="3179"/>
      <c r="R9" s="1474" t="s">
        <v>8</v>
      </c>
      <c r="S9" s="1475">
        <f t="shared" ref="S9:S17" si="0">F9</f>
        <v>0</v>
      </c>
      <c r="T9" s="1474" t="s">
        <v>8</v>
      </c>
      <c r="U9" s="1475">
        <f t="shared" ref="U9:U17" si="1">H9</f>
        <v>0</v>
      </c>
      <c r="V9" s="1474" t="s">
        <v>8</v>
      </c>
      <c r="W9" s="1475">
        <f t="shared" ref="W9:W17" si="2">J9</f>
        <v>0</v>
      </c>
      <c r="X9" s="1476"/>
      <c r="Y9" s="3170" t="s">
        <v>530</v>
      </c>
      <c r="Z9" s="3171"/>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70" t="s">
        <v>533</v>
      </c>
      <c r="Q10" s="3171"/>
      <c r="R10" s="1474" t="s">
        <v>8</v>
      </c>
      <c r="S10" s="1475">
        <f t="shared" si="0"/>
        <v>0</v>
      </c>
      <c r="T10" s="1474" t="s">
        <v>8</v>
      </c>
      <c r="U10" s="1475">
        <f t="shared" si="1"/>
        <v>0</v>
      </c>
      <c r="V10" s="1474" t="s">
        <v>8</v>
      </c>
      <c r="W10" s="1475">
        <f t="shared" si="2"/>
        <v>0</v>
      </c>
      <c r="X10" s="1476"/>
      <c r="Y10" s="3170" t="s">
        <v>533</v>
      </c>
      <c r="Z10" s="3171"/>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78" t="s">
        <v>535</v>
      </c>
      <c r="Q11" s="852" t="str">
        <f t="shared" ref="Q11:Q17" si="6">B11</f>
        <v>用途</v>
      </c>
      <c r="R11" s="1474" t="s">
        <v>8</v>
      </c>
      <c r="S11" s="1475">
        <f t="shared" si="0"/>
        <v>100</v>
      </c>
      <c r="T11" s="1474" t="s">
        <v>8</v>
      </c>
      <c r="U11" s="1475">
        <f t="shared" si="1"/>
        <v>100</v>
      </c>
      <c r="V11" s="1474" t="s">
        <v>8</v>
      </c>
      <c r="W11" s="1475">
        <f t="shared" si="2"/>
        <v>100</v>
      </c>
      <c r="X11" s="1476"/>
      <c r="Y11" s="3135"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78"/>
      <c r="Q12" s="852" t="str">
        <f t="shared" si="6"/>
        <v>土地使用年限（年）</v>
      </c>
      <c r="R12" s="1474" t="s">
        <v>8</v>
      </c>
      <c r="S12" s="1475" t="e">
        <f t="shared" si="0"/>
        <v>#DIV/0!</v>
      </c>
      <c r="T12" s="1474" t="s">
        <v>8</v>
      </c>
      <c r="U12" s="1475" t="e">
        <f t="shared" si="1"/>
        <v>#DIV/0!</v>
      </c>
      <c r="V12" s="1474" t="s">
        <v>8</v>
      </c>
      <c r="W12" s="1475" t="e">
        <f t="shared" si="2"/>
        <v>#DIV/0!</v>
      </c>
      <c r="X12" s="1476"/>
      <c r="Y12" s="3135"/>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78"/>
      <c r="Q13" s="852" t="str">
        <f t="shared" si="6"/>
        <v>容积率</v>
      </c>
      <c r="R13" s="1474" t="s">
        <v>8</v>
      </c>
      <c r="S13" s="1475" t="e">
        <f t="shared" si="0"/>
        <v>#N/A</v>
      </c>
      <c r="T13" s="1474" t="s">
        <v>8</v>
      </c>
      <c r="U13" s="1475" t="e">
        <f t="shared" si="1"/>
        <v>#N/A</v>
      </c>
      <c r="V13" s="1474" t="s">
        <v>8</v>
      </c>
      <c r="W13" s="1475" t="e">
        <f t="shared" si="2"/>
        <v>#N/A</v>
      </c>
      <c r="X13" s="1476"/>
      <c r="Y13" s="3135"/>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78"/>
      <c r="Q14" s="852" t="str">
        <f t="shared" si="6"/>
        <v>配建</v>
      </c>
      <c r="R14" s="1474" t="s">
        <v>8</v>
      </c>
      <c r="S14" s="1475">
        <f t="shared" si="0"/>
        <v>100</v>
      </c>
      <c r="T14" s="1474" t="s">
        <v>8</v>
      </c>
      <c r="U14" s="1475">
        <f t="shared" si="1"/>
        <v>100</v>
      </c>
      <c r="V14" s="1474" t="s">
        <v>8</v>
      </c>
      <c r="W14" s="1475">
        <f t="shared" si="2"/>
        <v>100</v>
      </c>
      <c r="X14" s="1476"/>
      <c r="Y14" s="3135"/>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78"/>
      <c r="Q15" s="852">
        <f t="shared" si="6"/>
        <v>111</v>
      </c>
      <c r="R15" s="1474" t="s">
        <v>8</v>
      </c>
      <c r="S15" s="1475">
        <f t="shared" si="0"/>
        <v>100</v>
      </c>
      <c r="T15" s="1474" t="s">
        <v>8</v>
      </c>
      <c r="U15" s="1475">
        <f t="shared" si="1"/>
        <v>100</v>
      </c>
      <c r="V15" s="1474" t="s">
        <v>8</v>
      </c>
      <c r="W15" s="1475">
        <f t="shared" si="2"/>
        <v>100</v>
      </c>
      <c r="X15" s="1476"/>
      <c r="Y15" s="3135"/>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78"/>
      <c r="Q16" s="852">
        <f t="shared" si="6"/>
        <v>111</v>
      </c>
      <c r="R16" s="1474" t="s">
        <v>8</v>
      </c>
      <c r="S16" s="1475">
        <f t="shared" si="0"/>
        <v>100</v>
      </c>
      <c r="T16" s="1474" t="s">
        <v>8</v>
      </c>
      <c r="U16" s="1475">
        <f t="shared" si="1"/>
        <v>100</v>
      </c>
      <c r="V16" s="1474" t="s">
        <v>8</v>
      </c>
      <c r="W16" s="1475">
        <f t="shared" si="2"/>
        <v>100</v>
      </c>
      <c r="X16" s="1476"/>
      <c r="Y16" s="3135"/>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80" t="s">
        <v>540</v>
      </c>
      <c r="Q17" s="1477" t="str">
        <f t="shared" si="6"/>
        <v>居住社区成熟度</v>
      </c>
      <c r="R17" s="1478" t="s">
        <v>8</v>
      </c>
      <c r="S17" s="1479">
        <f t="shared" si="0"/>
        <v>100</v>
      </c>
      <c r="T17" s="1478" t="s">
        <v>8</v>
      </c>
      <c r="U17" s="1479">
        <f t="shared" si="1"/>
        <v>100</v>
      </c>
      <c r="V17" s="1478" t="s">
        <v>8</v>
      </c>
      <c r="W17" s="1479">
        <f t="shared" si="2"/>
        <v>100</v>
      </c>
      <c r="X17" s="1473"/>
      <c r="Y17" s="3180"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181"/>
      <c r="Q18" s="1477"/>
      <c r="R18" s="1478"/>
      <c r="S18" s="1479"/>
      <c r="T18" s="1478"/>
      <c r="U18" s="1479"/>
      <c r="V18" s="1478"/>
      <c r="W18" s="1479"/>
      <c r="X18" s="1473"/>
      <c r="Y18" s="3181"/>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181"/>
      <c r="Q19" s="1477" t="str">
        <f>B19</f>
        <v>商业繁华度</v>
      </c>
      <c r="R19" s="1478" t="s">
        <v>8</v>
      </c>
      <c r="S19" s="1479">
        <f>F19</f>
        <v>100</v>
      </c>
      <c r="T19" s="1478" t="s">
        <v>8</v>
      </c>
      <c r="U19" s="1479">
        <f>H19</f>
        <v>100</v>
      </c>
      <c r="V19" s="1478" t="s">
        <v>8</v>
      </c>
      <c r="W19" s="1479">
        <f>J19</f>
        <v>100</v>
      </c>
      <c r="X19" s="1473"/>
      <c r="Y19" s="3181"/>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181"/>
      <c r="Q20" s="1477"/>
      <c r="R20" s="1478"/>
      <c r="S20" s="1479"/>
      <c r="T20" s="1478"/>
      <c r="U20" s="1479"/>
      <c r="V20" s="1478"/>
      <c r="W20" s="1479"/>
      <c r="X20" s="1473"/>
      <c r="Y20" s="3181"/>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181"/>
      <c r="Q21" s="1477" t="str">
        <f>B21</f>
        <v>办公集聚程度</v>
      </c>
      <c r="R21" s="1478" t="s">
        <v>8</v>
      </c>
      <c r="S21" s="1479">
        <f>F21</f>
        <v>100</v>
      </c>
      <c r="T21" s="1478" t="s">
        <v>8</v>
      </c>
      <c r="U21" s="1479">
        <f>H21</f>
        <v>100</v>
      </c>
      <c r="V21" s="1478" t="s">
        <v>8</v>
      </c>
      <c r="W21" s="1479">
        <f>J21</f>
        <v>100</v>
      </c>
      <c r="X21" s="1473"/>
      <c r="Y21" s="3181"/>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181"/>
      <c r="Q22" s="1477"/>
      <c r="R22" s="1478"/>
      <c r="S22" s="1479"/>
      <c r="T22" s="1478"/>
      <c r="U22" s="1479"/>
      <c r="V22" s="1478"/>
      <c r="W22" s="1479"/>
      <c r="X22" s="1473"/>
      <c r="Y22" s="3181"/>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181"/>
      <c r="Q23" s="1477" t="str">
        <f>B23</f>
        <v>交通便捷度</v>
      </c>
      <c r="R23" s="1478" t="s">
        <v>8</v>
      </c>
      <c r="S23" s="1479">
        <f>F23</f>
        <v>100</v>
      </c>
      <c r="T23" s="1478" t="s">
        <v>8</v>
      </c>
      <c r="U23" s="1479">
        <f>H23</f>
        <v>100</v>
      </c>
      <c r="V23" s="1478" t="s">
        <v>8</v>
      </c>
      <c r="W23" s="1479">
        <f>J23</f>
        <v>100</v>
      </c>
      <c r="X23" s="1473"/>
      <c r="Y23" s="3181"/>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181"/>
      <c r="Q24" s="1477"/>
      <c r="R24" s="1478"/>
      <c r="S24" s="1479"/>
      <c r="T24" s="1478"/>
      <c r="U24" s="1479"/>
      <c r="V24" s="1478"/>
      <c r="W24" s="1479"/>
      <c r="X24" s="1473"/>
      <c r="Y24" s="3181"/>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181"/>
      <c r="Q25" s="1477" t="str">
        <f t="shared" ref="Q25:Q39" si="8">B25</f>
        <v>区域土地利用方向</v>
      </c>
      <c r="R25" s="1478" t="s">
        <v>8</v>
      </c>
      <c r="S25" s="1479">
        <f>F25</f>
        <v>100</v>
      </c>
      <c r="T25" s="1478" t="s">
        <v>8</v>
      </c>
      <c r="U25" s="1479">
        <f>H25</f>
        <v>100</v>
      </c>
      <c r="V25" s="1478" t="s">
        <v>8</v>
      </c>
      <c r="W25" s="1479">
        <f>J25</f>
        <v>100</v>
      </c>
      <c r="X25" s="1473"/>
      <c r="Y25" s="3181"/>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181"/>
      <c r="Q26" s="1477"/>
      <c r="R26" s="1478"/>
      <c r="S26" s="1479"/>
      <c r="T26" s="1478"/>
      <c r="U26" s="1479"/>
      <c r="V26" s="1478"/>
      <c r="W26" s="1479"/>
      <c r="X26" s="1473"/>
      <c r="Y26" s="3181"/>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181"/>
      <c r="Q27" s="1477" t="str">
        <f t="shared" si="8"/>
        <v>自然及人文环境状况</v>
      </c>
      <c r="R27" s="1478" t="s">
        <v>8</v>
      </c>
      <c r="S27" s="1479">
        <f>F27</f>
        <v>100</v>
      </c>
      <c r="T27" s="1478" t="s">
        <v>8</v>
      </c>
      <c r="U27" s="1479">
        <f>H27</f>
        <v>100</v>
      </c>
      <c r="V27" s="1478" t="s">
        <v>8</v>
      </c>
      <c r="W27" s="1479">
        <f>J27</f>
        <v>100</v>
      </c>
      <c r="X27" s="1473"/>
      <c r="Y27" s="3181"/>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181"/>
      <c r="Q28" s="1477"/>
      <c r="R28" s="1478"/>
      <c r="S28" s="1479"/>
      <c r="T28" s="1478"/>
      <c r="U28" s="1479"/>
      <c r="V28" s="1478"/>
      <c r="W28" s="1479"/>
      <c r="X28" s="1473"/>
      <c r="Y28" s="3181"/>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181"/>
      <c r="Q29" s="852" t="str">
        <f t="shared" si="8"/>
        <v>公共配套设施</v>
      </c>
      <c r="R29" s="1474" t="s">
        <v>8</v>
      </c>
      <c r="S29" s="1475">
        <f>F29</f>
        <v>100</v>
      </c>
      <c r="T29" s="1474" t="s">
        <v>8</v>
      </c>
      <c r="U29" s="1475">
        <f>H29</f>
        <v>100</v>
      </c>
      <c r="V29" s="1474" t="s">
        <v>8</v>
      </c>
      <c r="W29" s="1475">
        <f>J29</f>
        <v>100</v>
      </c>
      <c r="X29" s="1476"/>
      <c r="Y29" s="3181"/>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181"/>
      <c r="Q30" s="852"/>
      <c r="R30" s="1474"/>
      <c r="S30" s="1475"/>
      <c r="T30" s="1474"/>
      <c r="U30" s="1475"/>
      <c r="V30" s="1474"/>
      <c r="W30" s="1475"/>
      <c r="X30" s="1476"/>
      <c r="Y30" s="3181"/>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181"/>
      <c r="Q31" s="852" t="str">
        <f t="shared" ref="Q31" si="9">B31</f>
        <v>基础设施水平</v>
      </c>
      <c r="R31" s="1474" t="s">
        <v>8</v>
      </c>
      <c r="S31" s="1475">
        <f>F31</f>
        <v>100</v>
      </c>
      <c r="T31" s="1474" t="s">
        <v>8</v>
      </c>
      <c r="U31" s="1475">
        <f>H31</f>
        <v>100</v>
      </c>
      <c r="V31" s="1474" t="s">
        <v>8</v>
      </c>
      <c r="W31" s="1475">
        <f>J31</f>
        <v>100</v>
      </c>
      <c r="X31" s="1476"/>
      <c r="Y31" s="3181"/>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181"/>
      <c r="Q32" s="852"/>
      <c r="R32" s="1474"/>
      <c r="S32" s="1475"/>
      <c r="T32" s="1474"/>
      <c r="U32" s="1475"/>
      <c r="V32" s="1474"/>
      <c r="W32" s="1475"/>
      <c r="X32" s="1476"/>
      <c r="Y32" s="3181"/>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181"/>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181"/>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181"/>
      <c r="Q34" s="1477" t="str">
        <f t="shared" si="8"/>
        <v>毗邻道路的类型与等级</v>
      </c>
      <c r="R34" s="1478" t="s">
        <v>8</v>
      </c>
      <c r="S34" s="1479">
        <f t="shared" si="10"/>
        <v>100</v>
      </c>
      <c r="T34" s="1478" t="s">
        <v>8</v>
      </c>
      <c r="U34" s="1479">
        <f t="shared" si="11"/>
        <v>100</v>
      </c>
      <c r="V34" s="1478" t="s">
        <v>8</v>
      </c>
      <c r="W34" s="1479">
        <f t="shared" si="12"/>
        <v>100</v>
      </c>
      <c r="X34" s="1473"/>
      <c r="Y34" s="3181"/>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181"/>
      <c r="Q35" s="1477"/>
      <c r="R35" s="1478"/>
      <c r="S35" s="1479"/>
      <c r="T35" s="1478"/>
      <c r="U35" s="1479"/>
      <c r="V35" s="1478"/>
      <c r="W35" s="1479"/>
      <c r="X35" s="1473"/>
      <c r="Y35" s="3181"/>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181"/>
      <c r="Q36" s="1477" t="str">
        <f t="shared" si="8"/>
        <v>土地级别</v>
      </c>
      <c r="R36" s="1478" t="s">
        <v>8</v>
      </c>
      <c r="S36" s="1479">
        <f t="shared" si="10"/>
        <v>100</v>
      </c>
      <c r="T36" s="1478" t="s">
        <v>8</v>
      </c>
      <c r="U36" s="1479">
        <f t="shared" si="11"/>
        <v>100</v>
      </c>
      <c r="V36" s="1478" t="s">
        <v>8</v>
      </c>
      <c r="W36" s="1479">
        <f t="shared" si="12"/>
        <v>100</v>
      </c>
      <c r="X36" s="1473"/>
      <c r="Y36" s="3181"/>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181"/>
      <c r="Q37" s="1477">
        <f t="shared" si="8"/>
        <v>111</v>
      </c>
      <c r="R37" s="1478" t="s">
        <v>8</v>
      </c>
      <c r="S37" s="1479">
        <f t="shared" si="10"/>
        <v>100</v>
      </c>
      <c r="T37" s="1478" t="s">
        <v>8</v>
      </c>
      <c r="U37" s="1479">
        <f t="shared" si="11"/>
        <v>100</v>
      </c>
      <c r="V37" s="1478" t="s">
        <v>8</v>
      </c>
      <c r="W37" s="1479">
        <f t="shared" si="12"/>
        <v>100</v>
      </c>
      <c r="X37" s="1473"/>
      <c r="Y37" s="3181"/>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182" t="s">
        <v>550</v>
      </c>
      <c r="Q38" s="1477">
        <f t="shared" si="8"/>
        <v>111</v>
      </c>
      <c r="R38" s="1478" t="s">
        <v>8</v>
      </c>
      <c r="S38" s="1479">
        <f t="shared" si="10"/>
        <v>100</v>
      </c>
      <c r="T38" s="1478" t="s">
        <v>8</v>
      </c>
      <c r="U38" s="1479">
        <f t="shared" si="11"/>
        <v>100</v>
      </c>
      <c r="V38" s="1478" t="s">
        <v>8</v>
      </c>
      <c r="W38" s="1479">
        <f t="shared" si="12"/>
        <v>100</v>
      </c>
      <c r="X38" s="1473"/>
      <c r="Y38" s="3183"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183"/>
      <c r="Q39" s="1477">
        <f t="shared" si="8"/>
        <v>111</v>
      </c>
      <c r="R39" s="1481" t="s">
        <v>8</v>
      </c>
      <c r="S39" s="1482">
        <f t="shared" si="10"/>
        <v>100</v>
      </c>
      <c r="T39" s="1481" t="s">
        <v>8</v>
      </c>
      <c r="U39" s="1482">
        <f t="shared" si="11"/>
        <v>100</v>
      </c>
      <c r="V39" s="1481" t="s">
        <v>8</v>
      </c>
      <c r="W39" s="1482">
        <f t="shared" si="12"/>
        <v>100</v>
      </c>
      <c r="X39" s="1483"/>
      <c r="Y39" s="3183"/>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183"/>
      <c r="Q40" s="1477" t="str">
        <f>B40</f>
        <v>宗地面积</v>
      </c>
      <c r="R40" s="1478" t="s">
        <v>8</v>
      </c>
      <c r="S40" s="1479" t="e">
        <f t="shared" si="10"/>
        <v>#N/A</v>
      </c>
      <c r="T40" s="1478" t="s">
        <v>8</v>
      </c>
      <c r="U40" s="1479" t="e">
        <f t="shared" si="11"/>
        <v>#N/A</v>
      </c>
      <c r="V40" s="1478" t="s">
        <v>8</v>
      </c>
      <c r="W40" s="1479" t="e">
        <f t="shared" si="12"/>
        <v>#N/A</v>
      </c>
      <c r="X40" s="1473"/>
      <c r="Y40" s="3183"/>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183"/>
      <c r="Q41" s="1477" t="str">
        <f t="shared" ref="Q41:Q47" si="14">B41</f>
        <v>宗地形状</v>
      </c>
      <c r="R41" s="1478" t="s">
        <v>8</v>
      </c>
      <c r="S41" s="1479">
        <f t="shared" si="10"/>
        <v>100</v>
      </c>
      <c r="T41" s="1478" t="s">
        <v>8</v>
      </c>
      <c r="U41" s="1479">
        <f t="shared" si="11"/>
        <v>100</v>
      </c>
      <c r="V41" s="1478" t="s">
        <v>8</v>
      </c>
      <c r="W41" s="1479">
        <f t="shared" si="12"/>
        <v>100</v>
      </c>
      <c r="X41" s="1473"/>
      <c r="Y41" s="3183"/>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183"/>
      <c r="Q42" s="1477" t="str">
        <f t="shared" si="14"/>
        <v>临街宽度及深度</v>
      </c>
      <c r="R42" s="1478" t="s">
        <v>8</v>
      </c>
      <c r="S42" s="1479">
        <f t="shared" si="10"/>
        <v>100</v>
      </c>
      <c r="T42" s="1478" t="s">
        <v>8</v>
      </c>
      <c r="U42" s="1479">
        <f t="shared" si="11"/>
        <v>100</v>
      </c>
      <c r="V42" s="1478" t="s">
        <v>8</v>
      </c>
      <c r="W42" s="1479">
        <f t="shared" si="12"/>
        <v>100</v>
      </c>
      <c r="X42" s="1473"/>
      <c r="Y42" s="3183"/>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183"/>
      <c r="Q43" s="1477" t="str">
        <f t="shared" si="14"/>
        <v>宗地开发程度</v>
      </c>
      <c r="R43" s="1474" t="s">
        <v>8</v>
      </c>
      <c r="S43" s="1475">
        <f t="shared" si="10"/>
        <v>100</v>
      </c>
      <c r="T43" s="1474" t="s">
        <v>8</v>
      </c>
      <c r="U43" s="1475">
        <f t="shared" si="11"/>
        <v>100</v>
      </c>
      <c r="V43" s="1474" t="s">
        <v>8</v>
      </c>
      <c r="W43" s="1475">
        <f t="shared" si="12"/>
        <v>100</v>
      </c>
      <c r="X43" s="1476"/>
      <c r="Y43" s="3183"/>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183" t="s">
        <v>550</v>
      </c>
      <c r="Q44" s="1477" t="str">
        <f t="shared" si="14"/>
        <v>工程地质条件</v>
      </c>
      <c r="R44" s="1478" t="s">
        <v>8</v>
      </c>
      <c r="S44" s="1479">
        <f t="shared" si="10"/>
        <v>100</v>
      </c>
      <c r="T44" s="1478" t="s">
        <v>8</v>
      </c>
      <c r="U44" s="1479">
        <f t="shared" si="11"/>
        <v>100</v>
      </c>
      <c r="V44" s="1478" t="s">
        <v>8</v>
      </c>
      <c r="W44" s="1479">
        <f t="shared" si="12"/>
        <v>100</v>
      </c>
      <c r="X44" s="1473"/>
      <c r="Y44" s="3183"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183"/>
      <c r="Q45" s="1477">
        <f t="shared" si="14"/>
        <v>111</v>
      </c>
      <c r="R45" s="1478" t="s">
        <v>8</v>
      </c>
      <c r="S45" s="1479">
        <f t="shared" si="10"/>
        <v>100</v>
      </c>
      <c r="T45" s="1478" t="s">
        <v>8</v>
      </c>
      <c r="U45" s="1479">
        <f t="shared" si="11"/>
        <v>100</v>
      </c>
      <c r="V45" s="1478" t="s">
        <v>8</v>
      </c>
      <c r="W45" s="1479">
        <f t="shared" si="12"/>
        <v>100</v>
      </c>
      <c r="X45" s="1473"/>
      <c r="Y45" s="3183"/>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183"/>
      <c r="Q46" s="1477">
        <f t="shared" si="14"/>
        <v>111</v>
      </c>
      <c r="R46" s="1478" t="s">
        <v>8</v>
      </c>
      <c r="S46" s="1479">
        <f t="shared" si="10"/>
        <v>100</v>
      </c>
      <c r="T46" s="1478" t="s">
        <v>8</v>
      </c>
      <c r="U46" s="1479">
        <f t="shared" si="11"/>
        <v>100</v>
      </c>
      <c r="V46" s="1478" t="s">
        <v>8</v>
      </c>
      <c r="W46" s="1479">
        <f t="shared" si="12"/>
        <v>100</v>
      </c>
      <c r="X46" s="1473"/>
      <c r="Y46" s="3183"/>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183"/>
      <c r="Q47" s="1477">
        <f t="shared" si="14"/>
        <v>111</v>
      </c>
      <c r="R47" s="1481" t="s">
        <v>8</v>
      </c>
      <c r="S47" s="1482">
        <f t="shared" si="10"/>
        <v>100</v>
      </c>
      <c r="T47" s="1481" t="s">
        <v>8</v>
      </c>
      <c r="U47" s="1482">
        <f t="shared" si="11"/>
        <v>100</v>
      </c>
      <c r="V47" s="1481" t="s">
        <v>8</v>
      </c>
      <c r="W47" s="1482">
        <f t="shared" si="12"/>
        <v>100</v>
      </c>
      <c r="X47" s="1483"/>
      <c r="Y47" s="3183"/>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78" t="str">
        <f>A48</f>
        <v>成交单价</v>
      </c>
      <c r="Q48" s="3178"/>
      <c r="R48" s="3192">
        <f>E48</f>
        <v>0</v>
      </c>
      <c r="S48" s="3192"/>
      <c r="T48" s="3192">
        <f>G48</f>
        <v>0</v>
      </c>
      <c r="U48" s="3192"/>
      <c r="V48" s="3192">
        <f>I48</f>
        <v>0</v>
      </c>
      <c r="W48" s="3192"/>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78" t="str">
        <f>A49</f>
        <v>比较价格（元/平方米）</v>
      </c>
      <c r="Q49" s="3178"/>
      <c r="R49" s="3202" t="e">
        <f>ROUND(PRODUCT(R48,AA9:AA47),0)</f>
        <v>#DIV/0!</v>
      </c>
      <c r="S49" s="3202"/>
      <c r="T49" s="3202" t="e">
        <f>ROUND(PRODUCT(T48,AB9:AB47),0)</f>
        <v>#DIV/0!</v>
      </c>
      <c r="U49" s="3202"/>
      <c r="V49" s="3202" t="e">
        <f>ROUND(PRODUCT(V48,AC9:AC47),0)</f>
        <v>#DIV/0!</v>
      </c>
      <c r="W49" s="3202"/>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99" t="str">
        <f>A50</f>
        <v>估价对象XX用房的比较价格（楼面单价，元/平方米）</v>
      </c>
      <c r="Q50" s="3200"/>
      <c r="R50" s="3201" t="e">
        <f>ROUND(AVERAGE(R49:V49),0)</f>
        <v>#DIV/0!</v>
      </c>
      <c r="S50" s="3201"/>
      <c r="T50" s="3201"/>
      <c r="U50" s="3201"/>
      <c r="V50" s="3201"/>
      <c r="W50" s="3201"/>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62" t="s">
        <v>2281</v>
      </c>
      <c r="H57" s="3163"/>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64"/>
      <c r="H58" s="3165"/>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66"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66"/>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66"/>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66"/>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2024-9-1</v>
      </c>
      <c r="D70" s="2548">
        <f>EDATE(C70,-3)</f>
        <v>45444</v>
      </c>
      <c r="E70" s="2548">
        <f t="shared" ref="E70:N70" si="18">EDATE(D70,-3)</f>
        <v>45352</v>
      </c>
      <c r="F70" s="2548">
        <f t="shared" si="18"/>
        <v>45261</v>
      </c>
      <c r="G70" s="2548">
        <f t="shared" si="18"/>
        <v>45170</v>
      </c>
      <c r="H70" s="2548">
        <f t="shared" si="18"/>
        <v>45078</v>
      </c>
      <c r="I70" s="2548">
        <f t="shared" si="18"/>
        <v>44986</v>
      </c>
      <c r="J70" s="2548">
        <f t="shared" si="18"/>
        <v>44896</v>
      </c>
      <c r="K70" s="2548">
        <f t="shared" si="18"/>
        <v>44805</v>
      </c>
      <c r="L70" s="2548">
        <f t="shared" si="18"/>
        <v>44713</v>
      </c>
      <c r="M70" s="2548">
        <f t="shared" si="18"/>
        <v>44621</v>
      </c>
      <c r="N70" s="2548">
        <f t="shared" si="18"/>
        <v>44531</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2024-3</v>
      </c>
      <c r="D72" s="162" t="str">
        <f>YEAR(D70)&amp;"-"&amp;ROUNDUP(MONTH(D70)/3,0)</f>
        <v>2024-2</v>
      </c>
      <c r="E72" s="162" t="str">
        <f t="shared" ref="E72:N72" si="19">YEAR(E70)&amp;"-"&amp;ROUNDUP(MONTH(E70)/3,0)</f>
        <v>2024-1</v>
      </c>
      <c r="F72" s="162" t="str">
        <f t="shared" si="19"/>
        <v>2023-4</v>
      </c>
      <c r="G72" s="162" t="str">
        <f t="shared" si="19"/>
        <v>2023-3</v>
      </c>
      <c r="H72" s="162" t="str">
        <f t="shared" si="19"/>
        <v>2023-2</v>
      </c>
      <c r="I72" s="162" t="str">
        <f t="shared" si="19"/>
        <v>2023-1</v>
      </c>
      <c r="J72" s="162" t="str">
        <f t="shared" si="19"/>
        <v>2022-4</v>
      </c>
      <c r="K72" s="162" t="str">
        <f t="shared" si="19"/>
        <v>2022-3</v>
      </c>
      <c r="L72" s="162" t="str">
        <f t="shared" si="19"/>
        <v>2022-2</v>
      </c>
      <c r="M72" s="162" t="str">
        <f t="shared" si="19"/>
        <v>2022-1</v>
      </c>
      <c r="N72" s="162" t="str">
        <f t="shared" si="19"/>
        <v>2021-4</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84" t="s">
        <v>522</v>
      </c>
      <c r="D6" s="3185"/>
      <c r="E6" s="3208" t="s">
        <v>523</v>
      </c>
      <c r="F6" s="3209"/>
      <c r="G6" s="3184" t="s">
        <v>524</v>
      </c>
      <c r="H6" s="3185"/>
      <c r="I6" s="3184" t="s">
        <v>525</v>
      </c>
      <c r="J6" s="3185"/>
      <c r="K6" s="492" t="s">
        <v>526</v>
      </c>
      <c r="L6" s="1985"/>
      <c r="M6" s="1986"/>
      <c r="N6" s="1986"/>
      <c r="O6" s="1986"/>
      <c r="P6" s="3186" t="s">
        <v>527</v>
      </c>
      <c r="Q6" s="3187"/>
      <c r="R6" s="3172" t="s">
        <v>523</v>
      </c>
      <c r="S6" s="3173"/>
      <c r="T6" s="3172" t="s">
        <v>524</v>
      </c>
      <c r="U6" s="3173"/>
      <c r="V6" s="3192" t="s">
        <v>525</v>
      </c>
      <c r="W6" s="3192"/>
      <c r="X6" s="1473"/>
      <c r="Y6" s="3172" t="s">
        <v>527</v>
      </c>
      <c r="Z6" s="3173"/>
      <c r="AA6" s="3167" t="s">
        <v>523</v>
      </c>
      <c r="AB6" s="3168" t="s">
        <v>524</v>
      </c>
      <c r="AC6" s="3167" t="s">
        <v>525</v>
      </c>
    </row>
    <row r="7" spans="1:29" ht="15">
      <c r="A7" s="493"/>
      <c r="B7" s="494"/>
      <c r="C7" s="3195" t="s">
        <v>2931</v>
      </c>
      <c r="D7" s="3196"/>
      <c r="E7" s="3210" t="s">
        <v>2932</v>
      </c>
      <c r="F7" s="3211"/>
      <c r="G7" s="3195" t="s">
        <v>2933</v>
      </c>
      <c r="H7" s="3196"/>
      <c r="I7" s="3195" t="s">
        <v>2934</v>
      </c>
      <c r="J7" s="3196"/>
      <c r="K7" s="492"/>
      <c r="L7" s="1985"/>
      <c r="M7" s="1986"/>
      <c r="N7" s="1986"/>
      <c r="O7" s="1986"/>
      <c r="P7" s="3188"/>
      <c r="Q7" s="3189"/>
      <c r="R7" s="3174"/>
      <c r="S7" s="3175"/>
      <c r="T7" s="3174"/>
      <c r="U7" s="3175"/>
      <c r="V7" s="3192"/>
      <c r="W7" s="3192"/>
      <c r="X7" s="1473"/>
      <c r="Y7" s="3174"/>
      <c r="Z7" s="3175"/>
      <c r="AA7" s="3168"/>
      <c r="AB7" s="3168"/>
      <c r="AC7" s="3168"/>
    </row>
    <row r="8" spans="1:29" ht="15.75" thickBot="1">
      <c r="A8" s="495"/>
      <c r="B8" s="496"/>
      <c r="C8" s="3193" t="s">
        <v>2935</v>
      </c>
      <c r="D8" s="3194"/>
      <c r="E8" s="3212" t="s">
        <v>2935</v>
      </c>
      <c r="F8" s="3213"/>
      <c r="G8" s="3193" t="s">
        <v>2935</v>
      </c>
      <c r="H8" s="3194"/>
      <c r="I8" s="3193" t="s">
        <v>2935</v>
      </c>
      <c r="J8" s="3194"/>
      <c r="K8" s="492" t="s">
        <v>528</v>
      </c>
      <c r="L8" s="1985"/>
      <c r="M8" s="1986"/>
      <c r="N8" s="1986"/>
      <c r="O8" s="1986"/>
      <c r="P8" s="3190"/>
      <c r="Q8" s="3191"/>
      <c r="R8" s="3174"/>
      <c r="S8" s="3175"/>
      <c r="T8" s="3176"/>
      <c r="U8" s="3177"/>
      <c r="V8" s="3192"/>
      <c r="W8" s="3192"/>
      <c r="X8" s="1473"/>
      <c r="Y8" s="3176"/>
      <c r="Z8" s="3177"/>
      <c r="AA8" s="3169"/>
      <c r="AB8" s="3169"/>
      <c r="AC8" s="3169"/>
    </row>
    <row r="9" spans="1:29" s="1155" customFormat="1" ht="15.75" thickBot="1">
      <c r="A9" s="2646"/>
      <c r="B9" s="2653" t="s">
        <v>529</v>
      </c>
      <c r="C9" s="497">
        <f>'数据-取费表'!B2</f>
        <v>45544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70" t="s">
        <v>530</v>
      </c>
      <c r="Q9" s="3179"/>
      <c r="R9" s="1474" t="s">
        <v>8</v>
      </c>
      <c r="S9" s="1475">
        <f t="shared" ref="S9:S17" si="0">F9</f>
        <v>0</v>
      </c>
      <c r="T9" s="1474" t="s">
        <v>8</v>
      </c>
      <c r="U9" s="1475">
        <f t="shared" ref="U9:U17" si="1">H9</f>
        <v>0</v>
      </c>
      <c r="V9" s="1474" t="s">
        <v>8</v>
      </c>
      <c r="W9" s="1475">
        <f t="shared" ref="W9:W17" si="2">J9</f>
        <v>0</v>
      </c>
      <c r="X9" s="1476"/>
      <c r="Y9" s="3170" t="s">
        <v>530</v>
      </c>
      <c r="Z9" s="3171"/>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70" t="s">
        <v>533</v>
      </c>
      <c r="Q10" s="3171"/>
      <c r="R10" s="1474" t="s">
        <v>8</v>
      </c>
      <c r="S10" s="1475">
        <f t="shared" si="0"/>
        <v>0</v>
      </c>
      <c r="T10" s="1474" t="s">
        <v>8</v>
      </c>
      <c r="U10" s="1475">
        <f t="shared" si="1"/>
        <v>0</v>
      </c>
      <c r="V10" s="1474" t="s">
        <v>8</v>
      </c>
      <c r="W10" s="1475">
        <f t="shared" si="2"/>
        <v>0</v>
      </c>
      <c r="X10" s="1476"/>
      <c r="Y10" s="3170" t="s">
        <v>533</v>
      </c>
      <c r="Z10" s="3171"/>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78" t="s">
        <v>535</v>
      </c>
      <c r="Q11" s="852" t="str">
        <f t="shared" ref="Q11:Q17" si="6">B11</f>
        <v>用途</v>
      </c>
      <c r="R11" s="1474" t="s">
        <v>8</v>
      </c>
      <c r="S11" s="1475">
        <f t="shared" si="0"/>
        <v>100</v>
      </c>
      <c r="T11" s="1474" t="s">
        <v>8</v>
      </c>
      <c r="U11" s="1475">
        <f t="shared" si="1"/>
        <v>100</v>
      </c>
      <c r="V11" s="1474" t="s">
        <v>8</v>
      </c>
      <c r="W11" s="1475">
        <f t="shared" si="2"/>
        <v>100</v>
      </c>
      <c r="X11" s="1476"/>
      <c r="Y11" s="3135"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78"/>
      <c r="Q12" s="852" t="str">
        <f t="shared" si="6"/>
        <v>土地使用年限（年）</v>
      </c>
      <c r="R12" s="1474" t="s">
        <v>8</v>
      </c>
      <c r="S12" s="1475" t="e">
        <f t="shared" si="0"/>
        <v>#DIV/0!</v>
      </c>
      <c r="T12" s="1474" t="s">
        <v>8</v>
      </c>
      <c r="U12" s="1475" t="e">
        <f t="shared" si="1"/>
        <v>#DIV/0!</v>
      </c>
      <c r="V12" s="1474" t="s">
        <v>8</v>
      </c>
      <c r="W12" s="1475" t="e">
        <f t="shared" si="2"/>
        <v>#DIV/0!</v>
      </c>
      <c r="X12" s="1476"/>
      <c r="Y12" s="3135"/>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78"/>
      <c r="Q13" s="852" t="str">
        <f t="shared" si="6"/>
        <v>容积率</v>
      </c>
      <c r="R13" s="1474" t="s">
        <v>8</v>
      </c>
      <c r="S13" s="1475" t="e">
        <f t="shared" si="0"/>
        <v>#N/A</v>
      </c>
      <c r="T13" s="1474" t="s">
        <v>8</v>
      </c>
      <c r="U13" s="1475" t="e">
        <f t="shared" si="1"/>
        <v>#N/A</v>
      </c>
      <c r="V13" s="1474" t="s">
        <v>8</v>
      </c>
      <c r="W13" s="1475" t="e">
        <f t="shared" si="2"/>
        <v>#N/A</v>
      </c>
      <c r="X13" s="1476"/>
      <c r="Y13" s="3135"/>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78"/>
      <c r="Q15" s="852">
        <f t="shared" si="6"/>
        <v>111</v>
      </c>
      <c r="R15" s="1474" t="s">
        <v>8</v>
      </c>
      <c r="S15" s="1475">
        <f t="shared" si="0"/>
        <v>100</v>
      </c>
      <c r="T15" s="1474" t="s">
        <v>8</v>
      </c>
      <c r="U15" s="1475">
        <f t="shared" si="1"/>
        <v>100</v>
      </c>
      <c r="V15" s="1474" t="s">
        <v>8</v>
      </c>
      <c r="W15" s="1475">
        <f t="shared" si="2"/>
        <v>100</v>
      </c>
      <c r="X15" s="1476"/>
      <c r="Y15" s="3135"/>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78"/>
      <c r="Q16" s="852">
        <f t="shared" si="6"/>
        <v>111</v>
      </c>
      <c r="R16" s="1474" t="s">
        <v>8</v>
      </c>
      <c r="S16" s="1475">
        <f t="shared" si="0"/>
        <v>100</v>
      </c>
      <c r="T16" s="1474" t="s">
        <v>8</v>
      </c>
      <c r="U16" s="1475">
        <f t="shared" si="1"/>
        <v>100</v>
      </c>
      <c r="V16" s="1474" t="s">
        <v>8</v>
      </c>
      <c r="W16" s="1475">
        <f t="shared" si="2"/>
        <v>100</v>
      </c>
      <c r="X16" s="1476"/>
      <c r="Y16" s="3135"/>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80" t="s">
        <v>540</v>
      </c>
      <c r="Q17" s="1477" t="str">
        <f t="shared" si="6"/>
        <v>产业集聚程度</v>
      </c>
      <c r="R17" s="1478" t="s">
        <v>8</v>
      </c>
      <c r="S17" s="1479">
        <f t="shared" si="0"/>
        <v>100</v>
      </c>
      <c r="T17" s="1478" t="s">
        <v>8</v>
      </c>
      <c r="U17" s="1479">
        <f t="shared" si="1"/>
        <v>100</v>
      </c>
      <c r="V17" s="1478" t="s">
        <v>8</v>
      </c>
      <c r="W17" s="1479">
        <f t="shared" si="2"/>
        <v>100</v>
      </c>
      <c r="X17" s="1473"/>
      <c r="Y17" s="3180"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181"/>
      <c r="Q18" s="1477"/>
      <c r="R18" s="1478"/>
      <c r="S18" s="1479"/>
      <c r="T18" s="1478"/>
      <c r="U18" s="1479"/>
      <c r="V18" s="1478"/>
      <c r="W18" s="1479"/>
      <c r="X18" s="1473"/>
      <c r="Y18" s="3181"/>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181"/>
      <c r="Q19" s="1477" t="str">
        <f>B19</f>
        <v>交通便捷度</v>
      </c>
      <c r="R19" s="1478" t="s">
        <v>8</v>
      </c>
      <c r="S19" s="1479">
        <f>F19</f>
        <v>100</v>
      </c>
      <c r="T19" s="1478" t="s">
        <v>8</v>
      </c>
      <c r="U19" s="1479">
        <f>H19</f>
        <v>100</v>
      </c>
      <c r="V19" s="1478" t="s">
        <v>8</v>
      </c>
      <c r="W19" s="1479">
        <f>J19</f>
        <v>100</v>
      </c>
      <c r="X19" s="1473"/>
      <c r="Y19" s="3181"/>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181"/>
      <c r="Q21" s="1477" t="str">
        <f t="shared" ref="Q21:Q35" si="8">B21</f>
        <v>区域土地利用方向</v>
      </c>
      <c r="R21" s="1478" t="s">
        <v>8</v>
      </c>
      <c r="S21" s="1479">
        <f>F21</f>
        <v>100</v>
      </c>
      <c r="T21" s="1478" t="s">
        <v>8</v>
      </c>
      <c r="U21" s="1479">
        <f>H21</f>
        <v>100</v>
      </c>
      <c r="V21" s="1478" t="s">
        <v>8</v>
      </c>
      <c r="W21" s="1479">
        <f>J21</f>
        <v>100</v>
      </c>
      <c r="X21" s="1473"/>
      <c r="Y21" s="3181"/>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181"/>
      <c r="Q22" s="1477"/>
      <c r="R22" s="1478"/>
      <c r="S22" s="1479"/>
      <c r="T22" s="1478"/>
      <c r="U22" s="1479"/>
      <c r="V22" s="1478"/>
      <c r="W22" s="1479"/>
      <c r="X22" s="1473"/>
      <c r="Y22" s="3181"/>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181"/>
      <c r="Q23" s="1477" t="str">
        <f t="shared" si="8"/>
        <v>环境状况</v>
      </c>
      <c r="R23" s="1478" t="s">
        <v>8</v>
      </c>
      <c r="S23" s="1479">
        <f>F23</f>
        <v>100</v>
      </c>
      <c r="T23" s="1478" t="s">
        <v>8</v>
      </c>
      <c r="U23" s="1479">
        <f>H23</f>
        <v>100</v>
      </c>
      <c r="V23" s="1478" t="s">
        <v>8</v>
      </c>
      <c r="W23" s="1479">
        <f>J23</f>
        <v>100</v>
      </c>
      <c r="X23" s="1473"/>
      <c r="Y23" s="3181"/>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181"/>
      <c r="Q24" s="1477"/>
      <c r="R24" s="1478"/>
      <c r="S24" s="1479"/>
      <c r="T24" s="1478"/>
      <c r="U24" s="1479"/>
      <c r="V24" s="1478"/>
      <c r="W24" s="1479"/>
      <c r="X24" s="1473"/>
      <c r="Y24" s="3181"/>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181"/>
      <c r="Q25" s="852" t="str">
        <f t="shared" si="8"/>
        <v>公共配套设施</v>
      </c>
      <c r="R25" s="1474" t="s">
        <v>8</v>
      </c>
      <c r="S25" s="1475">
        <f>F25</f>
        <v>100</v>
      </c>
      <c r="T25" s="1474" t="s">
        <v>8</v>
      </c>
      <c r="U25" s="1475">
        <f>H25</f>
        <v>100</v>
      </c>
      <c r="V25" s="1474" t="s">
        <v>8</v>
      </c>
      <c r="W25" s="1475">
        <f>J25</f>
        <v>100</v>
      </c>
      <c r="X25" s="1476"/>
      <c r="Y25" s="3181"/>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181"/>
      <c r="Q26" s="852"/>
      <c r="R26" s="1474"/>
      <c r="S26" s="1475"/>
      <c r="T26" s="1474"/>
      <c r="U26" s="1475"/>
      <c r="V26" s="1474"/>
      <c r="W26" s="1475"/>
      <c r="X26" s="1476"/>
      <c r="Y26" s="3181"/>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181"/>
      <c r="Q27" s="852" t="str">
        <f t="shared" ref="Q27" si="9">B27</f>
        <v>基础设施水平</v>
      </c>
      <c r="R27" s="1474" t="s">
        <v>8</v>
      </c>
      <c r="S27" s="1475">
        <f>F27</f>
        <v>100</v>
      </c>
      <c r="T27" s="1474" t="s">
        <v>8</v>
      </c>
      <c r="U27" s="1475">
        <f>H27</f>
        <v>100</v>
      </c>
      <c r="V27" s="1474" t="s">
        <v>8</v>
      </c>
      <c r="W27" s="1475">
        <f>J27</f>
        <v>100</v>
      </c>
      <c r="X27" s="1476"/>
      <c r="Y27" s="3181"/>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181"/>
      <c r="Q28" s="852"/>
      <c r="R28" s="1474"/>
      <c r="S28" s="1475"/>
      <c r="T28" s="1474"/>
      <c r="U28" s="1475"/>
      <c r="V28" s="1474"/>
      <c r="W28" s="1475"/>
      <c r="X28" s="1476"/>
      <c r="Y28" s="3181"/>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181"/>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181"/>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181"/>
      <c r="Q30" s="1477" t="str">
        <f t="shared" si="8"/>
        <v>毗邻道路的类型与等级</v>
      </c>
      <c r="R30" s="1478" t="s">
        <v>8</v>
      </c>
      <c r="S30" s="1479">
        <f t="shared" si="10"/>
        <v>100</v>
      </c>
      <c r="T30" s="1478" t="s">
        <v>8</v>
      </c>
      <c r="U30" s="1479">
        <f t="shared" si="11"/>
        <v>100</v>
      </c>
      <c r="V30" s="1478" t="s">
        <v>8</v>
      </c>
      <c r="W30" s="1479">
        <f t="shared" si="12"/>
        <v>100</v>
      </c>
      <c r="X30" s="1473"/>
      <c r="Y30" s="3181"/>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181"/>
      <c r="Q31" s="1477"/>
      <c r="R31" s="1478"/>
      <c r="S31" s="1479"/>
      <c r="T31" s="1478"/>
      <c r="U31" s="1479"/>
      <c r="V31" s="1478"/>
      <c r="W31" s="1479"/>
      <c r="X31" s="1473"/>
      <c r="Y31" s="3181"/>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181"/>
      <c r="Q32" s="1477" t="str">
        <f t="shared" si="8"/>
        <v>土地级别</v>
      </c>
      <c r="R32" s="1478" t="s">
        <v>8</v>
      </c>
      <c r="S32" s="1479">
        <f t="shared" si="10"/>
        <v>100</v>
      </c>
      <c r="T32" s="1478" t="s">
        <v>8</v>
      </c>
      <c r="U32" s="1479">
        <f t="shared" si="11"/>
        <v>100</v>
      </c>
      <c r="V32" s="1478" t="s">
        <v>8</v>
      </c>
      <c r="W32" s="1479">
        <f t="shared" si="12"/>
        <v>100</v>
      </c>
      <c r="X32" s="1473"/>
      <c r="Y32" s="3181"/>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181"/>
      <c r="Q33" s="1477">
        <f t="shared" si="8"/>
        <v>111</v>
      </c>
      <c r="R33" s="1478" t="s">
        <v>8</v>
      </c>
      <c r="S33" s="1479">
        <f t="shared" si="10"/>
        <v>100</v>
      </c>
      <c r="T33" s="1478" t="s">
        <v>8</v>
      </c>
      <c r="U33" s="1479">
        <f t="shared" si="11"/>
        <v>100</v>
      </c>
      <c r="V33" s="1478" t="s">
        <v>8</v>
      </c>
      <c r="W33" s="1479">
        <f t="shared" si="12"/>
        <v>100</v>
      </c>
      <c r="X33" s="1473"/>
      <c r="Y33" s="3181"/>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182" t="s">
        <v>550</v>
      </c>
      <c r="Q34" s="1477">
        <f t="shared" si="8"/>
        <v>111</v>
      </c>
      <c r="R34" s="1478" t="s">
        <v>8</v>
      </c>
      <c r="S34" s="1479">
        <f t="shared" si="10"/>
        <v>100</v>
      </c>
      <c r="T34" s="1478" t="s">
        <v>8</v>
      </c>
      <c r="U34" s="1479">
        <f t="shared" si="11"/>
        <v>100</v>
      </c>
      <c r="V34" s="1478" t="s">
        <v>8</v>
      </c>
      <c r="W34" s="1479">
        <f t="shared" si="12"/>
        <v>100</v>
      </c>
      <c r="X34" s="1473"/>
      <c r="Y34" s="3183"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183"/>
      <c r="Q35" s="1477">
        <f t="shared" si="8"/>
        <v>111</v>
      </c>
      <c r="R35" s="1481" t="s">
        <v>8</v>
      </c>
      <c r="S35" s="1482">
        <f t="shared" si="10"/>
        <v>100</v>
      </c>
      <c r="T35" s="1481" t="s">
        <v>8</v>
      </c>
      <c r="U35" s="1482">
        <f t="shared" si="11"/>
        <v>100</v>
      </c>
      <c r="V35" s="1481" t="s">
        <v>8</v>
      </c>
      <c r="W35" s="1482">
        <f t="shared" si="12"/>
        <v>100</v>
      </c>
      <c r="X35" s="1483"/>
      <c r="Y35" s="3183"/>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183"/>
      <c r="Q36" s="1477" t="str">
        <f>B36</f>
        <v>宗地面积</v>
      </c>
      <c r="R36" s="1478" t="s">
        <v>8</v>
      </c>
      <c r="S36" s="1479" t="e">
        <f t="shared" si="10"/>
        <v>#N/A</v>
      </c>
      <c r="T36" s="1478" t="s">
        <v>8</v>
      </c>
      <c r="U36" s="1479" t="e">
        <f t="shared" si="11"/>
        <v>#N/A</v>
      </c>
      <c r="V36" s="1478" t="s">
        <v>8</v>
      </c>
      <c r="W36" s="1479" t="e">
        <f t="shared" si="12"/>
        <v>#N/A</v>
      </c>
      <c r="X36" s="1473"/>
      <c r="Y36" s="3183"/>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183"/>
      <c r="Q37" s="1477" t="str">
        <f t="shared" ref="Q37:Q42" si="14">B37</f>
        <v>宗地形状</v>
      </c>
      <c r="R37" s="1478" t="s">
        <v>8</v>
      </c>
      <c r="S37" s="1479">
        <f t="shared" si="10"/>
        <v>100</v>
      </c>
      <c r="T37" s="1478" t="s">
        <v>8</v>
      </c>
      <c r="U37" s="1479">
        <f t="shared" si="11"/>
        <v>100</v>
      </c>
      <c r="V37" s="1478" t="s">
        <v>8</v>
      </c>
      <c r="W37" s="1479">
        <f t="shared" si="12"/>
        <v>100</v>
      </c>
      <c r="X37" s="1473"/>
      <c r="Y37" s="3183"/>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183"/>
      <c r="Q38" s="1477" t="str">
        <f t="shared" si="14"/>
        <v>宗地开发程度</v>
      </c>
      <c r="R38" s="1474" t="s">
        <v>8</v>
      </c>
      <c r="S38" s="1475">
        <f t="shared" si="10"/>
        <v>100</v>
      </c>
      <c r="T38" s="1474" t="s">
        <v>8</v>
      </c>
      <c r="U38" s="1475">
        <f t="shared" si="11"/>
        <v>100</v>
      </c>
      <c r="V38" s="1474" t="s">
        <v>8</v>
      </c>
      <c r="W38" s="1475">
        <f t="shared" si="12"/>
        <v>100</v>
      </c>
      <c r="X38" s="1476"/>
      <c r="Y38" s="3183"/>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83" t="s">
        <v>601</v>
      </c>
      <c r="Q39" s="1477" t="str">
        <f t="shared" si="14"/>
        <v>工程地质条件</v>
      </c>
      <c r="R39" s="1478" t="s">
        <v>8</v>
      </c>
      <c r="S39" s="1479">
        <f t="shared" si="10"/>
        <v>100</v>
      </c>
      <c r="T39" s="1478" t="s">
        <v>8</v>
      </c>
      <c r="U39" s="1479">
        <f t="shared" si="11"/>
        <v>100</v>
      </c>
      <c r="V39" s="1478" t="s">
        <v>8</v>
      </c>
      <c r="W39" s="1479">
        <f t="shared" si="12"/>
        <v>100</v>
      </c>
      <c r="X39" s="1473"/>
      <c r="Y39" s="3183"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183"/>
      <c r="Q40" s="1477">
        <f t="shared" si="14"/>
        <v>111</v>
      </c>
      <c r="R40" s="1478" t="s">
        <v>8</v>
      </c>
      <c r="S40" s="1479">
        <f t="shared" si="10"/>
        <v>100</v>
      </c>
      <c r="T40" s="1478" t="s">
        <v>8</v>
      </c>
      <c r="U40" s="1479">
        <f t="shared" si="11"/>
        <v>100</v>
      </c>
      <c r="V40" s="1478" t="s">
        <v>8</v>
      </c>
      <c r="W40" s="1479">
        <f t="shared" si="12"/>
        <v>100</v>
      </c>
      <c r="X40" s="1473"/>
      <c r="Y40" s="3183"/>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183"/>
      <c r="Q41" s="1477">
        <f t="shared" si="14"/>
        <v>111</v>
      </c>
      <c r="R41" s="1478" t="s">
        <v>8</v>
      </c>
      <c r="S41" s="1479">
        <f t="shared" si="10"/>
        <v>100</v>
      </c>
      <c r="T41" s="1478" t="s">
        <v>8</v>
      </c>
      <c r="U41" s="1479">
        <f t="shared" si="11"/>
        <v>100</v>
      </c>
      <c r="V41" s="1478" t="s">
        <v>8</v>
      </c>
      <c r="W41" s="1479">
        <f t="shared" si="12"/>
        <v>100</v>
      </c>
      <c r="X41" s="1473"/>
      <c r="Y41" s="3183"/>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183"/>
      <c r="Q42" s="1477">
        <f t="shared" si="14"/>
        <v>111</v>
      </c>
      <c r="R42" s="1481" t="s">
        <v>8</v>
      </c>
      <c r="S42" s="1482">
        <f t="shared" si="10"/>
        <v>100</v>
      </c>
      <c r="T42" s="1481" t="s">
        <v>8</v>
      </c>
      <c r="U42" s="1482">
        <f t="shared" si="11"/>
        <v>100</v>
      </c>
      <c r="V42" s="1481" t="s">
        <v>8</v>
      </c>
      <c r="W42" s="1482">
        <f t="shared" si="12"/>
        <v>100</v>
      </c>
      <c r="X42" s="1483"/>
      <c r="Y42" s="3183"/>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78" t="str">
        <f>A43</f>
        <v>成交单价</v>
      </c>
      <c r="Q43" s="3178"/>
      <c r="R43" s="3192">
        <f>E43</f>
        <v>0</v>
      </c>
      <c r="S43" s="3192"/>
      <c r="T43" s="3192">
        <f>G43</f>
        <v>0</v>
      </c>
      <c r="U43" s="3192"/>
      <c r="V43" s="3192">
        <f>I43</f>
        <v>0</v>
      </c>
      <c r="W43" s="3192"/>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78" t="str">
        <f>A44</f>
        <v>比较价格（元/平方米）</v>
      </c>
      <c r="Q44" s="3178"/>
      <c r="R44" s="3202" t="e">
        <f>ROUND(PRODUCT(R43,AA9:AA42),0)</f>
        <v>#DIV/0!</v>
      </c>
      <c r="S44" s="3202"/>
      <c r="T44" s="3202" t="e">
        <f>ROUND(PRODUCT(T43,AB9:AB42),0)</f>
        <v>#DIV/0!</v>
      </c>
      <c r="U44" s="3202"/>
      <c r="V44" s="3202" t="e">
        <f>ROUND(PRODUCT(V43,AC9:AC42),0)</f>
        <v>#DIV/0!</v>
      </c>
      <c r="W44" s="3202"/>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99" t="str">
        <f>A45</f>
        <v>估价对象XX用房的比较价格（楼面单价，元/平方米）</v>
      </c>
      <c r="Q45" s="3200"/>
      <c r="R45" s="3201" t="e">
        <f>ROUND(AVERAGE(R44:V44),0)</f>
        <v>#DIV/0!</v>
      </c>
      <c r="S45" s="3201"/>
      <c r="T45" s="3201"/>
      <c r="U45" s="3201"/>
      <c r="V45" s="3201"/>
      <c r="W45" s="3201"/>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03" t="s">
        <v>2284</v>
      </c>
      <c r="H52" s="3204"/>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05"/>
      <c r="H53" s="3206"/>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07"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07"/>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07"/>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07"/>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2024-9-1</v>
      </c>
      <c r="D65" s="2548">
        <f>EDATE(C65,-3)</f>
        <v>45444</v>
      </c>
      <c r="E65" s="2548">
        <f t="shared" ref="E65:N65" si="18">EDATE(D65,-3)</f>
        <v>45352</v>
      </c>
      <c r="F65" s="2548">
        <f t="shared" si="18"/>
        <v>45261</v>
      </c>
      <c r="G65" s="2548">
        <f t="shared" si="18"/>
        <v>45170</v>
      </c>
      <c r="H65" s="2548">
        <f t="shared" si="18"/>
        <v>45078</v>
      </c>
      <c r="I65" s="2548">
        <f t="shared" si="18"/>
        <v>44986</v>
      </c>
      <c r="J65" s="2548">
        <f t="shared" si="18"/>
        <v>44896</v>
      </c>
      <c r="K65" s="2548">
        <f t="shared" si="18"/>
        <v>44805</v>
      </c>
      <c r="L65" s="2548">
        <f t="shared" si="18"/>
        <v>44713</v>
      </c>
      <c r="M65" s="2548">
        <f t="shared" si="18"/>
        <v>44621</v>
      </c>
      <c r="N65" s="2548">
        <f t="shared" si="18"/>
        <v>44531</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2024-3</v>
      </c>
      <c r="D67" s="162" t="str">
        <f t="shared" ref="D67:N67" si="19">YEAR(D65)&amp;"-"&amp;ROUNDUP(MONTH(D65)/3,0)</f>
        <v>2024-2</v>
      </c>
      <c r="E67" s="162" t="str">
        <f t="shared" si="19"/>
        <v>2024-1</v>
      </c>
      <c r="F67" s="162" t="str">
        <f t="shared" si="19"/>
        <v>2023-4</v>
      </c>
      <c r="G67" s="162" t="str">
        <f t="shared" si="19"/>
        <v>2023-3</v>
      </c>
      <c r="H67" s="162" t="str">
        <f t="shared" si="19"/>
        <v>2023-2</v>
      </c>
      <c r="I67" s="162" t="str">
        <f t="shared" si="19"/>
        <v>2023-1</v>
      </c>
      <c r="J67" s="162" t="str">
        <f t="shared" si="19"/>
        <v>2022-4</v>
      </c>
      <c r="K67" s="162" t="str">
        <f t="shared" si="19"/>
        <v>2022-3</v>
      </c>
      <c r="L67" s="162" t="str">
        <f t="shared" si="19"/>
        <v>2022-2</v>
      </c>
      <c r="M67" s="162" t="str">
        <f t="shared" si="19"/>
        <v>2022-1</v>
      </c>
      <c r="N67" s="162" t="str">
        <f t="shared" si="19"/>
        <v>2021-4</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3158</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15"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16"/>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26" t="s">
        <v>2783</v>
      </c>
      <c r="X8" s="3227"/>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16"/>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25"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16"/>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25"/>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16"/>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25"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15"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25"/>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17"/>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25"/>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17"/>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18"/>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15" t="s">
        <v>1838</v>
      </c>
      <c r="B16" s="1349" t="s">
        <v>950</v>
      </c>
      <c r="C16" s="999" t="e">
        <f>ROUND(IF(F17="与级别开发程度一致",0,(G17-E17)/C17),0)</f>
        <v>#DIV/0!</v>
      </c>
      <c r="D16" s="3233" t="s">
        <v>954</v>
      </c>
      <c r="E16" s="3234"/>
      <c r="F16" s="3233" t="s">
        <v>951</v>
      </c>
      <c r="G16" s="3234"/>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19"/>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45544</v>
      </c>
      <c r="H19" s="1387" t="s">
        <v>3159</v>
      </c>
      <c r="I19" s="2537" t="str">
        <f>IF(H19="季度增幅（自定义）",SUMIF(N21:N24,E2,O21:O24),"")</f>
        <v/>
      </c>
      <c r="J19" s="1383"/>
      <c r="K19" s="1393"/>
      <c r="L19" s="2765" t="s">
        <v>2841</v>
      </c>
      <c r="M19" s="2766">
        <f>ROUND(SUMIF(地价!B2:F2,E2,地价!B27:F27),0)</f>
        <v>230</v>
      </c>
      <c r="N19" s="2539" t="s">
        <v>1676</v>
      </c>
      <c r="O19" s="2538">
        <f>ROUNDDOWN(DATEDIF(E19,G19,"M")/3,0)</f>
        <v>42</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0.69189999999999996</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20.95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22"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23"/>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23"/>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24"/>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20" t="s">
        <v>1633</v>
      </c>
      <c r="B90" s="3220"/>
      <c r="C90" s="3220"/>
      <c r="D90" s="3220"/>
      <c r="E90" s="3220"/>
      <c r="F90" s="3220"/>
      <c r="G90" s="3220"/>
      <c r="H90" s="3220"/>
      <c r="I90" s="3220"/>
      <c r="J90" s="3220"/>
      <c r="K90" s="1095"/>
      <c r="L90" s="1095"/>
      <c r="M90" s="1095"/>
      <c r="N90" s="1095"/>
    </row>
    <row r="91" spans="1:40">
      <c r="A91" s="3221" t="s">
        <v>1443</v>
      </c>
      <c r="B91" s="3221" t="s">
        <v>1634</v>
      </c>
      <c r="C91" s="1081" t="s">
        <v>1635</v>
      </c>
      <c r="D91" s="1082"/>
      <c r="E91" s="1082"/>
      <c r="F91" s="1082"/>
      <c r="G91" s="1082"/>
      <c r="H91" s="1082"/>
      <c r="I91" s="1082"/>
      <c r="J91" s="1083"/>
      <c r="K91" s="1076"/>
      <c r="L91" s="1076"/>
      <c r="M91" s="1076"/>
      <c r="N91" s="1076"/>
    </row>
    <row r="92" spans="1:40">
      <c r="A92" s="3221"/>
      <c r="B92" s="3221"/>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28"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29"/>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29"/>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29"/>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29"/>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29"/>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29"/>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30"/>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28"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29"/>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29"/>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29"/>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29"/>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29"/>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29"/>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29"/>
      <c r="B108" s="3231"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30"/>
      <c r="B109" s="3232"/>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14" t="s">
        <v>1639</v>
      </c>
      <c r="B110" s="3214"/>
      <c r="C110" s="3214"/>
      <c r="D110" s="3214"/>
      <c r="E110" s="3214"/>
      <c r="F110" s="3214"/>
      <c r="G110" s="3214"/>
      <c r="H110" s="3214"/>
      <c r="I110" s="3214"/>
      <c r="J110" s="3214"/>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21" t="s">
        <v>1007</v>
      </c>
      <c r="B18" s="1094" t="s">
        <v>1446</v>
      </c>
      <c r="C18" s="1073" t="s">
        <v>1447</v>
      </c>
      <c r="D18" s="1074"/>
      <c r="E18" s="1094">
        <v>1</v>
      </c>
      <c r="F18" s="1075" t="s">
        <v>1448</v>
      </c>
      <c r="G18" s="1076"/>
    </row>
    <row r="19" spans="1:7" ht="19.5" customHeight="1">
      <c r="A19" s="3221"/>
      <c r="B19" s="3221" t="s">
        <v>1449</v>
      </c>
      <c r="C19" s="1073" t="s">
        <v>1450</v>
      </c>
      <c r="D19" s="1074"/>
      <c r="E19" s="1094">
        <v>0.9</v>
      </c>
      <c r="F19" s="1075" t="s">
        <v>1451</v>
      </c>
      <c r="G19" s="1076"/>
    </row>
    <row r="20" spans="1:7" ht="19.5" customHeight="1">
      <c r="A20" s="3221"/>
      <c r="B20" s="3221"/>
      <c r="C20" s="1073" t="s">
        <v>1452</v>
      </c>
      <c r="D20" s="1074"/>
      <c r="E20" s="1094">
        <v>1.1000000000000001</v>
      </c>
      <c r="F20" s="1075" t="s">
        <v>1453</v>
      </c>
      <c r="G20" s="1076"/>
    </row>
    <row r="21" spans="1:7" ht="19.5" customHeight="1">
      <c r="A21" s="3221"/>
      <c r="B21" s="3221"/>
      <c r="C21" s="1073" t="s">
        <v>1454</v>
      </c>
      <c r="D21" s="1074"/>
      <c r="E21" s="1094">
        <v>0.8</v>
      </c>
      <c r="F21" s="1075" t="s">
        <v>1455</v>
      </c>
      <c r="G21" s="1076"/>
    </row>
    <row r="22" spans="1:7" ht="19.5" customHeight="1">
      <c r="A22" s="3221"/>
      <c r="B22" s="3221"/>
      <c r="C22" s="1073" t="s">
        <v>1456</v>
      </c>
      <c r="D22" s="1074"/>
      <c r="E22" s="1094">
        <v>0.5</v>
      </c>
      <c r="F22" s="1075"/>
      <c r="G22" s="1076"/>
    </row>
    <row r="23" spans="1:7" ht="19.5" customHeight="1">
      <c r="A23" s="3221" t="s">
        <v>1029</v>
      </c>
      <c r="B23" s="1094" t="s">
        <v>1446</v>
      </c>
      <c r="C23" s="1073" t="s">
        <v>1457</v>
      </c>
      <c r="D23" s="1074"/>
      <c r="E23" s="1094">
        <v>1</v>
      </c>
      <c r="F23" s="1075" t="s">
        <v>1458</v>
      </c>
      <c r="G23" s="1076"/>
    </row>
    <row r="24" spans="1:7" ht="19.5" customHeight="1">
      <c r="A24" s="3221"/>
      <c r="B24" s="3221" t="s">
        <v>1449</v>
      </c>
      <c r="C24" s="1073" t="s">
        <v>1459</v>
      </c>
      <c r="D24" s="1074"/>
      <c r="E24" s="1094">
        <v>0.5</v>
      </c>
      <c r="F24" s="1075"/>
      <c r="G24" s="1076"/>
    </row>
    <row r="25" spans="1:7" ht="19.5" customHeight="1">
      <c r="A25" s="3221"/>
      <c r="B25" s="3221"/>
      <c r="C25" s="1073" t="s">
        <v>1460</v>
      </c>
      <c r="D25" s="1074"/>
      <c r="E25" s="1094">
        <v>1.1000000000000001</v>
      </c>
      <c r="F25" s="1075"/>
      <c r="G25" s="1076"/>
    </row>
    <row r="26" spans="1:7" ht="19.5" customHeight="1">
      <c r="A26" s="3221"/>
      <c r="B26" s="3221"/>
      <c r="C26" s="1073" t="s">
        <v>1461</v>
      </c>
      <c r="D26" s="1074"/>
      <c r="E26" s="1094">
        <v>1.1000000000000001</v>
      </c>
      <c r="F26" s="1075"/>
      <c r="G26" s="1076"/>
    </row>
    <row r="27" spans="1:7" ht="19.5" customHeight="1">
      <c r="A27" s="3221"/>
      <c r="B27" s="3221"/>
      <c r="C27" s="1073" t="s">
        <v>1462</v>
      </c>
      <c r="D27" s="1074"/>
      <c r="E27" s="1094">
        <v>0.9</v>
      </c>
      <c r="F27" s="1075" t="s">
        <v>1463</v>
      </c>
      <c r="G27" s="1076"/>
    </row>
    <row r="28" spans="1:7" ht="19.5" customHeight="1">
      <c r="A28" s="3221"/>
      <c r="B28" s="3221"/>
      <c r="C28" s="1073" t="s">
        <v>1464</v>
      </c>
      <c r="D28" s="1074"/>
      <c r="E28" s="1094">
        <v>0.9</v>
      </c>
      <c r="F28" s="1075" t="s">
        <v>1465</v>
      </c>
      <c r="G28" s="1076"/>
    </row>
    <row r="29" spans="1:7" ht="19.5" customHeight="1">
      <c r="A29" s="3221"/>
      <c r="B29" s="3221"/>
      <c r="C29" s="1073" t="s">
        <v>1466</v>
      </c>
      <c r="D29" s="1074"/>
      <c r="E29" s="1094">
        <v>0.9</v>
      </c>
      <c r="F29" s="1075" t="s">
        <v>1467</v>
      </c>
      <c r="G29" s="1076"/>
    </row>
    <row r="30" spans="1:7" ht="19.5" customHeight="1">
      <c r="A30" s="3221"/>
      <c r="B30" s="3221"/>
      <c r="C30" s="1073" t="s">
        <v>1468</v>
      </c>
      <c r="D30" s="1074"/>
      <c r="E30" s="1094">
        <v>0.9</v>
      </c>
      <c r="F30" s="1075" t="s">
        <v>1469</v>
      </c>
      <c r="G30" s="1076"/>
    </row>
    <row r="31" spans="1:7" ht="19.5" customHeight="1">
      <c r="A31" s="3221"/>
      <c r="B31" s="3221"/>
      <c r="C31" s="1073" t="s">
        <v>1470</v>
      </c>
      <c r="D31" s="1074"/>
      <c r="E31" s="1094">
        <v>0.8</v>
      </c>
      <c r="F31" s="1075" t="s">
        <v>1471</v>
      </c>
      <c r="G31" s="1076"/>
    </row>
    <row r="32" spans="1:7" ht="19.5" customHeight="1">
      <c r="A32" s="3221"/>
      <c r="B32" s="3221"/>
      <c r="C32" s="1073" t="s">
        <v>1472</v>
      </c>
      <c r="D32" s="1074"/>
      <c r="E32" s="1094">
        <v>0.8</v>
      </c>
      <c r="F32" s="1075" t="s">
        <v>1473</v>
      </c>
      <c r="G32" s="1076"/>
    </row>
    <row r="33" spans="1:8" ht="19.5" customHeight="1">
      <c r="A33" s="3221" t="s">
        <v>1474</v>
      </c>
      <c r="B33" s="1094" t="s">
        <v>1446</v>
      </c>
      <c r="C33" s="1073" t="s">
        <v>1475</v>
      </c>
      <c r="D33" s="1074"/>
      <c r="E33" s="1094">
        <v>1</v>
      </c>
      <c r="F33" s="1075" t="s">
        <v>1476</v>
      </c>
      <c r="G33" s="1076"/>
    </row>
    <row r="34" spans="1:8" ht="19.5" customHeight="1">
      <c r="A34" s="3221"/>
      <c r="B34" s="1094" t="s">
        <v>1449</v>
      </c>
      <c r="C34" s="1073" t="s">
        <v>1477</v>
      </c>
      <c r="D34" s="1074"/>
      <c r="E34" s="1094">
        <v>1.5</v>
      </c>
      <c r="F34" s="1075" t="s">
        <v>1478</v>
      </c>
      <c r="G34" s="1076"/>
    </row>
    <row r="35" spans="1:8" ht="19.5" customHeight="1">
      <c r="A35" s="3221" t="s">
        <v>1432</v>
      </c>
      <c r="B35" s="1094" t="s">
        <v>1446</v>
      </c>
      <c r="C35" s="1073" t="s">
        <v>1479</v>
      </c>
      <c r="D35" s="1074"/>
      <c r="E35" s="1094">
        <v>1</v>
      </c>
      <c r="F35" s="1075" t="s">
        <v>1480</v>
      </c>
      <c r="G35" s="1076"/>
    </row>
    <row r="36" spans="1:8" ht="19.5" customHeight="1">
      <c r="A36" s="3221"/>
      <c r="B36" s="3221" t="s">
        <v>1449</v>
      </c>
      <c r="C36" s="1073" t="s">
        <v>1481</v>
      </c>
      <c r="D36" s="1074"/>
      <c r="E36" s="1094">
        <v>1</v>
      </c>
      <c r="F36" s="1075" t="s">
        <v>1482</v>
      </c>
      <c r="G36" s="1076"/>
    </row>
    <row r="37" spans="1:8" ht="19.5" customHeight="1">
      <c r="A37" s="3221"/>
      <c r="B37" s="3221"/>
      <c r="C37" s="1073" t="s">
        <v>1483</v>
      </c>
      <c r="D37" s="1074"/>
      <c r="E37" s="1094">
        <v>1.5</v>
      </c>
      <c r="F37" s="1075" t="s">
        <v>1484</v>
      </c>
      <c r="G37" s="1076"/>
    </row>
    <row r="38" spans="1:8" ht="19.5" customHeight="1">
      <c r="A38" s="3221"/>
      <c r="B38" s="3221"/>
      <c r="C38" s="1073" t="s">
        <v>1485</v>
      </c>
      <c r="D38" s="1074"/>
      <c r="E38" s="1094">
        <v>1</v>
      </c>
      <c r="F38" s="1075" t="s">
        <v>1486</v>
      </c>
      <c r="G38" s="1076"/>
    </row>
    <row r="39" spans="1:8" ht="19.5" customHeight="1">
      <c r="A39" s="3221"/>
      <c r="B39" s="3221"/>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21" t="s">
        <v>1501</v>
      </c>
      <c r="C61" s="1011" t="s">
        <v>1502</v>
      </c>
      <c r="D61" s="1011" t="s">
        <v>1503</v>
      </c>
      <c r="E61" s="1080">
        <v>0.5</v>
      </c>
      <c r="F61" s="1094">
        <v>80</v>
      </c>
      <c r="H61" s="1047">
        <f>SUMIF(C59:C119,基准地价!C8,E59:E119)</f>
        <v>0</v>
      </c>
    </row>
    <row r="62" spans="1:8" s="1047" customFormat="1" ht="24">
      <c r="A62" s="1094">
        <v>2</v>
      </c>
      <c r="B62" s="3221"/>
      <c r="C62" s="1011" t="s">
        <v>1504</v>
      </c>
      <c r="D62" s="1011" t="s">
        <v>1505</v>
      </c>
      <c r="E62" s="1080">
        <v>0.5</v>
      </c>
      <c r="F62" s="1094">
        <v>80</v>
      </c>
    </row>
    <row r="63" spans="1:8" s="1047" customFormat="1" ht="36">
      <c r="A63" s="1094">
        <v>3</v>
      </c>
      <c r="B63" s="3221"/>
      <c r="C63" s="1011" t="s">
        <v>1506</v>
      </c>
      <c r="D63" s="1011" t="s">
        <v>1507</v>
      </c>
      <c r="E63" s="1080">
        <v>0.5</v>
      </c>
      <c r="F63" s="1094">
        <v>80</v>
      </c>
    </row>
    <row r="64" spans="1:8" s="1047" customFormat="1" ht="36">
      <c r="A64" s="1094">
        <v>4</v>
      </c>
      <c r="B64" s="3221"/>
      <c r="C64" s="1011" t="s">
        <v>1508</v>
      </c>
      <c r="D64" s="1011" t="s">
        <v>1509</v>
      </c>
      <c r="E64" s="1080">
        <v>0.4</v>
      </c>
      <c r="F64" s="1094">
        <v>60</v>
      </c>
    </row>
    <row r="65" spans="1:6" s="1047" customFormat="1" ht="36">
      <c r="A65" s="1094">
        <v>5</v>
      </c>
      <c r="B65" s="3221"/>
      <c r="C65" s="1011" t="s">
        <v>1510</v>
      </c>
      <c r="D65" s="1011" t="s">
        <v>1511</v>
      </c>
      <c r="E65" s="1080">
        <v>0.2</v>
      </c>
      <c r="F65" s="1094">
        <v>30</v>
      </c>
    </row>
    <row r="66" spans="1:6" s="1047" customFormat="1" ht="36">
      <c r="A66" s="1094">
        <v>6</v>
      </c>
      <c r="B66" s="3221"/>
      <c r="C66" s="1011" t="s">
        <v>1512</v>
      </c>
      <c r="D66" s="1011" t="s">
        <v>1513</v>
      </c>
      <c r="E66" s="1080">
        <v>0.3</v>
      </c>
      <c r="F66" s="1094">
        <v>50</v>
      </c>
    </row>
    <row r="67" spans="1:6" s="1047" customFormat="1" ht="36">
      <c r="A67" s="1094">
        <v>7</v>
      </c>
      <c r="B67" s="3221"/>
      <c r="C67" s="1011" t="s">
        <v>1514</v>
      </c>
      <c r="D67" s="1011" t="s">
        <v>1515</v>
      </c>
      <c r="E67" s="1080">
        <v>0.2</v>
      </c>
      <c r="F67" s="1094">
        <v>30</v>
      </c>
    </row>
    <row r="68" spans="1:6" s="1047" customFormat="1" ht="36">
      <c r="A68" s="1094">
        <v>8</v>
      </c>
      <c r="B68" s="3221"/>
      <c r="C68" s="1011" t="s">
        <v>1516</v>
      </c>
      <c r="D68" s="1011" t="s">
        <v>1517</v>
      </c>
      <c r="E68" s="1080">
        <v>0.2</v>
      </c>
      <c r="F68" s="1094">
        <v>30</v>
      </c>
    </row>
    <row r="69" spans="1:6" s="1047" customFormat="1" ht="36">
      <c r="A69" s="1094">
        <v>9</v>
      </c>
      <c r="B69" s="3221"/>
      <c r="C69" s="1011" t="s">
        <v>1518</v>
      </c>
      <c r="D69" s="1011" t="s">
        <v>1519</v>
      </c>
      <c r="E69" s="1080">
        <v>0.2</v>
      </c>
      <c r="F69" s="1094">
        <v>30</v>
      </c>
    </row>
    <row r="70" spans="1:6" s="1047" customFormat="1" ht="48">
      <c r="A70" s="1094">
        <v>10</v>
      </c>
      <c r="B70" s="3221"/>
      <c r="C70" s="1011" t="s">
        <v>1520</v>
      </c>
      <c r="D70" s="1011" t="s">
        <v>1521</v>
      </c>
      <c r="E70" s="1080">
        <v>0.2</v>
      </c>
      <c r="F70" s="1094">
        <v>30</v>
      </c>
    </row>
    <row r="71" spans="1:6" s="1047" customFormat="1" ht="48">
      <c r="A71" s="1094">
        <v>11</v>
      </c>
      <c r="B71" s="3221"/>
      <c r="C71" s="1011" t="s">
        <v>1522</v>
      </c>
      <c r="D71" s="1011" t="s">
        <v>1523</v>
      </c>
      <c r="E71" s="1080">
        <v>0.2</v>
      </c>
      <c r="F71" s="1094">
        <v>30</v>
      </c>
    </row>
    <row r="72" spans="1:6" s="1047" customFormat="1" ht="36">
      <c r="A72" s="1094">
        <v>12</v>
      </c>
      <c r="B72" s="3221"/>
      <c r="C72" s="1011" t="s">
        <v>1524</v>
      </c>
      <c r="D72" s="1011" t="s">
        <v>1525</v>
      </c>
      <c r="E72" s="1080">
        <v>0.5</v>
      </c>
      <c r="F72" s="1094">
        <v>80</v>
      </c>
    </row>
    <row r="73" spans="1:6" s="1047" customFormat="1" ht="24">
      <c r="A73" s="1094">
        <v>13</v>
      </c>
      <c r="B73" s="3221"/>
      <c r="C73" s="1011" t="s">
        <v>1526</v>
      </c>
      <c r="D73" s="1011" t="s">
        <v>1527</v>
      </c>
      <c r="E73" s="1080">
        <v>0.4</v>
      </c>
      <c r="F73" s="1094">
        <v>60</v>
      </c>
    </row>
    <row r="74" spans="1:6" s="1047" customFormat="1" ht="24">
      <c r="A74" s="1094">
        <v>14</v>
      </c>
      <c r="B74" s="3221"/>
      <c r="C74" s="1011" t="s">
        <v>1528</v>
      </c>
      <c r="D74" s="1011" t="s">
        <v>1529</v>
      </c>
      <c r="E74" s="1080">
        <v>0.2</v>
      </c>
      <c r="F74" s="1094">
        <v>30</v>
      </c>
    </row>
    <row r="75" spans="1:6" s="1047" customFormat="1" ht="24">
      <c r="A75" s="1094">
        <v>15</v>
      </c>
      <c r="B75" s="3221"/>
      <c r="C75" s="1011" t="s">
        <v>1530</v>
      </c>
      <c r="D75" s="1011" t="s">
        <v>1531</v>
      </c>
      <c r="E75" s="1080">
        <v>0.2</v>
      </c>
      <c r="F75" s="1094">
        <v>30</v>
      </c>
    </row>
    <row r="76" spans="1:6" s="1047" customFormat="1" ht="24">
      <c r="A76" s="1094">
        <v>16</v>
      </c>
      <c r="B76" s="3221" t="s">
        <v>1532</v>
      </c>
      <c r="C76" s="1011" t="s">
        <v>1533</v>
      </c>
      <c r="D76" s="1011" t="s">
        <v>1534</v>
      </c>
      <c r="E76" s="1080">
        <v>0.5</v>
      </c>
      <c r="F76" s="1094">
        <v>80</v>
      </c>
    </row>
    <row r="77" spans="1:6" s="1047" customFormat="1" ht="24">
      <c r="A77" s="1094">
        <v>17</v>
      </c>
      <c r="B77" s="3221"/>
      <c r="C77" s="1011" t="s">
        <v>1535</v>
      </c>
      <c r="D77" s="1011" t="s">
        <v>1536</v>
      </c>
      <c r="E77" s="1080">
        <v>0.5</v>
      </c>
      <c r="F77" s="1094">
        <v>80</v>
      </c>
    </row>
    <row r="78" spans="1:6" s="1047" customFormat="1" ht="24">
      <c r="A78" s="1094">
        <v>18</v>
      </c>
      <c r="B78" s="3221"/>
      <c r="C78" s="1011" t="s">
        <v>1537</v>
      </c>
      <c r="D78" s="1011" t="s">
        <v>1538</v>
      </c>
      <c r="E78" s="1080">
        <v>0.2</v>
      </c>
      <c r="F78" s="1094">
        <v>30</v>
      </c>
    </row>
    <row r="79" spans="1:6" s="1047" customFormat="1" ht="24">
      <c r="A79" s="1094">
        <v>19</v>
      </c>
      <c r="B79" s="3221"/>
      <c r="C79" s="1011" t="s">
        <v>1539</v>
      </c>
      <c r="D79" s="1011" t="s">
        <v>1540</v>
      </c>
      <c r="E79" s="1080">
        <v>0.5</v>
      </c>
      <c r="F79" s="1094">
        <v>80</v>
      </c>
    </row>
    <row r="80" spans="1:6" s="1047" customFormat="1" ht="36">
      <c r="A80" s="1094">
        <v>20</v>
      </c>
      <c r="B80" s="3221"/>
      <c r="C80" s="1011" t="s">
        <v>1541</v>
      </c>
      <c r="D80" s="1011" t="s">
        <v>1542</v>
      </c>
      <c r="E80" s="1080">
        <v>0.2</v>
      </c>
      <c r="F80" s="1094">
        <v>30</v>
      </c>
    </row>
    <row r="81" spans="1:6" s="1047" customFormat="1" ht="36">
      <c r="A81" s="1094">
        <v>21</v>
      </c>
      <c r="B81" s="3221"/>
      <c r="C81" s="1011" t="s">
        <v>1543</v>
      </c>
      <c r="D81" s="1011" t="s">
        <v>1544</v>
      </c>
      <c r="E81" s="1080">
        <v>0.2</v>
      </c>
      <c r="F81" s="1094">
        <v>30</v>
      </c>
    </row>
    <row r="82" spans="1:6" s="1047" customFormat="1" ht="48">
      <c r="A82" s="1094">
        <v>22</v>
      </c>
      <c r="B82" s="3221"/>
      <c r="C82" s="1011" t="s">
        <v>1545</v>
      </c>
      <c r="D82" s="1011" t="s">
        <v>1546</v>
      </c>
      <c r="E82" s="1080">
        <v>0.2</v>
      </c>
      <c r="F82" s="1094">
        <v>30</v>
      </c>
    </row>
    <row r="83" spans="1:6" s="1047" customFormat="1" ht="48">
      <c r="A83" s="1094">
        <v>23</v>
      </c>
      <c r="B83" s="3221"/>
      <c r="C83" s="1011" t="s">
        <v>1547</v>
      </c>
      <c r="D83" s="1011" t="s">
        <v>1548</v>
      </c>
      <c r="E83" s="1080">
        <v>0.2</v>
      </c>
      <c r="F83" s="1094">
        <v>30</v>
      </c>
    </row>
    <row r="84" spans="1:6" s="1047" customFormat="1" ht="36">
      <c r="A84" s="1094">
        <v>24</v>
      </c>
      <c r="B84" s="3221"/>
      <c r="C84" s="1011" t="s">
        <v>1549</v>
      </c>
      <c r="D84" s="1011" t="s">
        <v>1550</v>
      </c>
      <c r="E84" s="1080">
        <v>0.2</v>
      </c>
      <c r="F84" s="1094">
        <v>30</v>
      </c>
    </row>
    <row r="85" spans="1:6" s="1047" customFormat="1" ht="36">
      <c r="A85" s="1094">
        <v>25</v>
      </c>
      <c r="B85" s="3221"/>
      <c r="C85" s="1011" t="s">
        <v>1551</v>
      </c>
      <c r="D85" s="1011" t="s">
        <v>1552</v>
      </c>
      <c r="E85" s="1080">
        <v>0.5</v>
      </c>
      <c r="F85" s="1094">
        <v>80</v>
      </c>
    </row>
    <row r="86" spans="1:6" s="1047" customFormat="1" ht="36">
      <c r="A86" s="1094">
        <v>26</v>
      </c>
      <c r="B86" s="3221"/>
      <c r="C86" s="1011" t="s">
        <v>1553</v>
      </c>
      <c r="D86" s="1011" t="s">
        <v>1554</v>
      </c>
      <c r="E86" s="1080">
        <v>0.2</v>
      </c>
      <c r="F86" s="1094">
        <v>30</v>
      </c>
    </row>
    <row r="87" spans="1:6" s="1047" customFormat="1" ht="36">
      <c r="A87" s="1094">
        <v>27</v>
      </c>
      <c r="B87" s="3221"/>
      <c r="C87" s="1011" t="s">
        <v>1555</v>
      </c>
      <c r="D87" s="1011" t="s">
        <v>1556</v>
      </c>
      <c r="E87" s="1080">
        <v>0.2</v>
      </c>
      <c r="F87" s="1094">
        <v>30</v>
      </c>
    </row>
    <row r="88" spans="1:6" s="1047" customFormat="1" ht="36">
      <c r="A88" s="1094">
        <v>28</v>
      </c>
      <c r="B88" s="3221"/>
      <c r="C88" s="1011" t="s">
        <v>1557</v>
      </c>
      <c r="D88" s="1011" t="s">
        <v>1558</v>
      </c>
      <c r="E88" s="1080">
        <v>0.2</v>
      </c>
      <c r="F88" s="1094">
        <v>30</v>
      </c>
    </row>
    <row r="89" spans="1:6" s="1047" customFormat="1" ht="24">
      <c r="A89" s="1094">
        <v>29</v>
      </c>
      <c r="B89" s="3221"/>
      <c r="C89" s="1011" t="s">
        <v>1559</v>
      </c>
      <c r="D89" s="1011" t="s">
        <v>1560</v>
      </c>
      <c r="E89" s="1080">
        <v>0.2</v>
      </c>
      <c r="F89" s="1094">
        <v>30</v>
      </c>
    </row>
    <row r="90" spans="1:6" s="1047" customFormat="1" ht="24">
      <c r="A90" s="1094">
        <v>30</v>
      </c>
      <c r="B90" s="3221"/>
      <c r="C90" s="1011" t="s">
        <v>1561</v>
      </c>
      <c r="D90" s="1011" t="s">
        <v>1562</v>
      </c>
      <c r="E90" s="1080">
        <v>0.2</v>
      </c>
      <c r="F90" s="1094">
        <v>30</v>
      </c>
    </row>
    <row r="91" spans="1:6" s="1047" customFormat="1" ht="36">
      <c r="A91" s="1094">
        <v>31</v>
      </c>
      <c r="B91" s="3221"/>
      <c r="C91" s="1011" t="s">
        <v>1563</v>
      </c>
      <c r="D91" s="1011" t="s">
        <v>1564</v>
      </c>
      <c r="E91" s="1080">
        <v>0.2</v>
      </c>
      <c r="F91" s="1094">
        <v>30</v>
      </c>
    </row>
    <row r="92" spans="1:6" s="1047" customFormat="1" ht="24">
      <c r="A92" s="1094">
        <v>32</v>
      </c>
      <c r="B92" s="3221" t="s">
        <v>1565</v>
      </c>
      <c r="C92" s="1094" t="s">
        <v>1566</v>
      </c>
      <c r="D92" s="1011" t="s">
        <v>1567</v>
      </c>
      <c r="E92" s="1080">
        <v>0.2</v>
      </c>
      <c r="F92" s="1094">
        <v>30</v>
      </c>
    </row>
    <row r="93" spans="1:6" s="1047" customFormat="1" ht="36">
      <c r="A93" s="1094">
        <v>33</v>
      </c>
      <c r="B93" s="3221"/>
      <c r="C93" s="1094" t="s">
        <v>1568</v>
      </c>
      <c r="D93" s="1011" t="s">
        <v>1569</v>
      </c>
      <c r="E93" s="1080">
        <v>0.2</v>
      </c>
      <c r="F93" s="1094">
        <v>30</v>
      </c>
    </row>
    <row r="94" spans="1:6" s="1047" customFormat="1" ht="48">
      <c r="A94" s="1094">
        <v>34</v>
      </c>
      <c r="B94" s="3221"/>
      <c r="C94" s="1094" t="s">
        <v>1570</v>
      </c>
      <c r="D94" s="1011" t="s">
        <v>1571</v>
      </c>
      <c r="E94" s="1080">
        <v>0.2</v>
      </c>
      <c r="F94" s="1094">
        <v>30</v>
      </c>
    </row>
    <row r="95" spans="1:6" s="1047" customFormat="1" ht="36">
      <c r="A95" s="1094">
        <v>35</v>
      </c>
      <c r="B95" s="3221"/>
      <c r="C95" s="1094" t="s">
        <v>1572</v>
      </c>
      <c r="D95" s="1011" t="s">
        <v>1573</v>
      </c>
      <c r="E95" s="1080">
        <v>0.2</v>
      </c>
      <c r="F95" s="1094">
        <v>30</v>
      </c>
    </row>
    <row r="96" spans="1:6" s="1047" customFormat="1" ht="48">
      <c r="A96" s="1094">
        <v>36</v>
      </c>
      <c r="B96" s="3221"/>
      <c r="C96" s="1011" t="s">
        <v>1574</v>
      </c>
      <c r="D96" s="1011" t="s">
        <v>1575</v>
      </c>
      <c r="E96" s="1080">
        <v>0.2</v>
      </c>
      <c r="F96" s="1094">
        <v>30</v>
      </c>
    </row>
    <row r="97" spans="1:6" s="1047" customFormat="1" ht="36">
      <c r="A97" s="1094">
        <v>37</v>
      </c>
      <c r="B97" s="3221"/>
      <c r="C97" s="1094" t="s">
        <v>1576</v>
      </c>
      <c r="D97" s="1011" t="s">
        <v>1577</v>
      </c>
      <c r="E97" s="1080">
        <v>0.2</v>
      </c>
      <c r="F97" s="1094">
        <v>30</v>
      </c>
    </row>
    <row r="98" spans="1:6" s="1047" customFormat="1" ht="36">
      <c r="A98" s="1094">
        <v>38</v>
      </c>
      <c r="B98" s="3221"/>
      <c r="C98" s="1094" t="s">
        <v>1578</v>
      </c>
      <c r="D98" s="1011" t="s">
        <v>1579</v>
      </c>
      <c r="E98" s="1080">
        <v>0.2</v>
      </c>
      <c r="F98" s="1094">
        <v>30</v>
      </c>
    </row>
    <row r="99" spans="1:6" s="1047" customFormat="1" ht="36">
      <c r="A99" s="1094">
        <v>39</v>
      </c>
      <c r="B99" s="3221" t="s">
        <v>1580</v>
      </c>
      <c r="C99" s="1094" t="s">
        <v>1581</v>
      </c>
      <c r="D99" s="1011" t="s">
        <v>1582</v>
      </c>
      <c r="E99" s="1080">
        <v>0.3</v>
      </c>
      <c r="F99" s="1094">
        <v>50</v>
      </c>
    </row>
    <row r="100" spans="1:6" s="1047" customFormat="1" ht="24">
      <c r="A100" s="1094">
        <v>40</v>
      </c>
      <c r="B100" s="3221"/>
      <c r="C100" s="1094" t="s">
        <v>1583</v>
      </c>
      <c r="D100" s="1011" t="s">
        <v>1584</v>
      </c>
      <c r="E100" s="1080">
        <v>0.2</v>
      </c>
      <c r="F100" s="1094">
        <v>30</v>
      </c>
    </row>
    <row r="101" spans="1:6" s="1047" customFormat="1" ht="36">
      <c r="A101" s="1094">
        <v>41</v>
      </c>
      <c r="B101" s="3221"/>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21" t="s">
        <v>1595</v>
      </c>
      <c r="C105" s="1094" t="s">
        <v>1596</v>
      </c>
      <c r="D105" s="1011" t="s">
        <v>1597</v>
      </c>
      <c r="E105" s="1080">
        <v>0.2</v>
      </c>
      <c r="F105" s="1094">
        <v>30</v>
      </c>
    </row>
    <row r="106" spans="1:6" s="1047" customFormat="1" ht="36">
      <c r="A106" s="1094">
        <v>46</v>
      </c>
      <c r="B106" s="3221"/>
      <c r="C106" s="1094" t="s">
        <v>1598</v>
      </c>
      <c r="D106" s="1011" t="s">
        <v>1599</v>
      </c>
      <c r="E106" s="1080">
        <v>0.2</v>
      </c>
      <c r="F106" s="1094">
        <v>30</v>
      </c>
    </row>
    <row r="107" spans="1:6" s="1047" customFormat="1" ht="36">
      <c r="A107" s="1094">
        <v>47</v>
      </c>
      <c r="B107" s="3221" t="s">
        <v>1600</v>
      </c>
      <c r="C107" s="1094" t="s">
        <v>1601</v>
      </c>
      <c r="D107" s="1011" t="s">
        <v>1602</v>
      </c>
      <c r="E107" s="1080">
        <v>0.3</v>
      </c>
      <c r="F107" s="1094">
        <v>50</v>
      </c>
    </row>
    <row r="108" spans="1:6" s="1047" customFormat="1" ht="36">
      <c r="A108" s="1094">
        <v>48</v>
      </c>
      <c r="B108" s="3221"/>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21" t="s">
        <v>1611</v>
      </c>
      <c r="C111" s="1094" t="s">
        <v>1612</v>
      </c>
      <c r="D111" s="1011" t="s">
        <v>1613</v>
      </c>
      <c r="E111" s="1080">
        <v>0.2</v>
      </c>
      <c r="F111" s="1094">
        <v>30</v>
      </c>
    </row>
    <row r="112" spans="1:6" s="1047" customFormat="1" ht="24">
      <c r="A112" s="1094">
        <v>52</v>
      </c>
      <c r="B112" s="3221"/>
      <c r="C112" s="1094" t="s">
        <v>1614</v>
      </c>
      <c r="D112" s="1011" t="s">
        <v>1615</v>
      </c>
      <c r="E112" s="1080">
        <v>0.2</v>
      </c>
      <c r="F112" s="1094">
        <v>30</v>
      </c>
    </row>
    <row r="113" spans="1:14" s="1047" customFormat="1" ht="24">
      <c r="A113" s="1094">
        <v>53</v>
      </c>
      <c r="B113" s="3221"/>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21" t="s">
        <v>1624</v>
      </c>
      <c r="C116" s="1094" t="s">
        <v>1625</v>
      </c>
      <c r="D116" s="1011" t="s">
        <v>1626</v>
      </c>
      <c r="E116" s="1080">
        <v>0.2</v>
      </c>
      <c r="F116" s="1094">
        <v>30</v>
      </c>
    </row>
    <row r="117" spans="1:14" ht="36">
      <c r="A117" s="1094">
        <v>57</v>
      </c>
      <c r="B117" s="3221"/>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20" t="s">
        <v>1633</v>
      </c>
      <c r="B121" s="3220"/>
      <c r="C121" s="3220"/>
      <c r="D121" s="3220"/>
      <c r="E121" s="3220"/>
      <c r="F121" s="3220"/>
      <c r="G121" s="3220"/>
      <c r="H121" s="3220"/>
      <c r="I121" s="3220"/>
      <c r="J121" s="3220"/>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5" t="s">
        <v>1039</v>
      </c>
      <c r="B1" s="3235"/>
      <c r="C1" s="3235"/>
      <c r="D1" s="3235"/>
      <c r="E1" s="3235"/>
      <c r="F1" s="3235"/>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6" t="s">
        <v>1052</v>
      </c>
      <c r="B2" s="3236"/>
      <c r="C2" s="3236"/>
      <c r="D2" s="3236"/>
      <c r="E2" s="3236"/>
      <c r="F2" s="3236"/>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7"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8"/>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39" t="s">
        <v>2079</v>
      </c>
      <c r="B1" s="3239"/>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2" t="s">
        <v>2576</v>
      </c>
      <c r="C1" s="3242"/>
      <c r="D1" s="3242"/>
      <c r="E1" s="3242"/>
      <c r="F1" s="3242"/>
      <c r="G1" s="3241" t="s">
        <v>2577</v>
      </c>
      <c r="H1" s="3241"/>
      <c r="I1" s="3241"/>
      <c r="J1" s="3241"/>
      <c r="K1" s="3241"/>
      <c r="L1" s="3241"/>
      <c r="N1" s="3241" t="s">
        <v>2578</v>
      </c>
      <c r="O1" s="3241"/>
      <c r="P1" s="3241"/>
      <c r="Q1" s="3241"/>
      <c r="R1" s="2425"/>
      <c r="S1" s="3241" t="s">
        <v>2579</v>
      </c>
      <c r="T1" s="3241"/>
      <c r="U1" s="3241"/>
      <c r="V1" s="3241"/>
      <c r="X1" s="3240" t="s">
        <v>2639</v>
      </c>
      <c r="Y1" s="3241"/>
      <c r="Z1" s="3241"/>
      <c r="AA1" s="3241"/>
      <c r="AB1" s="3241"/>
      <c r="AD1" s="3240" t="s">
        <v>2643</v>
      </c>
      <c r="AE1" s="3241"/>
      <c r="AF1" s="3241"/>
      <c r="AG1" s="3241"/>
      <c r="AH1" s="3241"/>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44">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44"/>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44"/>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50"/>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49">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44"/>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44"/>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50"/>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9">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44"/>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44"/>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5"/>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43">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44"/>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44"/>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5"/>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43">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44"/>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44"/>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5"/>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6">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47"/>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47"/>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48"/>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43">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44"/>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44"/>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5"/>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43">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44">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44">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5">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43">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44">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44">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5">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43">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44">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44">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5">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43">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44">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44">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5">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43">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44">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44">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5">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43">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44">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44">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5">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43">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44">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44">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5">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43">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44">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44">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5">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43">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44">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44">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5">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43">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44">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44">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5">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52" t="s">
        <v>2463</v>
      </c>
      <c r="C8" s="1713">
        <f ca="1">ROUND(F8*F10*F9*(1-F11)/10000,0)</f>
        <v>0</v>
      </c>
      <c r="D8" s="324" t="s">
        <v>2534</v>
      </c>
      <c r="E8" s="59" t="s">
        <v>637</v>
      </c>
      <c r="F8" s="751">
        <f ca="1">INDIRECT("'数据-取费表'!u"&amp;$G$1)</f>
        <v>0</v>
      </c>
      <c r="G8" s="1278"/>
      <c r="H8" s="2303" t="s">
        <v>1824</v>
      </c>
      <c r="I8" s="3252" t="s">
        <v>2463</v>
      </c>
      <c r="J8" s="749">
        <f ca="1">ROUND(M8*M10*M9*(1-M11)/10000,0)</f>
        <v>0</v>
      </c>
      <c r="K8" s="322" t="s">
        <v>2534</v>
      </c>
      <c r="L8" s="750" t="s">
        <v>1738</v>
      </c>
      <c r="M8" s="751">
        <f ca="1">INDIRECT("'数据-取费表'!z"&amp;$G$1)</f>
        <v>0</v>
      </c>
    </row>
    <row r="9" spans="1:25" ht="18" customHeight="1">
      <c r="A9" s="2299"/>
      <c r="B9" s="3253"/>
      <c r="C9" s="1714"/>
      <c r="D9" s="337"/>
      <c r="E9" s="59" t="s">
        <v>638</v>
      </c>
      <c r="F9" s="751">
        <f ca="1">IF(INDIRECT("'数据-取费表'!ah"&amp;$G$1)="",INDIRECT("'数据-取费表'!k"&amp;$G$1),INDIRECT("'数据-取费表'!ah"&amp;$G$1))</f>
        <v>0</v>
      </c>
      <c r="G9" s="1278"/>
      <c r="H9" s="2288"/>
      <c r="I9" s="3253"/>
      <c r="J9" s="754"/>
      <c r="K9" s="755"/>
      <c r="L9" s="750" t="s">
        <v>1739</v>
      </c>
      <c r="M9" s="751">
        <f ca="1">F9</f>
        <v>0</v>
      </c>
    </row>
    <row r="10" spans="1:25" ht="18" customHeight="1">
      <c r="A10" s="2292"/>
      <c r="B10" s="3254"/>
      <c r="C10" s="1714"/>
      <c r="D10" s="337"/>
      <c r="E10" s="59" t="s">
        <v>639</v>
      </c>
      <c r="F10" s="751">
        <f ca="1">INDIRECT("'数据-取费表'!ai"&amp;$G$1)</f>
        <v>0</v>
      </c>
      <c r="G10" s="1278"/>
      <c r="H10" s="2288"/>
      <c r="I10" s="3254"/>
      <c r="J10" s="754"/>
      <c r="K10" s="755"/>
      <c r="L10" s="750" t="s">
        <v>1740</v>
      </c>
      <c r="M10" s="751">
        <f ca="1">INDIRECT("'数据-取费表'!ai"&amp;$G$1)</f>
        <v>0</v>
      </c>
    </row>
    <row r="11" spans="1:25" ht="18" customHeight="1">
      <c r="A11" s="752"/>
      <c r="B11" s="3255"/>
      <c r="C11" s="1714"/>
      <c r="D11" s="337"/>
      <c r="E11" s="59" t="s">
        <v>640</v>
      </c>
      <c r="F11" s="760">
        <f ca="1">INDIRECT("'数据-取费表'!w"&amp;$G$1)</f>
        <v>0</v>
      </c>
      <c r="G11" s="1278"/>
      <c r="H11" s="2304"/>
      <c r="I11" s="3254"/>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51"/>
      <c r="J36" s="1933"/>
      <c r="K36" s="1934"/>
      <c r="L36" s="1933"/>
      <c r="M36" s="1933"/>
    </row>
    <row r="37" spans="1:18" ht="18" customHeight="1">
      <c r="A37" s="781"/>
      <c r="B37" s="759"/>
      <c r="C37" s="67"/>
      <c r="D37" s="782"/>
      <c r="E37" s="750" t="s">
        <v>674</v>
      </c>
      <c r="F37" s="751">
        <f ca="1">INDIRECT("'数据-取费表'!r"&amp;$G$1)</f>
        <v>0</v>
      </c>
      <c r="G37" s="1911"/>
      <c r="H37" s="1920"/>
      <c r="I37" s="3251"/>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56"/>
      <c r="L54" s="3257"/>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52" t="s">
        <v>2463</v>
      </c>
      <c r="C6" s="749">
        <f ca="1">ROUND(F6*F8*F7*(1-F9)/10000,0)</f>
        <v>0</v>
      </c>
      <c r="D6" s="2296" t="s">
        <v>2462</v>
      </c>
      <c r="E6" s="750" t="s">
        <v>1738</v>
      </c>
      <c r="F6" s="751">
        <f ca="1">INDIRECT("'数据-取费表'!u"&amp;$G$1)</f>
        <v>0</v>
      </c>
      <c r="G6" s="1278"/>
      <c r="H6" s="2303" t="s">
        <v>2468</v>
      </c>
      <c r="I6" s="3252" t="s">
        <v>2463</v>
      </c>
      <c r="J6" s="749">
        <f ca="1">ROUND(M6*M8*M7*(1-M9)/10000,0)</f>
        <v>0</v>
      </c>
      <c r="K6" s="322" t="s">
        <v>1737</v>
      </c>
      <c r="L6" s="750" t="s">
        <v>1738</v>
      </c>
      <c r="M6" s="751">
        <f ca="1">INDIRECT("'数据-取费表'!z"&amp;$G$1)</f>
        <v>0</v>
      </c>
    </row>
    <row r="7" spans="1:33" ht="18" customHeight="1">
      <c r="A7" s="2299"/>
      <c r="B7" s="3253"/>
      <c r="C7" s="754"/>
      <c r="D7" s="755"/>
      <c r="E7" s="750" t="s">
        <v>1739</v>
      </c>
      <c r="F7" s="751">
        <f ca="1">IF(INDIRECT("'数据-取费表'!ah"&amp;$G$1)="",INDIRECT("'数据-取费表'!k"&amp;$G$1),INDIRECT("'数据-取费表'!ah"&amp;$G$1))</f>
        <v>0</v>
      </c>
      <c r="G7" s="1278"/>
      <c r="H7" s="2288"/>
      <c r="I7" s="3253"/>
      <c r="J7" s="754"/>
      <c r="K7" s="755"/>
      <c r="L7" s="750" t="s">
        <v>1739</v>
      </c>
      <c r="M7" s="751">
        <f ca="1">F7</f>
        <v>0</v>
      </c>
    </row>
    <row r="8" spans="1:33" ht="18" customHeight="1">
      <c r="A8" s="2292"/>
      <c r="B8" s="3254"/>
      <c r="C8" s="754"/>
      <c r="D8" s="755"/>
      <c r="E8" s="750" t="s">
        <v>1740</v>
      </c>
      <c r="F8" s="751">
        <f ca="1">INDIRECT("'数据-取费表'!ai"&amp;$G$1)</f>
        <v>0</v>
      </c>
      <c r="G8" s="1278"/>
      <c r="H8" s="2288"/>
      <c r="I8" s="3254"/>
      <c r="J8" s="754"/>
      <c r="K8" s="755"/>
      <c r="L8" s="750" t="s">
        <v>1740</v>
      </c>
      <c r="M8" s="751">
        <f ca="1">INDIRECT("'数据-取费表'!ai"&amp;$G$1)</f>
        <v>0</v>
      </c>
    </row>
    <row r="9" spans="1:33" ht="18" customHeight="1">
      <c r="A9" s="752"/>
      <c r="B9" s="3255"/>
      <c r="C9" s="754"/>
      <c r="D9" s="755"/>
      <c r="E9" s="750" t="s">
        <v>1741</v>
      </c>
      <c r="F9" s="760">
        <f ca="1">INDIRECT("'数据-取费表'!w"&amp;$G$1)</f>
        <v>0</v>
      </c>
      <c r="G9" s="1278"/>
      <c r="H9" s="2304"/>
      <c r="I9" s="3254"/>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58" t="s">
        <v>2967</v>
      </c>
      <c r="L53" s="3259"/>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76" t="s">
        <v>2471</v>
      </c>
      <c r="B1" s="3277"/>
      <c r="C1" s="3278"/>
      <c r="D1" s="3279">
        <f>SUM(I10,I15,I20,I21,I23)</f>
        <v>0</v>
      </c>
      <c r="E1" s="3279"/>
      <c r="F1" s="3279"/>
      <c r="G1" s="3279"/>
      <c r="H1" s="3279"/>
      <c r="I1" s="3280"/>
    </row>
    <row r="2" spans="1:9">
      <c r="A2" s="3266" t="s">
        <v>2472</v>
      </c>
      <c r="B2" s="3267" t="s">
        <v>2473</v>
      </c>
      <c r="C2" s="3267"/>
      <c r="D2" s="2306" t="s">
        <v>2474</v>
      </c>
      <c r="E2" s="2306" t="s">
        <v>2475</v>
      </c>
      <c r="F2" s="2306" t="s">
        <v>2476</v>
      </c>
      <c r="G2" s="2306" t="s">
        <v>2477</v>
      </c>
      <c r="H2" s="2306" t="s">
        <v>2478</v>
      </c>
      <c r="I2" s="2307" t="s">
        <v>2479</v>
      </c>
    </row>
    <row r="3" spans="1:9">
      <c r="A3" s="3266"/>
      <c r="B3" s="3267" t="s">
        <v>2480</v>
      </c>
      <c r="C3" s="3267"/>
      <c r="D3" s="2308"/>
      <c r="E3" s="2306"/>
      <c r="F3" s="2309"/>
      <c r="G3" s="2309"/>
      <c r="H3" s="2310"/>
      <c r="I3" s="2311">
        <f>ROUND(D3*E3*F3*G3*H3/10000,0)</f>
        <v>0</v>
      </c>
    </row>
    <row r="4" spans="1:9">
      <c r="A4" s="3266"/>
      <c r="B4" s="3267" t="s">
        <v>2481</v>
      </c>
      <c r="C4" s="3267"/>
      <c r="D4" s="2308"/>
      <c r="E4" s="2306"/>
      <c r="F4" s="2309"/>
      <c r="G4" s="2309"/>
      <c r="H4" s="2310"/>
      <c r="I4" s="2311">
        <f t="shared" ref="I4:I9" si="0">ROUND(D4*E4*F4*G4*H4/10000,0)</f>
        <v>0</v>
      </c>
    </row>
    <row r="5" spans="1:9">
      <c r="A5" s="3266"/>
      <c r="B5" s="3267" t="s">
        <v>2482</v>
      </c>
      <c r="C5" s="3267"/>
      <c r="D5" s="2308"/>
      <c r="E5" s="2306"/>
      <c r="F5" s="2309"/>
      <c r="G5" s="2309"/>
      <c r="H5" s="2310"/>
      <c r="I5" s="2311">
        <f t="shared" si="0"/>
        <v>0</v>
      </c>
    </row>
    <row r="6" spans="1:9">
      <c r="A6" s="3266"/>
      <c r="B6" s="3267" t="s">
        <v>2483</v>
      </c>
      <c r="C6" s="3267"/>
      <c r="D6" s="2308"/>
      <c r="E6" s="2306"/>
      <c r="F6" s="2309"/>
      <c r="G6" s="2309"/>
      <c r="H6" s="2310"/>
      <c r="I6" s="2311">
        <f t="shared" si="0"/>
        <v>0</v>
      </c>
    </row>
    <row r="7" spans="1:9">
      <c r="A7" s="3266"/>
      <c r="B7" s="3267" t="s">
        <v>2484</v>
      </c>
      <c r="C7" s="3267"/>
      <c r="D7" s="2308"/>
      <c r="E7" s="2306"/>
      <c r="F7" s="2309"/>
      <c r="G7" s="2309"/>
      <c r="H7" s="2310"/>
      <c r="I7" s="2311">
        <f t="shared" si="0"/>
        <v>0</v>
      </c>
    </row>
    <row r="8" spans="1:9">
      <c r="A8" s="3266"/>
      <c r="B8" s="3267" t="s">
        <v>2485</v>
      </c>
      <c r="C8" s="3267"/>
      <c r="D8" s="2308"/>
      <c r="E8" s="2306"/>
      <c r="F8" s="2309"/>
      <c r="G8" s="2309"/>
      <c r="H8" s="2310"/>
      <c r="I8" s="2311">
        <f t="shared" si="0"/>
        <v>0</v>
      </c>
    </row>
    <row r="9" spans="1:9">
      <c r="A9" s="3266"/>
      <c r="B9" s="3267" t="s">
        <v>2486</v>
      </c>
      <c r="C9" s="3267"/>
      <c r="D9" s="2308"/>
      <c r="E9" s="2306"/>
      <c r="F9" s="2309"/>
      <c r="G9" s="2309"/>
      <c r="H9" s="2310"/>
      <c r="I9" s="2311">
        <f t="shared" si="0"/>
        <v>0</v>
      </c>
    </row>
    <row r="10" spans="1:9">
      <c r="A10" s="3266"/>
      <c r="B10" s="3268" t="s">
        <v>2487</v>
      </c>
      <c r="C10" s="3268"/>
      <c r="D10" s="2312">
        <v>527</v>
      </c>
      <c r="E10" s="2312" t="e">
        <f>ROUND(D1*10000/D10/H9,0)</f>
        <v>#DIV/0!</v>
      </c>
      <c r="F10" s="2313"/>
      <c r="G10" s="2313"/>
      <c r="H10" s="2314"/>
      <c r="I10" s="2315">
        <f>SUM(I3:I9)</f>
        <v>0</v>
      </c>
    </row>
    <row r="11" spans="1:9" ht="14.25">
      <c r="A11" s="3266" t="s">
        <v>2488</v>
      </c>
      <c r="B11" s="3267" t="s">
        <v>2489</v>
      </c>
      <c r="C11" s="3267"/>
      <c r="D11" s="2308" t="s">
        <v>2490</v>
      </c>
      <c r="E11" s="2308" t="s">
        <v>2491</v>
      </c>
      <c r="F11" s="2309" t="s">
        <v>2492</v>
      </c>
      <c r="G11" s="2309" t="s">
        <v>2493</v>
      </c>
      <c r="H11" s="2316" t="s">
        <v>2494</v>
      </c>
      <c r="I11" s="2307" t="s">
        <v>2495</v>
      </c>
    </row>
    <row r="12" spans="1:9">
      <c r="A12" s="3266"/>
      <c r="B12" s="3267" t="s">
        <v>2496</v>
      </c>
      <c r="C12" s="3267"/>
      <c r="D12" s="2308"/>
      <c r="E12" s="2308"/>
      <c r="F12" s="2309"/>
      <c r="G12" s="2310"/>
      <c r="H12" s="2317"/>
      <c r="I12" s="2307">
        <f>ROUND(D12*E12*F12*G12/10000,0)</f>
        <v>0</v>
      </c>
    </row>
    <row r="13" spans="1:9">
      <c r="A13" s="3266"/>
      <c r="B13" s="3267" t="s">
        <v>2497</v>
      </c>
      <c r="C13" s="3267"/>
      <c r="D13" s="2308"/>
      <c r="E13" s="2308"/>
      <c r="F13" s="2309"/>
      <c r="G13" s="2310"/>
      <c r="H13" s="2317"/>
      <c r="I13" s="2307">
        <f>ROUND(D13*E13*F13*G13/10000,0)</f>
        <v>0</v>
      </c>
    </row>
    <row r="14" spans="1:9">
      <c r="A14" s="3266"/>
      <c r="B14" s="3267" t="s">
        <v>2498</v>
      </c>
      <c r="C14" s="3267"/>
      <c r="D14" s="2308"/>
      <c r="E14" s="2308"/>
      <c r="F14" s="2309"/>
      <c r="G14" s="2310"/>
      <c r="H14" s="2317"/>
      <c r="I14" s="2307">
        <f>ROUND(D14*E14*F14*G14/10000,0)</f>
        <v>0</v>
      </c>
    </row>
    <row r="15" spans="1:9">
      <c r="A15" s="3266"/>
      <c r="B15" s="3268" t="s">
        <v>2487</v>
      </c>
      <c r="C15" s="3268"/>
      <c r="D15" s="2312"/>
      <c r="E15" s="2312">
        <f>SUM(E12:E14)</f>
        <v>0</v>
      </c>
      <c r="F15" s="2313"/>
      <c r="G15" s="2310"/>
      <c r="H15" s="2317"/>
      <c r="I15" s="2318">
        <f>SUM(I12:I14)</f>
        <v>0</v>
      </c>
    </row>
    <row r="16" spans="1:9" ht="24">
      <c r="A16" s="3266" t="s">
        <v>2499</v>
      </c>
      <c r="B16" s="3267" t="s">
        <v>2500</v>
      </c>
      <c r="C16" s="3267"/>
      <c r="D16" s="2308" t="s">
        <v>2501</v>
      </c>
      <c r="E16" s="2319" t="s">
        <v>2502</v>
      </c>
      <c r="F16" s="2309" t="s">
        <v>2503</v>
      </c>
      <c r="G16" s="2310" t="s">
        <v>2493</v>
      </c>
      <c r="H16" s="2316" t="s">
        <v>2494</v>
      </c>
      <c r="I16" s="2307" t="s">
        <v>2495</v>
      </c>
    </row>
    <row r="17" spans="1:9" ht="14.25">
      <c r="A17" s="3266"/>
      <c r="B17" s="3267" t="s">
        <v>2504</v>
      </c>
      <c r="C17" s="3267"/>
      <c r="D17" s="2308"/>
      <c r="E17" s="2308"/>
      <c r="F17" s="2309"/>
      <c r="G17" s="2310"/>
      <c r="H17" s="2320"/>
      <c r="I17" s="2321">
        <f>ROUND(D17*E17*F17*G17/10000,0)</f>
        <v>0</v>
      </c>
    </row>
    <row r="18" spans="1:9" ht="14.25">
      <c r="A18" s="3266"/>
      <c r="B18" s="3267" t="s">
        <v>2505</v>
      </c>
      <c r="C18" s="3267"/>
      <c r="D18" s="2308"/>
      <c r="E18" s="2308"/>
      <c r="F18" s="2309"/>
      <c r="G18" s="2310"/>
      <c r="H18" s="2320"/>
      <c r="I18" s="2321">
        <f>ROUND(D18*E18*F18*G18/10000,0)</f>
        <v>0</v>
      </c>
    </row>
    <row r="19" spans="1:9" ht="14.25">
      <c r="A19" s="3266"/>
      <c r="B19" s="3267" t="s">
        <v>2506</v>
      </c>
      <c r="C19" s="3267"/>
      <c r="D19" s="2308"/>
      <c r="E19" s="2308"/>
      <c r="F19" s="2309"/>
      <c r="G19" s="2310"/>
      <c r="H19" s="2320"/>
      <c r="I19" s="2321">
        <f>ROUND(D19*E19*F19*G19/10000,0)</f>
        <v>0</v>
      </c>
    </row>
    <row r="20" spans="1:9">
      <c r="A20" s="3266"/>
      <c r="B20" s="3268" t="s">
        <v>2487</v>
      </c>
      <c r="C20" s="3268"/>
      <c r="D20" s="2312">
        <f>SUM(D17:D19)</f>
        <v>0</v>
      </c>
      <c r="E20" s="2312"/>
      <c r="F20" s="2313"/>
      <c r="G20" s="2310"/>
      <c r="H20" s="2317"/>
      <c r="I20" s="2318">
        <f>SUM(I17:I19)</f>
        <v>0</v>
      </c>
    </row>
    <row r="21" spans="1:9">
      <c r="A21" s="3266" t="s">
        <v>2507</v>
      </c>
      <c r="B21" s="3269"/>
      <c r="C21" s="3269"/>
      <c r="D21" s="3269"/>
      <c r="E21" s="3269"/>
      <c r="F21" s="3269"/>
      <c r="G21" s="3269"/>
      <c r="H21" s="2322">
        <v>0.1</v>
      </c>
      <c r="I21" s="2315">
        <f>ROUND(I10*H21,0)</f>
        <v>0</v>
      </c>
    </row>
    <row r="22" spans="1:9" ht="14.25">
      <c r="A22" s="3270" t="s">
        <v>2508</v>
      </c>
      <c r="B22" s="3271"/>
      <c r="C22" s="3272"/>
      <c r="D22" s="2308" t="s">
        <v>2509</v>
      </c>
      <c r="E22" s="2308" t="s">
        <v>2510</v>
      </c>
      <c r="F22" s="2323" t="s">
        <v>2511</v>
      </c>
      <c r="G22" s="2323" t="s">
        <v>2512</v>
      </c>
      <c r="H22" s="2316" t="s">
        <v>2513</v>
      </c>
      <c r="I22" s="2307" t="s">
        <v>2514</v>
      </c>
    </row>
    <row r="23" spans="1:9" ht="14.25" thickBot="1">
      <c r="A23" s="3273"/>
      <c r="B23" s="3274"/>
      <c r="C23" s="3275"/>
      <c r="D23" s="2324"/>
      <c r="E23" s="2324"/>
      <c r="F23" s="2324"/>
      <c r="G23" s="2325"/>
      <c r="H23" s="2326"/>
      <c r="I23" s="2327">
        <f>ROUND(E23*D23*F23*(1-G23)/10000,0)</f>
        <v>0</v>
      </c>
    </row>
    <row r="26" spans="1:9">
      <c r="A26" s="2328" t="s">
        <v>2515</v>
      </c>
      <c r="B26" s="2328"/>
      <c r="C26" s="2328"/>
      <c r="D26" s="2328"/>
      <c r="E26" s="3263">
        <f>C27-C30-C31-C32</f>
        <v>0</v>
      </c>
      <c r="F26" s="3263"/>
      <c r="G26" s="3263"/>
      <c r="H26" s="2768" t="s">
        <v>2843</v>
      </c>
    </row>
    <row r="27" spans="1:9">
      <c r="A27" s="2329">
        <v>1</v>
      </c>
      <c r="B27" s="2330" t="s">
        <v>2516</v>
      </c>
      <c r="C27" s="2330"/>
      <c r="D27" s="2330"/>
      <c r="E27" s="3264"/>
      <c r="F27" s="3264"/>
      <c r="G27" s="3264"/>
    </row>
    <row r="28" spans="1:9">
      <c r="A28" s="2331" t="s">
        <v>2517</v>
      </c>
      <c r="B28" s="2330" t="s">
        <v>2518</v>
      </c>
      <c r="C28" s="2330"/>
      <c r="D28" s="2330"/>
      <c r="E28" s="3264"/>
      <c r="F28" s="3264"/>
      <c r="G28" s="3264"/>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5"/>
      <c r="F32" s="3265"/>
      <c r="G32" s="3265"/>
    </row>
    <row r="33" spans="1:7" hidden="1">
      <c r="A33" s="3260" t="s">
        <v>2526</v>
      </c>
      <c r="B33" s="3261"/>
      <c r="C33" s="3261"/>
      <c r="D33" s="3262"/>
      <c r="E33" s="3263"/>
      <c r="F33" s="3263"/>
      <c r="G33" s="3263"/>
    </row>
    <row r="34" spans="1:7" hidden="1">
      <c r="A34" s="2329">
        <v>1</v>
      </c>
      <c r="B34" s="2330" t="s">
        <v>2527</v>
      </c>
      <c r="C34" s="2330"/>
      <c r="D34" s="2330"/>
      <c r="E34" s="3264"/>
      <c r="F34" s="3264"/>
      <c r="G34" s="3264"/>
    </row>
    <row r="35" spans="1:7" hidden="1">
      <c r="A35" s="2329">
        <v>2</v>
      </c>
      <c r="B35" s="2330" t="s">
        <v>2528</v>
      </c>
      <c r="C35" s="2330"/>
      <c r="D35" s="2330"/>
      <c r="E35" s="3264"/>
      <c r="F35" s="3264"/>
      <c r="G35" s="3264"/>
    </row>
    <row r="36" spans="1:7" hidden="1">
      <c r="A36" s="2329">
        <v>3</v>
      </c>
      <c r="B36" s="2330" t="s">
        <v>2529</v>
      </c>
      <c r="C36" s="2330"/>
      <c r="D36" s="2330"/>
      <c r="E36" s="3264"/>
      <c r="F36" s="3264"/>
      <c r="G36" s="3264"/>
    </row>
    <row r="37" spans="1:7" hidden="1">
      <c r="A37" s="2329">
        <v>4</v>
      </c>
      <c r="B37" s="2330" t="s">
        <v>2530</v>
      </c>
      <c r="C37" s="2330"/>
      <c r="D37" s="2330"/>
      <c r="E37" s="3264"/>
      <c r="F37" s="3264"/>
      <c r="G37" s="3264"/>
    </row>
    <row r="38" spans="1:7" hidden="1">
      <c r="A38" s="3260" t="s">
        <v>2531</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84" t="s">
        <v>522</v>
      </c>
      <c r="D4" s="3185"/>
      <c r="E4" s="3208" t="s">
        <v>523</v>
      </c>
      <c r="F4" s="3209"/>
      <c r="G4" s="3184" t="s">
        <v>524</v>
      </c>
      <c r="H4" s="3185"/>
      <c r="I4" s="3184" t="s">
        <v>525</v>
      </c>
      <c r="J4" s="3185"/>
      <c r="K4" s="819"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67" t="s">
        <v>524</v>
      </c>
      <c r="AC4" s="3167" t="s">
        <v>525</v>
      </c>
    </row>
    <row r="5" spans="1:29" ht="15">
      <c r="A5" s="493"/>
      <c r="B5" s="494"/>
      <c r="C5" s="3195" t="s">
        <v>2931</v>
      </c>
      <c r="D5" s="3196"/>
      <c r="E5" s="3210" t="s">
        <v>2932</v>
      </c>
      <c r="F5" s="3211"/>
      <c r="G5" s="3195" t="s">
        <v>2933</v>
      </c>
      <c r="H5" s="3196"/>
      <c r="I5" s="3195" t="s">
        <v>2934</v>
      </c>
      <c r="J5" s="3196"/>
      <c r="K5" s="820"/>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820"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70" t="s">
        <v>530</v>
      </c>
      <c r="Q7" s="3179"/>
      <c r="R7" s="1474" t="s">
        <v>13</v>
      </c>
      <c r="S7" s="1475">
        <f t="shared" ref="S7:S15" si="0">F7</f>
        <v>0</v>
      </c>
      <c r="T7" s="1474" t="s">
        <v>13</v>
      </c>
      <c r="U7" s="1475">
        <f t="shared" ref="U7:U15" si="1">H7</f>
        <v>0</v>
      </c>
      <c r="V7" s="1474" t="s">
        <v>13</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70" t="s">
        <v>533</v>
      </c>
      <c r="Q8" s="3171"/>
      <c r="R8" s="1474" t="s">
        <v>13</v>
      </c>
      <c r="S8" s="1475">
        <f t="shared" si="0"/>
        <v>0</v>
      </c>
      <c r="T8" s="1474" t="s">
        <v>13</v>
      </c>
      <c r="U8" s="1475">
        <f t="shared" si="1"/>
        <v>0</v>
      </c>
      <c r="V8" s="1474" t="s">
        <v>13</v>
      </c>
      <c r="W8" s="1475">
        <f t="shared" si="2"/>
        <v>0</v>
      </c>
      <c r="X8" s="1476"/>
      <c r="Y8" s="3170" t="s">
        <v>533</v>
      </c>
      <c r="Z8" s="3171"/>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78"/>
      <c r="Q11" s="852" t="str">
        <f t="shared" si="6"/>
        <v>容积率</v>
      </c>
      <c r="R11" s="1474" t="s">
        <v>11</v>
      </c>
      <c r="S11" s="1475" t="e">
        <f t="shared" si="0"/>
        <v>#N/A</v>
      </c>
      <c r="T11" s="1474" t="s">
        <v>11</v>
      </c>
      <c r="U11" s="1475" t="e">
        <f t="shared" si="1"/>
        <v>#N/A</v>
      </c>
      <c r="V11" s="1474" t="s">
        <v>11</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78"/>
      <c r="Q12" s="852">
        <f t="shared" si="6"/>
        <v>111</v>
      </c>
      <c r="R12" s="1474" t="s">
        <v>11</v>
      </c>
      <c r="S12" s="1475">
        <f t="shared" si="0"/>
        <v>100</v>
      </c>
      <c r="T12" s="1474" t="s">
        <v>11</v>
      </c>
      <c r="U12" s="1475">
        <f t="shared" si="1"/>
        <v>100</v>
      </c>
      <c r="V12" s="1474" t="s">
        <v>11</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78"/>
      <c r="Q13" s="852">
        <f t="shared" si="6"/>
        <v>111</v>
      </c>
      <c r="R13" s="1474" t="s">
        <v>11</v>
      </c>
      <c r="S13" s="1475">
        <f t="shared" si="0"/>
        <v>100</v>
      </c>
      <c r="T13" s="1474" t="s">
        <v>11</v>
      </c>
      <c r="U13" s="1475">
        <f t="shared" si="1"/>
        <v>100</v>
      </c>
      <c r="V13" s="1474" t="s">
        <v>11</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78"/>
      <c r="Q14" s="852">
        <f t="shared" si="6"/>
        <v>111</v>
      </c>
      <c r="R14" s="1474" t="s">
        <v>11</v>
      </c>
      <c r="S14" s="1475">
        <f t="shared" si="0"/>
        <v>100</v>
      </c>
      <c r="T14" s="1474" t="s">
        <v>11</v>
      </c>
      <c r="U14" s="1475">
        <f t="shared" si="1"/>
        <v>100</v>
      </c>
      <c r="V14" s="1474" t="s">
        <v>11</v>
      </c>
      <c r="W14" s="1475">
        <f t="shared" si="2"/>
        <v>100</v>
      </c>
      <c r="X14" s="1476"/>
      <c r="Y14" s="3135"/>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80" t="s">
        <v>540</v>
      </c>
      <c r="Q15" s="1477" t="str">
        <f t="shared" si="6"/>
        <v>居住社区成熟度</v>
      </c>
      <c r="R15" s="1478" t="s">
        <v>11</v>
      </c>
      <c r="S15" s="1479">
        <f t="shared" si="0"/>
        <v>100</v>
      </c>
      <c r="T15" s="1478" t="s">
        <v>11</v>
      </c>
      <c r="U15" s="1479">
        <f t="shared" si="1"/>
        <v>100</v>
      </c>
      <c r="V15" s="1478" t="s">
        <v>11</v>
      </c>
      <c r="W15" s="1479">
        <f t="shared" si="2"/>
        <v>100</v>
      </c>
      <c r="X15" s="1473"/>
      <c r="Y15" s="3180"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181"/>
      <c r="Q17" s="1477" t="str">
        <f>B17</f>
        <v>交通便捷度</v>
      </c>
      <c r="R17" s="1478" t="s">
        <v>11</v>
      </c>
      <c r="S17" s="1479">
        <f>F17</f>
        <v>100</v>
      </c>
      <c r="T17" s="1478" t="s">
        <v>11</v>
      </c>
      <c r="U17" s="1479">
        <f>H17</f>
        <v>100</v>
      </c>
      <c r="V17" s="1478" t="s">
        <v>11</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181"/>
      <c r="Q19" s="1477" t="str">
        <f>B19</f>
        <v>公共配套设施</v>
      </c>
      <c r="R19" s="1478" t="s">
        <v>11</v>
      </c>
      <c r="S19" s="1479">
        <f>F19</f>
        <v>100</v>
      </c>
      <c r="T19" s="1478" t="s">
        <v>11</v>
      </c>
      <c r="U19" s="1479">
        <f>H19</f>
        <v>100</v>
      </c>
      <c r="V19" s="1478" t="s">
        <v>11</v>
      </c>
      <c r="W19" s="1479">
        <f>J19</f>
        <v>100</v>
      </c>
      <c r="X19" s="1473"/>
      <c r="Y19" s="318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181"/>
      <c r="Q21" s="1477" t="str">
        <f>B21</f>
        <v>基础设施水平</v>
      </c>
      <c r="R21" s="1478" t="s">
        <v>11</v>
      </c>
      <c r="S21" s="1479">
        <f>F21</f>
        <v>100</v>
      </c>
      <c r="T21" s="1478" t="s">
        <v>11</v>
      </c>
      <c r="U21" s="1479">
        <f>H21</f>
        <v>100</v>
      </c>
      <c r="V21" s="1478" t="s">
        <v>11</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181"/>
      <c r="Q22" s="1477"/>
      <c r="R22" s="1478"/>
      <c r="S22" s="1479"/>
      <c r="T22" s="1478"/>
      <c r="U22" s="1479"/>
      <c r="V22" s="1478"/>
      <c r="W22" s="1479"/>
      <c r="X22" s="1473"/>
      <c r="Y22" s="3181"/>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181"/>
      <c r="Q23" s="1477" t="str">
        <f>B23</f>
        <v>自然及人文环境</v>
      </c>
      <c r="R23" s="1478" t="s">
        <v>11</v>
      </c>
      <c r="S23" s="1479">
        <f>F23</f>
        <v>100</v>
      </c>
      <c r="T23" s="1478" t="s">
        <v>11</v>
      </c>
      <c r="U23" s="1479">
        <f>H23</f>
        <v>100</v>
      </c>
      <c r="V23" s="1478" t="s">
        <v>11</v>
      </c>
      <c r="W23" s="1479">
        <f>J23</f>
        <v>100</v>
      </c>
      <c r="X23" s="1473"/>
      <c r="Y23" s="318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181"/>
      <c r="Q25" s="1477" t="str">
        <f t="shared" ref="Q25:Q46" si="11">B25</f>
        <v>楼层-1</v>
      </c>
      <c r="R25" s="1478" t="s">
        <v>11</v>
      </c>
      <c r="S25" s="1479">
        <f>F25</f>
        <v>100</v>
      </c>
      <c r="T25" s="1478" t="s">
        <v>11</v>
      </c>
      <c r="U25" s="1479">
        <f>H25</f>
        <v>100</v>
      </c>
      <c r="V25" s="1478" t="s">
        <v>11</v>
      </c>
      <c r="W25" s="1479">
        <f>J25</f>
        <v>100</v>
      </c>
      <c r="X25" s="1473"/>
      <c r="Y25" s="3181"/>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181"/>
      <c r="Q26" s="1477" t="str">
        <f t="shared" si="11"/>
        <v>朝向</v>
      </c>
      <c r="R26" s="1478" t="s">
        <v>11</v>
      </c>
      <c r="S26" s="1479">
        <f>F26</f>
        <v>100</v>
      </c>
      <c r="T26" s="1478" t="s">
        <v>11</v>
      </c>
      <c r="U26" s="1479">
        <f>H26</f>
        <v>100</v>
      </c>
      <c r="V26" s="1478" t="s">
        <v>11</v>
      </c>
      <c r="W26" s="1479">
        <f>J26</f>
        <v>100</v>
      </c>
      <c r="X26" s="1473"/>
      <c r="Y26" s="3181"/>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181"/>
      <c r="Q27" s="852" t="str">
        <f t="shared" si="11"/>
        <v>道路级别</v>
      </c>
      <c r="R27" s="1474" t="s">
        <v>11</v>
      </c>
      <c r="S27" s="1475">
        <f>F27</f>
        <v>100</v>
      </c>
      <c r="T27" s="1474" t="s">
        <v>11</v>
      </c>
      <c r="U27" s="1475">
        <f>H27</f>
        <v>100</v>
      </c>
      <c r="V27" s="1474" t="s">
        <v>11</v>
      </c>
      <c r="W27" s="1475">
        <f>J27</f>
        <v>100</v>
      </c>
      <c r="X27" s="1476"/>
      <c r="Y27" s="3181"/>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181"/>
      <c r="Q28" s="1477">
        <f t="shared" si="11"/>
        <v>111</v>
      </c>
      <c r="R28" s="1478" t="s">
        <v>11</v>
      </c>
      <c r="S28" s="1479">
        <f t="shared" ref="S28:S46" si="12">F28</f>
        <v>100</v>
      </c>
      <c r="T28" s="1478" t="s">
        <v>11</v>
      </c>
      <c r="U28" s="1479">
        <f t="shared" ref="U28:U46" si="13">H28</f>
        <v>100</v>
      </c>
      <c r="V28" s="1478" t="s">
        <v>11</v>
      </c>
      <c r="W28" s="1479">
        <f t="shared" ref="W28:W46" si="14">J28</f>
        <v>100</v>
      </c>
      <c r="X28" s="1473"/>
      <c r="Y28" s="3181"/>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181"/>
      <c r="Q29" s="1477">
        <f t="shared" si="11"/>
        <v>111</v>
      </c>
      <c r="R29" s="1478" t="s">
        <v>11</v>
      </c>
      <c r="S29" s="1479">
        <f t="shared" si="12"/>
        <v>100</v>
      </c>
      <c r="T29" s="1478" t="s">
        <v>11</v>
      </c>
      <c r="U29" s="1479">
        <f t="shared" si="13"/>
        <v>100</v>
      </c>
      <c r="V29" s="1478" t="s">
        <v>11</v>
      </c>
      <c r="W29" s="1479">
        <f t="shared" si="14"/>
        <v>100</v>
      </c>
      <c r="X29" s="1473"/>
      <c r="Y29" s="318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181"/>
      <c r="Q30" s="1477">
        <f t="shared" si="11"/>
        <v>111</v>
      </c>
      <c r="R30" s="1478" t="s">
        <v>11</v>
      </c>
      <c r="S30" s="1479">
        <f t="shared" si="12"/>
        <v>100</v>
      </c>
      <c r="T30" s="1478" t="s">
        <v>11</v>
      </c>
      <c r="U30" s="1479">
        <f t="shared" si="13"/>
        <v>100</v>
      </c>
      <c r="V30" s="1478" t="s">
        <v>11</v>
      </c>
      <c r="W30" s="1479">
        <f t="shared" si="14"/>
        <v>100</v>
      </c>
      <c r="X30" s="1473"/>
      <c r="Y30" s="3181"/>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181"/>
      <c r="Q31" s="1477">
        <f t="shared" si="11"/>
        <v>111</v>
      </c>
      <c r="R31" s="1478" t="s">
        <v>11</v>
      </c>
      <c r="S31" s="1479">
        <f t="shared" si="12"/>
        <v>100</v>
      </c>
      <c r="T31" s="1478" t="s">
        <v>11</v>
      </c>
      <c r="U31" s="1479">
        <f t="shared" si="13"/>
        <v>100</v>
      </c>
      <c r="V31" s="1478" t="s">
        <v>11</v>
      </c>
      <c r="W31" s="1479">
        <f t="shared" si="14"/>
        <v>100</v>
      </c>
      <c r="X31" s="1473"/>
      <c r="Y31" s="3181"/>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182" t="s">
        <v>550</v>
      </c>
      <c r="Q32" s="1477" t="str">
        <f t="shared" si="11"/>
        <v>建筑类型</v>
      </c>
      <c r="R32" s="1478" t="s">
        <v>11</v>
      </c>
      <c r="S32" s="1479">
        <f t="shared" si="12"/>
        <v>100</v>
      </c>
      <c r="T32" s="1478" t="s">
        <v>11</v>
      </c>
      <c r="U32" s="1479">
        <f t="shared" si="13"/>
        <v>100</v>
      </c>
      <c r="V32" s="1478" t="s">
        <v>11</v>
      </c>
      <c r="W32" s="1479">
        <f t="shared" si="14"/>
        <v>100</v>
      </c>
      <c r="X32" s="1473"/>
      <c r="Y32" s="3183"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183"/>
      <c r="Q33" s="853" t="str">
        <f t="shared" si="11"/>
        <v>项目建筑规模</v>
      </c>
      <c r="R33" s="1481" t="s">
        <v>11</v>
      </c>
      <c r="S33" s="1482" t="e">
        <f t="shared" si="12"/>
        <v>#N/A</v>
      </c>
      <c r="T33" s="1481" t="s">
        <v>11</v>
      </c>
      <c r="U33" s="1482" t="e">
        <f t="shared" si="13"/>
        <v>#N/A</v>
      </c>
      <c r="V33" s="1481" t="s">
        <v>11</v>
      </c>
      <c r="W33" s="1482" t="e">
        <f t="shared" si="14"/>
        <v>#N/A</v>
      </c>
      <c r="X33" s="1483"/>
      <c r="Y33" s="318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183"/>
      <c r="Q34" s="1477" t="str">
        <f t="shared" si="11"/>
        <v>建筑结构</v>
      </c>
      <c r="R34" s="1478" t="s">
        <v>11</v>
      </c>
      <c r="S34" s="1479">
        <f t="shared" si="12"/>
        <v>100</v>
      </c>
      <c r="T34" s="1478" t="s">
        <v>11</v>
      </c>
      <c r="U34" s="1479">
        <f t="shared" si="13"/>
        <v>100</v>
      </c>
      <c r="V34" s="1478" t="s">
        <v>11</v>
      </c>
      <c r="W34" s="1479">
        <f t="shared" si="14"/>
        <v>100</v>
      </c>
      <c r="X34" s="1473"/>
      <c r="Y34" s="3183"/>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183"/>
      <c r="Q35" s="1477" t="str">
        <f t="shared" si="11"/>
        <v>建筑品质</v>
      </c>
      <c r="R35" s="1478" t="s">
        <v>11</v>
      </c>
      <c r="S35" s="1479">
        <f t="shared" si="12"/>
        <v>100</v>
      </c>
      <c r="T35" s="1478" t="s">
        <v>11</v>
      </c>
      <c r="U35" s="1479">
        <f t="shared" si="13"/>
        <v>100</v>
      </c>
      <c r="V35" s="1478" t="s">
        <v>11</v>
      </c>
      <c r="W35" s="1479">
        <f t="shared" si="14"/>
        <v>100</v>
      </c>
      <c r="X35" s="1473"/>
      <c r="Y35" s="3183"/>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183"/>
      <c r="Q36" s="1477" t="str">
        <f t="shared" si="11"/>
        <v>公共部分装修</v>
      </c>
      <c r="R36" s="1478" t="s">
        <v>11</v>
      </c>
      <c r="S36" s="1479">
        <f t="shared" si="12"/>
        <v>100</v>
      </c>
      <c r="T36" s="1478" t="s">
        <v>11</v>
      </c>
      <c r="U36" s="1479">
        <f t="shared" si="13"/>
        <v>100</v>
      </c>
      <c r="V36" s="1478" t="s">
        <v>11</v>
      </c>
      <c r="W36" s="1479">
        <f t="shared" si="14"/>
        <v>100</v>
      </c>
      <c r="X36" s="1473"/>
      <c r="Y36" s="3183"/>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183"/>
      <c r="Q37" s="852" t="str">
        <f t="shared" si="11"/>
        <v>成新度</v>
      </c>
      <c r="R37" s="1474" t="s">
        <v>11</v>
      </c>
      <c r="S37" s="1475" t="e">
        <f t="shared" si="12"/>
        <v>#N/A</v>
      </c>
      <c r="T37" s="1474" t="s">
        <v>11</v>
      </c>
      <c r="U37" s="1475" t="e">
        <f t="shared" si="13"/>
        <v>#N/A</v>
      </c>
      <c r="V37" s="1474" t="s">
        <v>11</v>
      </c>
      <c r="W37" s="1475" t="e">
        <f t="shared" si="14"/>
        <v>#N/A</v>
      </c>
      <c r="X37" s="1476"/>
      <c r="Y37" s="3183"/>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183" t="s">
        <v>550</v>
      </c>
      <c r="Q38" s="1477" t="str">
        <f t="shared" si="11"/>
        <v>物业管理</v>
      </c>
      <c r="R38" s="1478" t="s">
        <v>11</v>
      </c>
      <c r="S38" s="1479">
        <f t="shared" si="12"/>
        <v>100</v>
      </c>
      <c r="T38" s="1478" t="s">
        <v>11</v>
      </c>
      <c r="U38" s="1479">
        <f t="shared" si="13"/>
        <v>100</v>
      </c>
      <c r="V38" s="1478" t="s">
        <v>11</v>
      </c>
      <c r="W38" s="1479">
        <f t="shared" si="14"/>
        <v>100</v>
      </c>
      <c r="X38" s="1473"/>
      <c r="Y38" s="3183"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183"/>
      <c r="Q39" s="1477" t="str">
        <f t="shared" si="11"/>
        <v>市政基础设施</v>
      </c>
      <c r="R39" s="1478" t="s">
        <v>11</v>
      </c>
      <c r="S39" s="1479">
        <f t="shared" si="12"/>
        <v>100</v>
      </c>
      <c r="T39" s="1478" t="s">
        <v>11</v>
      </c>
      <c r="U39" s="1479">
        <f t="shared" si="13"/>
        <v>100</v>
      </c>
      <c r="V39" s="1478" t="s">
        <v>11</v>
      </c>
      <c r="W39" s="1479">
        <f t="shared" si="14"/>
        <v>100</v>
      </c>
      <c r="X39" s="1473"/>
      <c r="Y39" s="3183"/>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183"/>
      <c r="Q40" s="1477" t="str">
        <f t="shared" si="11"/>
        <v>房型</v>
      </c>
      <c r="R40" s="1478" t="s">
        <v>11</v>
      </c>
      <c r="S40" s="1479">
        <f t="shared" si="12"/>
        <v>100</v>
      </c>
      <c r="T40" s="1478" t="s">
        <v>11</v>
      </c>
      <c r="U40" s="1479">
        <f t="shared" si="13"/>
        <v>100</v>
      </c>
      <c r="V40" s="1478" t="s">
        <v>11</v>
      </c>
      <c r="W40" s="1479">
        <f t="shared" si="14"/>
        <v>100</v>
      </c>
      <c r="X40" s="1473"/>
      <c r="Y40" s="3183"/>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183"/>
      <c r="Q41" s="853" t="str">
        <f t="shared" si="11"/>
        <v>单套/主力户型建筑面积</v>
      </c>
      <c r="R41" s="1481" t="s">
        <v>11</v>
      </c>
      <c r="S41" s="1482">
        <f t="shared" si="12"/>
        <v>100</v>
      </c>
      <c r="T41" s="1481" t="s">
        <v>11</v>
      </c>
      <c r="U41" s="1482">
        <f t="shared" si="13"/>
        <v>100</v>
      </c>
      <c r="V41" s="1481" t="s">
        <v>11</v>
      </c>
      <c r="W41" s="1482">
        <f t="shared" si="14"/>
        <v>100</v>
      </c>
      <c r="X41" s="1483"/>
      <c r="Y41" s="3183"/>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183"/>
      <c r="Q42" s="1477" t="str">
        <f t="shared" si="11"/>
        <v>内部装修</v>
      </c>
      <c r="R42" s="1478" t="s">
        <v>11</v>
      </c>
      <c r="S42" s="1479">
        <f t="shared" si="12"/>
        <v>100</v>
      </c>
      <c r="T42" s="1478" t="s">
        <v>11</v>
      </c>
      <c r="U42" s="1479">
        <f t="shared" si="13"/>
        <v>100</v>
      </c>
      <c r="V42" s="1478" t="s">
        <v>11</v>
      </c>
      <c r="W42" s="1479">
        <f t="shared" si="14"/>
        <v>100</v>
      </c>
      <c r="X42" s="1473"/>
      <c r="Y42" s="3183"/>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183"/>
      <c r="Q43" s="1477" t="str">
        <f t="shared" si="11"/>
        <v>内部装修维护情况</v>
      </c>
      <c r="R43" s="1478" t="s">
        <v>11</v>
      </c>
      <c r="S43" s="1479">
        <f t="shared" si="12"/>
        <v>100</v>
      </c>
      <c r="T43" s="1478" t="s">
        <v>11</v>
      </c>
      <c r="U43" s="1479">
        <f t="shared" si="13"/>
        <v>100</v>
      </c>
      <c r="V43" s="1478" t="s">
        <v>11</v>
      </c>
      <c r="W43" s="1479">
        <f t="shared" si="14"/>
        <v>100</v>
      </c>
      <c r="X43" s="1473"/>
      <c r="Y43" s="318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183"/>
      <c r="Q44" s="852">
        <f t="shared" si="11"/>
        <v>111</v>
      </c>
      <c r="R44" s="1474" t="s">
        <v>11</v>
      </c>
      <c r="S44" s="1475">
        <f t="shared" si="12"/>
        <v>100</v>
      </c>
      <c r="T44" s="1474" t="s">
        <v>11</v>
      </c>
      <c r="U44" s="1475">
        <f t="shared" si="13"/>
        <v>100</v>
      </c>
      <c r="V44" s="1474" t="s">
        <v>11</v>
      </c>
      <c r="W44" s="1475">
        <f t="shared" si="14"/>
        <v>100</v>
      </c>
      <c r="X44" s="1476"/>
      <c r="Y44" s="318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183"/>
      <c r="Q45" s="1477">
        <f t="shared" si="11"/>
        <v>111</v>
      </c>
      <c r="R45" s="1478" t="s">
        <v>11</v>
      </c>
      <c r="S45" s="1479">
        <f t="shared" si="12"/>
        <v>100</v>
      </c>
      <c r="T45" s="1478" t="s">
        <v>11</v>
      </c>
      <c r="U45" s="1479">
        <f t="shared" si="13"/>
        <v>100</v>
      </c>
      <c r="V45" s="1478" t="s">
        <v>11</v>
      </c>
      <c r="W45" s="1479">
        <f t="shared" si="14"/>
        <v>100</v>
      </c>
      <c r="X45" s="1473"/>
      <c r="Y45" s="3183"/>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82"/>
      <c r="Q46" s="1477">
        <f t="shared" si="11"/>
        <v>111</v>
      </c>
      <c r="R46" s="1478" t="s">
        <v>10</v>
      </c>
      <c r="S46" s="1479">
        <f t="shared" si="12"/>
        <v>100</v>
      </c>
      <c r="T46" s="1478" t="s">
        <v>10</v>
      </c>
      <c r="U46" s="1479">
        <f t="shared" si="13"/>
        <v>100</v>
      </c>
      <c r="V46" s="1478" t="s">
        <v>10</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78" t="str">
        <f>A47</f>
        <v>成交单价（元/平方米）</v>
      </c>
      <c r="Q47" s="3178"/>
      <c r="R47" s="3192">
        <f>E47</f>
        <v>0</v>
      </c>
      <c r="S47" s="3192"/>
      <c r="T47" s="3192">
        <f>G47</f>
        <v>0</v>
      </c>
      <c r="U47" s="3192"/>
      <c r="V47" s="3192">
        <f>I47</f>
        <v>0</v>
      </c>
      <c r="W47" s="3192"/>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78" t="str">
        <f>A48</f>
        <v>比较价格（元/平方米）</v>
      </c>
      <c r="Q48" s="3178"/>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99" t="str">
        <f>A49</f>
        <v>估价对象XX用房的比较价格（楼面单价，元/平方米）</v>
      </c>
      <c r="Q49" s="3200"/>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92"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92"/>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92"/>
      <c r="AC6" s="3169"/>
    </row>
    <row r="7" spans="1:29" s="1155" customFormat="1" ht="15.75" thickBot="1">
      <c r="A7" s="2646"/>
      <c r="B7" s="2653" t="s">
        <v>529</v>
      </c>
      <c r="C7" s="497">
        <f>'数据-取费表'!B2</f>
        <v>45544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70"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80" t="s">
        <v>540</v>
      </c>
      <c r="Q15" s="1477" t="str">
        <f t="shared" si="6"/>
        <v>商业繁华度</v>
      </c>
      <c r="R15" s="1478" t="s">
        <v>8</v>
      </c>
      <c r="S15" s="1479">
        <f t="shared" si="0"/>
        <v>100</v>
      </c>
      <c r="T15" s="1478" t="s">
        <v>8</v>
      </c>
      <c r="U15" s="1479">
        <f t="shared" si="1"/>
        <v>100</v>
      </c>
      <c r="V15" s="1478" t="s">
        <v>8</v>
      </c>
      <c r="W15" s="1479">
        <f t="shared" si="2"/>
        <v>100</v>
      </c>
      <c r="X15" s="1473"/>
      <c r="Y15" s="3180"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181"/>
      <c r="Q22" s="1477"/>
      <c r="R22" s="1478"/>
      <c r="S22" s="1479"/>
      <c r="T22" s="1478"/>
      <c r="U22" s="1479"/>
      <c r="V22" s="1478"/>
      <c r="W22" s="1479"/>
      <c r="X22" s="1473"/>
      <c r="Y22" s="3181"/>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181"/>
      <c r="Q23" s="1477" t="str">
        <f>B23</f>
        <v>自然及人文环境</v>
      </c>
      <c r="R23" s="1478" t="s">
        <v>8</v>
      </c>
      <c r="S23" s="1479">
        <f>F23</f>
        <v>100</v>
      </c>
      <c r="T23" s="1478" t="s">
        <v>8</v>
      </c>
      <c r="U23" s="1479">
        <f>H23</f>
        <v>100</v>
      </c>
      <c r="V23" s="1478" t="s">
        <v>8</v>
      </c>
      <c r="W23" s="1479">
        <f>J23</f>
        <v>100</v>
      </c>
      <c r="X23" s="1473"/>
      <c r="Y23" s="318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181"/>
      <c r="Q25" s="1477" t="str">
        <f t="shared" ref="Q25:Q46" si="11">B25</f>
        <v>临街状况</v>
      </c>
      <c r="R25" s="1478" t="s">
        <v>8</v>
      </c>
      <c r="S25" s="1479">
        <f>F25</f>
        <v>100</v>
      </c>
      <c r="T25" s="1478" t="s">
        <v>8</v>
      </c>
      <c r="U25" s="1479">
        <f>H25</f>
        <v>100</v>
      </c>
      <c r="V25" s="1478" t="s">
        <v>8</v>
      </c>
      <c r="W25" s="1479">
        <f>J25</f>
        <v>100</v>
      </c>
      <c r="X25" s="1473"/>
      <c r="Y25" s="3181"/>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181"/>
      <c r="Q26" s="1477" t="str">
        <f t="shared" si="11"/>
        <v>平面位置/可视性</v>
      </c>
      <c r="R26" s="1478" t="s">
        <v>8</v>
      </c>
      <c r="S26" s="1479">
        <f>F26</f>
        <v>100</v>
      </c>
      <c r="T26" s="1478" t="s">
        <v>8</v>
      </c>
      <c r="U26" s="1479">
        <f>H26</f>
        <v>100</v>
      </c>
      <c r="V26" s="1478" t="s">
        <v>8</v>
      </c>
      <c r="W26" s="1479">
        <f>J26</f>
        <v>100</v>
      </c>
      <c r="X26" s="1473"/>
      <c r="Y26" s="3181"/>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181"/>
      <c r="Q27" s="852" t="str">
        <f t="shared" si="11"/>
        <v>人流量</v>
      </c>
      <c r="R27" s="1474" t="s">
        <v>8</v>
      </c>
      <c r="S27" s="1475">
        <f>F27</f>
        <v>100</v>
      </c>
      <c r="T27" s="1474" t="s">
        <v>8</v>
      </c>
      <c r="U27" s="1475">
        <f>H27</f>
        <v>100</v>
      </c>
      <c r="V27" s="1474" t="s">
        <v>8</v>
      </c>
      <c r="W27" s="1475">
        <f>J27</f>
        <v>100</v>
      </c>
      <c r="X27" s="1476"/>
      <c r="Y27" s="3181"/>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181"/>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181"/>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181"/>
      <c r="Q29" s="1477">
        <f t="shared" si="11"/>
        <v>111</v>
      </c>
      <c r="R29" s="1478" t="s">
        <v>8</v>
      </c>
      <c r="S29" s="1479">
        <f t="shared" si="12"/>
        <v>100</v>
      </c>
      <c r="T29" s="1478" t="s">
        <v>8</v>
      </c>
      <c r="U29" s="1479">
        <f t="shared" si="13"/>
        <v>100</v>
      </c>
      <c r="V29" s="1478" t="s">
        <v>8</v>
      </c>
      <c r="W29" s="1479">
        <f t="shared" si="14"/>
        <v>100</v>
      </c>
      <c r="X29" s="1473"/>
      <c r="Y29" s="318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181"/>
      <c r="Q30" s="1477">
        <f t="shared" si="11"/>
        <v>111</v>
      </c>
      <c r="R30" s="1478" t="s">
        <v>8</v>
      </c>
      <c r="S30" s="1479">
        <f t="shared" si="12"/>
        <v>100</v>
      </c>
      <c r="T30" s="1478" t="s">
        <v>8</v>
      </c>
      <c r="U30" s="1479">
        <f t="shared" si="13"/>
        <v>100</v>
      </c>
      <c r="V30" s="1478" t="s">
        <v>8</v>
      </c>
      <c r="W30" s="1479">
        <f t="shared" si="14"/>
        <v>100</v>
      </c>
      <c r="X30" s="1473"/>
      <c r="Y30" s="3181"/>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181"/>
      <c r="Q31" s="1477">
        <f t="shared" si="11"/>
        <v>111</v>
      </c>
      <c r="R31" s="1478" t="s">
        <v>8</v>
      </c>
      <c r="S31" s="1479">
        <f t="shared" si="12"/>
        <v>100</v>
      </c>
      <c r="T31" s="1478" t="s">
        <v>8</v>
      </c>
      <c r="U31" s="1479">
        <f t="shared" si="13"/>
        <v>100</v>
      </c>
      <c r="V31" s="1478" t="s">
        <v>8</v>
      </c>
      <c r="W31" s="1479">
        <f t="shared" si="14"/>
        <v>100</v>
      </c>
      <c r="X31" s="1473"/>
      <c r="Y31" s="3181"/>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182" t="s">
        <v>550</v>
      </c>
      <c r="Q32" s="1477" t="str">
        <f t="shared" si="11"/>
        <v>商业类型</v>
      </c>
      <c r="R32" s="1478" t="s">
        <v>8</v>
      </c>
      <c r="S32" s="1479">
        <f t="shared" si="12"/>
        <v>100</v>
      </c>
      <c r="T32" s="1478" t="s">
        <v>8</v>
      </c>
      <c r="U32" s="1479">
        <f t="shared" si="13"/>
        <v>100</v>
      </c>
      <c r="V32" s="1478" t="s">
        <v>8</v>
      </c>
      <c r="W32" s="1479">
        <f t="shared" si="14"/>
        <v>100</v>
      </c>
      <c r="X32" s="1473"/>
      <c r="Y32" s="3183"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183"/>
      <c r="Q33" s="853" t="str">
        <f t="shared" si="11"/>
        <v>项目建筑规模</v>
      </c>
      <c r="R33" s="1481" t="s">
        <v>8</v>
      </c>
      <c r="S33" s="1482" t="e">
        <f t="shared" si="12"/>
        <v>#N/A</v>
      </c>
      <c r="T33" s="1481" t="s">
        <v>8</v>
      </c>
      <c r="U33" s="1482" t="e">
        <f t="shared" si="13"/>
        <v>#N/A</v>
      </c>
      <c r="V33" s="1481" t="s">
        <v>8</v>
      </c>
      <c r="W33" s="1482" t="e">
        <f t="shared" si="14"/>
        <v>#N/A</v>
      </c>
      <c r="X33" s="1483"/>
      <c r="Y33" s="318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183"/>
      <c r="Q34" s="1477" t="str">
        <f t="shared" si="11"/>
        <v>建筑结构</v>
      </c>
      <c r="R34" s="1478" t="s">
        <v>8</v>
      </c>
      <c r="S34" s="1479">
        <f t="shared" si="12"/>
        <v>100</v>
      </c>
      <c r="T34" s="1478" t="s">
        <v>8</v>
      </c>
      <c r="U34" s="1479">
        <f t="shared" si="13"/>
        <v>100</v>
      </c>
      <c r="V34" s="1478" t="s">
        <v>8</v>
      </c>
      <c r="W34" s="1479">
        <f t="shared" si="14"/>
        <v>100</v>
      </c>
      <c r="X34" s="1473"/>
      <c r="Y34" s="3183"/>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183"/>
      <c r="Q35" s="1477" t="str">
        <f t="shared" si="11"/>
        <v>公共部分装修</v>
      </c>
      <c r="R35" s="1478" t="s">
        <v>8</v>
      </c>
      <c r="S35" s="1479">
        <f t="shared" si="12"/>
        <v>100</v>
      </c>
      <c r="T35" s="1478" t="s">
        <v>8</v>
      </c>
      <c r="U35" s="1479">
        <f t="shared" si="13"/>
        <v>100</v>
      </c>
      <c r="V35" s="1478" t="s">
        <v>8</v>
      </c>
      <c r="W35" s="1479">
        <f t="shared" si="14"/>
        <v>100</v>
      </c>
      <c r="X35" s="1473"/>
      <c r="Y35" s="3183"/>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183"/>
      <c r="Q36" s="1477" t="str">
        <f t="shared" si="11"/>
        <v>成新度</v>
      </c>
      <c r="R36" s="1478" t="s">
        <v>8</v>
      </c>
      <c r="S36" s="1479" t="e">
        <f t="shared" si="12"/>
        <v>#N/A</v>
      </c>
      <c r="T36" s="1478" t="s">
        <v>8</v>
      </c>
      <c r="U36" s="1479" t="e">
        <f t="shared" si="13"/>
        <v>#N/A</v>
      </c>
      <c r="V36" s="1478" t="s">
        <v>8</v>
      </c>
      <c r="W36" s="1479" t="e">
        <f t="shared" si="14"/>
        <v>#N/A</v>
      </c>
      <c r="X36" s="1473"/>
      <c r="Y36" s="3183"/>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183"/>
      <c r="Q37" s="852" t="str">
        <f t="shared" si="11"/>
        <v>市政基础设施</v>
      </c>
      <c r="R37" s="1474" t="s">
        <v>8</v>
      </c>
      <c r="S37" s="1475">
        <f t="shared" si="12"/>
        <v>100</v>
      </c>
      <c r="T37" s="1474" t="s">
        <v>8</v>
      </c>
      <c r="U37" s="1475">
        <f t="shared" si="13"/>
        <v>100</v>
      </c>
      <c r="V37" s="1474" t="s">
        <v>8</v>
      </c>
      <c r="W37" s="1475">
        <f t="shared" si="14"/>
        <v>100</v>
      </c>
      <c r="X37" s="1476"/>
      <c r="Y37" s="3183"/>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183" t="s">
        <v>766</v>
      </c>
      <c r="Q38" s="1477" t="str">
        <f t="shared" si="11"/>
        <v>业态</v>
      </c>
      <c r="R38" s="1478" t="s">
        <v>8</v>
      </c>
      <c r="S38" s="1479">
        <f t="shared" si="12"/>
        <v>100</v>
      </c>
      <c r="T38" s="1478" t="s">
        <v>8</v>
      </c>
      <c r="U38" s="1479">
        <f t="shared" si="13"/>
        <v>100</v>
      </c>
      <c r="V38" s="1478" t="s">
        <v>8</v>
      </c>
      <c r="W38" s="1479">
        <f t="shared" si="14"/>
        <v>100</v>
      </c>
      <c r="X38" s="1473"/>
      <c r="Y38" s="3183"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83"/>
      <c r="Q39" s="1477" t="str">
        <f t="shared" si="11"/>
        <v>层高</v>
      </c>
      <c r="R39" s="1478" t="s">
        <v>8</v>
      </c>
      <c r="S39" s="1479">
        <f t="shared" si="12"/>
        <v>100</v>
      </c>
      <c r="T39" s="1478" t="s">
        <v>8</v>
      </c>
      <c r="U39" s="1479">
        <f t="shared" si="13"/>
        <v>100</v>
      </c>
      <c r="V39" s="1478" t="s">
        <v>8</v>
      </c>
      <c r="W39" s="1479">
        <f t="shared" si="14"/>
        <v>100</v>
      </c>
      <c r="X39" s="1473"/>
      <c r="Y39" s="3183"/>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183"/>
      <c r="Q40" s="1477" t="str">
        <f t="shared" si="11"/>
        <v>单套建筑面积</v>
      </c>
      <c r="R40" s="1478" t="s">
        <v>8</v>
      </c>
      <c r="S40" s="1479">
        <f t="shared" si="12"/>
        <v>100</v>
      </c>
      <c r="T40" s="1478" t="s">
        <v>8</v>
      </c>
      <c r="U40" s="1479">
        <f t="shared" si="13"/>
        <v>100</v>
      </c>
      <c r="V40" s="1478" t="s">
        <v>8</v>
      </c>
      <c r="W40" s="1479">
        <f t="shared" si="14"/>
        <v>100</v>
      </c>
      <c r="X40" s="1473"/>
      <c r="Y40" s="3183"/>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183"/>
      <c r="Q41" s="853" t="str">
        <f t="shared" si="11"/>
        <v>进深比</v>
      </c>
      <c r="R41" s="1481" t="s">
        <v>8</v>
      </c>
      <c r="S41" s="1482">
        <f t="shared" si="12"/>
        <v>100</v>
      </c>
      <c r="T41" s="1481" t="s">
        <v>8</v>
      </c>
      <c r="U41" s="1482">
        <f t="shared" si="13"/>
        <v>100</v>
      </c>
      <c r="V41" s="1481" t="s">
        <v>8</v>
      </c>
      <c r="W41" s="1482">
        <f t="shared" si="14"/>
        <v>100</v>
      </c>
      <c r="X41" s="1483"/>
      <c r="Y41" s="3183"/>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183"/>
      <c r="Q42" s="1477" t="str">
        <f t="shared" si="11"/>
        <v>内部装修</v>
      </c>
      <c r="R42" s="1478" t="s">
        <v>8</v>
      </c>
      <c r="S42" s="1479">
        <f t="shared" si="12"/>
        <v>100</v>
      </c>
      <c r="T42" s="1478" t="s">
        <v>8</v>
      </c>
      <c r="U42" s="1479">
        <f t="shared" si="13"/>
        <v>100</v>
      </c>
      <c r="V42" s="1478" t="s">
        <v>8</v>
      </c>
      <c r="W42" s="1479">
        <f t="shared" si="14"/>
        <v>100</v>
      </c>
      <c r="X42" s="1473"/>
      <c r="Y42" s="3183"/>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183"/>
      <c r="Q43" s="1477" t="str">
        <f t="shared" si="11"/>
        <v>内部装修维护情况</v>
      </c>
      <c r="R43" s="1478" t="s">
        <v>8</v>
      </c>
      <c r="S43" s="1479">
        <f t="shared" si="12"/>
        <v>100</v>
      </c>
      <c r="T43" s="1478" t="s">
        <v>8</v>
      </c>
      <c r="U43" s="1479">
        <f t="shared" si="13"/>
        <v>100</v>
      </c>
      <c r="V43" s="1478" t="s">
        <v>8</v>
      </c>
      <c r="W43" s="1479">
        <f t="shared" si="14"/>
        <v>100</v>
      </c>
      <c r="X43" s="1473"/>
      <c r="Y43" s="318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183"/>
      <c r="Q44" s="852">
        <f t="shared" si="11"/>
        <v>111</v>
      </c>
      <c r="R44" s="1474" t="s">
        <v>8</v>
      </c>
      <c r="S44" s="1475">
        <f t="shared" si="12"/>
        <v>100</v>
      </c>
      <c r="T44" s="1474" t="s">
        <v>8</v>
      </c>
      <c r="U44" s="1475">
        <f t="shared" si="13"/>
        <v>100</v>
      </c>
      <c r="V44" s="1474" t="s">
        <v>8</v>
      </c>
      <c r="W44" s="1475">
        <f t="shared" si="14"/>
        <v>100</v>
      </c>
      <c r="X44" s="1476"/>
      <c r="Y44" s="318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183"/>
      <c r="Q45" s="1477">
        <f t="shared" si="11"/>
        <v>111</v>
      </c>
      <c r="R45" s="1478" t="s">
        <v>8</v>
      </c>
      <c r="S45" s="1479">
        <f t="shared" si="12"/>
        <v>100</v>
      </c>
      <c r="T45" s="1478" t="s">
        <v>8</v>
      </c>
      <c r="U45" s="1479">
        <f t="shared" si="13"/>
        <v>100</v>
      </c>
      <c r="V45" s="1478" t="s">
        <v>8</v>
      </c>
      <c r="W45" s="1479">
        <f t="shared" si="14"/>
        <v>100</v>
      </c>
      <c r="X45" s="1473"/>
      <c r="Y45" s="3183"/>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82"/>
      <c r="Q46" s="1477">
        <f t="shared" si="11"/>
        <v>111</v>
      </c>
      <c r="R46" s="1478" t="s">
        <v>8</v>
      </c>
      <c r="S46" s="1479">
        <f t="shared" si="12"/>
        <v>100</v>
      </c>
      <c r="T46" s="1478" t="s">
        <v>8</v>
      </c>
      <c r="U46" s="1479">
        <f t="shared" si="13"/>
        <v>100</v>
      </c>
      <c r="V46" s="1478" t="s">
        <v>8</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78" t="str">
        <f>A47</f>
        <v>成交单价（元/平方米）</v>
      </c>
      <c r="Q47" s="3178"/>
      <c r="R47" s="3192">
        <f>E47</f>
        <v>0</v>
      </c>
      <c r="S47" s="3192"/>
      <c r="T47" s="3192">
        <f>G47</f>
        <v>0</v>
      </c>
      <c r="U47" s="3192"/>
      <c r="V47" s="3192">
        <f>I47</f>
        <v>0</v>
      </c>
      <c r="W47" s="3192"/>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78" t="str">
        <f>A48</f>
        <v>比较价格（元/平方米）</v>
      </c>
      <c r="Q48" s="3178"/>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99" t="str">
        <f>A49</f>
        <v>估价对象XX用房的比较价格（楼面单价，元/平方米）</v>
      </c>
      <c r="Q49" s="3200"/>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283" t="s">
        <v>527</v>
      </c>
      <c r="Q4" s="3187"/>
      <c r="R4" s="3172" t="s">
        <v>523</v>
      </c>
      <c r="S4" s="3173"/>
      <c r="T4" s="3172" t="s">
        <v>524</v>
      </c>
      <c r="U4" s="3173"/>
      <c r="V4" s="3192" t="s">
        <v>525</v>
      </c>
      <c r="W4" s="3192"/>
      <c r="X4" s="1473"/>
      <c r="Y4" s="3172" t="s">
        <v>527</v>
      </c>
      <c r="Z4" s="3173"/>
      <c r="AA4" s="3167" t="s">
        <v>523</v>
      </c>
      <c r="AB4" s="3167"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284"/>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285"/>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79"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79" t="s">
        <v>533</v>
      </c>
      <c r="Q8" s="3171"/>
      <c r="R8" s="1474" t="s">
        <v>8</v>
      </c>
      <c r="S8" s="1475">
        <f t="shared" si="0"/>
        <v>0</v>
      </c>
      <c r="T8" s="1474" t="s">
        <v>8</v>
      </c>
      <c r="U8" s="1475">
        <f t="shared" si="1"/>
        <v>0</v>
      </c>
      <c r="V8" s="1474" t="s">
        <v>8</v>
      </c>
      <c r="W8" s="1475">
        <f t="shared" si="2"/>
        <v>0</v>
      </c>
      <c r="X8" s="1476"/>
      <c r="Y8" s="3170" t="s">
        <v>533</v>
      </c>
      <c r="Z8" s="3171"/>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80" t="s">
        <v>540</v>
      </c>
      <c r="Q15" s="1477" t="str">
        <f t="shared" si="6"/>
        <v>办公集聚程度</v>
      </c>
      <c r="R15" s="1478" t="s">
        <v>8</v>
      </c>
      <c r="S15" s="1479">
        <f t="shared" si="0"/>
        <v>100</v>
      </c>
      <c r="T15" s="1478" t="s">
        <v>8</v>
      </c>
      <c r="U15" s="1479">
        <f t="shared" si="1"/>
        <v>100</v>
      </c>
      <c r="V15" s="1478" t="s">
        <v>8</v>
      </c>
      <c r="W15" s="1479">
        <f t="shared" si="2"/>
        <v>100</v>
      </c>
      <c r="X15" s="1473"/>
      <c r="Y15" s="3180"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181"/>
      <c r="Q16" s="1477"/>
      <c r="R16" s="1478"/>
      <c r="S16" s="1479"/>
      <c r="T16" s="1478"/>
      <c r="U16" s="1479"/>
      <c r="V16" s="1478"/>
      <c r="W16" s="1479"/>
      <c r="X16" s="1473"/>
      <c r="Y16" s="3181"/>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181"/>
      <c r="Q18" s="1477"/>
      <c r="R18" s="1478"/>
      <c r="S18" s="1479"/>
      <c r="T18" s="1478"/>
      <c r="U18" s="1479"/>
      <c r="V18" s="1478"/>
      <c r="W18" s="1479"/>
      <c r="X18" s="1473"/>
      <c r="Y18" s="3181"/>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181"/>
      <c r="Q20" s="1477"/>
      <c r="R20" s="1478"/>
      <c r="S20" s="1479"/>
      <c r="T20" s="1478"/>
      <c r="U20" s="1479"/>
      <c r="V20" s="1478"/>
      <c r="W20" s="1479"/>
      <c r="X20" s="1473"/>
      <c r="Y20" s="3181"/>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181"/>
      <c r="Q22" s="1477"/>
      <c r="R22" s="1478"/>
      <c r="S22" s="1479"/>
      <c r="T22" s="1478"/>
      <c r="U22" s="1479"/>
      <c r="V22" s="1478"/>
      <c r="W22" s="1479"/>
      <c r="X22" s="1473"/>
      <c r="Y22" s="3181"/>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181"/>
      <c r="Q23" s="1477" t="str">
        <f>B23</f>
        <v>环境质量</v>
      </c>
      <c r="R23" s="1478" t="s">
        <v>8</v>
      </c>
      <c r="S23" s="1479">
        <f>F23</f>
        <v>100</v>
      </c>
      <c r="T23" s="1478" t="s">
        <v>8</v>
      </c>
      <c r="U23" s="1479">
        <f>H23</f>
        <v>100</v>
      </c>
      <c r="V23" s="1478" t="s">
        <v>8</v>
      </c>
      <c r="W23" s="1479">
        <f>J23</f>
        <v>100</v>
      </c>
      <c r="X23" s="1473"/>
      <c r="Y23" s="3181"/>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181"/>
      <c r="Q24" s="1477"/>
      <c r="R24" s="1478"/>
      <c r="S24" s="1479"/>
      <c r="T24" s="1478"/>
      <c r="U24" s="1479"/>
      <c r="V24" s="1478"/>
      <c r="W24" s="1479"/>
      <c r="X24" s="1473"/>
      <c r="Y24" s="3181"/>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181"/>
      <c r="Q25" s="1477" t="str">
        <f>B25</f>
        <v>毗邻道路的类型与等级</v>
      </c>
      <c r="R25" s="1478" t="s">
        <v>8</v>
      </c>
      <c r="S25" s="1479">
        <f>F25</f>
        <v>100</v>
      </c>
      <c r="T25" s="1478" t="s">
        <v>8</v>
      </c>
      <c r="U25" s="1479">
        <f>H25</f>
        <v>100</v>
      </c>
      <c r="V25" s="1478" t="s">
        <v>8</v>
      </c>
      <c r="W25" s="1479">
        <f>J25</f>
        <v>100</v>
      </c>
      <c r="X25" s="1473"/>
      <c r="Y25" s="3181"/>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181"/>
      <c r="Q26" s="1477"/>
      <c r="R26" s="1478"/>
      <c r="S26" s="1479"/>
      <c r="T26" s="1478"/>
      <c r="U26" s="1479"/>
      <c r="V26" s="1478"/>
      <c r="W26" s="1479"/>
      <c r="X26" s="1473"/>
      <c r="Y26" s="3181"/>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181"/>
      <c r="Q27" s="1477" t="str">
        <f t="shared" ref="Q27:Q47" si="11">B27</f>
        <v>楼层</v>
      </c>
      <c r="R27" s="1478" t="s">
        <v>8</v>
      </c>
      <c r="S27" s="1479">
        <f>F27</f>
        <v>100</v>
      </c>
      <c r="T27" s="1478" t="s">
        <v>8</v>
      </c>
      <c r="U27" s="1479">
        <f>H27</f>
        <v>100</v>
      </c>
      <c r="V27" s="1478" t="s">
        <v>8</v>
      </c>
      <c r="W27" s="1479">
        <f>J27</f>
        <v>100</v>
      </c>
      <c r="X27" s="1473"/>
      <c r="Y27" s="3181"/>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181"/>
      <c r="Q28" s="852" t="str">
        <f t="shared" si="11"/>
        <v>朝向</v>
      </c>
      <c r="R28" s="1474" t="s">
        <v>8</v>
      </c>
      <c r="S28" s="1475">
        <f>F28</f>
        <v>100</v>
      </c>
      <c r="T28" s="1474" t="s">
        <v>8</v>
      </c>
      <c r="U28" s="1475">
        <f>H28</f>
        <v>100</v>
      </c>
      <c r="V28" s="1474" t="s">
        <v>8</v>
      </c>
      <c r="W28" s="1475">
        <f>J28</f>
        <v>100</v>
      </c>
      <c r="X28" s="1476"/>
      <c r="Y28" s="3181"/>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181"/>
      <c r="Q29" s="1477">
        <f t="shared" si="11"/>
        <v>111</v>
      </c>
      <c r="R29" s="1478" t="s">
        <v>8</v>
      </c>
      <c r="S29" s="1479">
        <f t="shared" ref="S29:S47" si="12">F29</f>
        <v>100</v>
      </c>
      <c r="T29" s="1478" t="s">
        <v>8</v>
      </c>
      <c r="U29" s="1479">
        <f t="shared" ref="U29:U47" si="13">H29</f>
        <v>100</v>
      </c>
      <c r="V29" s="1478" t="s">
        <v>8</v>
      </c>
      <c r="W29" s="1479">
        <f t="shared" ref="W29:W47" si="14">J29</f>
        <v>100</v>
      </c>
      <c r="X29" s="1473"/>
      <c r="Y29" s="3181"/>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181"/>
      <c r="Q30" s="1477">
        <f t="shared" si="11"/>
        <v>111</v>
      </c>
      <c r="R30" s="1478" t="s">
        <v>8</v>
      </c>
      <c r="S30" s="1479">
        <f t="shared" si="12"/>
        <v>100</v>
      </c>
      <c r="T30" s="1478" t="s">
        <v>8</v>
      </c>
      <c r="U30" s="1479">
        <f t="shared" si="13"/>
        <v>100</v>
      </c>
      <c r="V30" s="1478" t="s">
        <v>8</v>
      </c>
      <c r="W30" s="1479">
        <f t="shared" si="14"/>
        <v>100</v>
      </c>
      <c r="X30" s="1473"/>
      <c r="Y30" s="3181"/>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181"/>
      <c r="Q31" s="1477">
        <f t="shared" si="11"/>
        <v>111</v>
      </c>
      <c r="R31" s="1478" t="s">
        <v>8</v>
      </c>
      <c r="S31" s="1479">
        <f t="shared" si="12"/>
        <v>100</v>
      </c>
      <c r="T31" s="1478" t="s">
        <v>8</v>
      </c>
      <c r="U31" s="1479">
        <f t="shared" si="13"/>
        <v>100</v>
      </c>
      <c r="V31" s="1478" t="s">
        <v>8</v>
      </c>
      <c r="W31" s="1479">
        <f t="shared" si="14"/>
        <v>100</v>
      </c>
      <c r="X31" s="1473"/>
      <c r="Y31" s="3181"/>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181"/>
      <c r="Q32" s="1477">
        <f t="shared" si="11"/>
        <v>111</v>
      </c>
      <c r="R32" s="1478" t="s">
        <v>8</v>
      </c>
      <c r="S32" s="1479">
        <f t="shared" si="12"/>
        <v>100</v>
      </c>
      <c r="T32" s="1478" t="s">
        <v>8</v>
      </c>
      <c r="U32" s="1479">
        <f t="shared" si="13"/>
        <v>100</v>
      </c>
      <c r="V32" s="1478" t="s">
        <v>8</v>
      </c>
      <c r="W32" s="1479">
        <f t="shared" si="14"/>
        <v>100</v>
      </c>
      <c r="X32" s="1473"/>
      <c r="Y32" s="3181"/>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182" t="s">
        <v>550</v>
      </c>
      <c r="Q33" s="1477" t="str">
        <f t="shared" si="11"/>
        <v>建筑类型</v>
      </c>
      <c r="R33" s="1478" t="s">
        <v>8</v>
      </c>
      <c r="S33" s="1479">
        <f t="shared" si="12"/>
        <v>100</v>
      </c>
      <c r="T33" s="1478" t="s">
        <v>8</v>
      </c>
      <c r="U33" s="1479">
        <f t="shared" si="13"/>
        <v>100</v>
      </c>
      <c r="V33" s="1478" t="s">
        <v>8</v>
      </c>
      <c r="W33" s="1479">
        <f t="shared" si="14"/>
        <v>100</v>
      </c>
      <c r="X33" s="1473"/>
      <c r="Y33" s="3183"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183"/>
      <c r="Q34" s="853" t="str">
        <f t="shared" si="11"/>
        <v>项目建筑规模</v>
      </c>
      <c r="R34" s="1481" t="s">
        <v>8</v>
      </c>
      <c r="S34" s="1482" t="e">
        <f t="shared" si="12"/>
        <v>#N/A</v>
      </c>
      <c r="T34" s="1481" t="s">
        <v>8</v>
      </c>
      <c r="U34" s="1482" t="e">
        <f t="shared" si="13"/>
        <v>#N/A</v>
      </c>
      <c r="V34" s="1481" t="s">
        <v>8</v>
      </c>
      <c r="W34" s="1482" t="e">
        <f t="shared" si="14"/>
        <v>#N/A</v>
      </c>
      <c r="X34" s="1483"/>
      <c r="Y34" s="3183"/>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183"/>
      <c r="Q35" s="1477" t="str">
        <f t="shared" si="11"/>
        <v>建筑结构</v>
      </c>
      <c r="R35" s="1478" t="s">
        <v>8</v>
      </c>
      <c r="S35" s="1479">
        <f t="shared" si="12"/>
        <v>100</v>
      </c>
      <c r="T35" s="1478" t="s">
        <v>8</v>
      </c>
      <c r="U35" s="1479">
        <f t="shared" si="13"/>
        <v>100</v>
      </c>
      <c r="V35" s="1478" t="s">
        <v>8</v>
      </c>
      <c r="W35" s="1479">
        <f t="shared" si="14"/>
        <v>100</v>
      </c>
      <c r="X35" s="1473"/>
      <c r="Y35" s="3183"/>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183"/>
      <c r="Q36" s="1477" t="str">
        <f t="shared" si="11"/>
        <v>公共部分装修</v>
      </c>
      <c r="R36" s="1478" t="s">
        <v>8</v>
      </c>
      <c r="S36" s="1479">
        <f t="shared" si="12"/>
        <v>100</v>
      </c>
      <c r="T36" s="1478" t="s">
        <v>8</v>
      </c>
      <c r="U36" s="1479">
        <f t="shared" si="13"/>
        <v>100</v>
      </c>
      <c r="V36" s="1478" t="s">
        <v>8</v>
      </c>
      <c r="W36" s="1479">
        <f t="shared" si="14"/>
        <v>100</v>
      </c>
      <c r="X36" s="1473"/>
      <c r="Y36" s="3183"/>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183"/>
      <c r="Q37" s="1477" t="str">
        <f t="shared" si="11"/>
        <v>成新度</v>
      </c>
      <c r="R37" s="1478" t="s">
        <v>8</v>
      </c>
      <c r="S37" s="1479" t="e">
        <f t="shared" si="12"/>
        <v>#N/A</v>
      </c>
      <c r="T37" s="1478" t="s">
        <v>8</v>
      </c>
      <c r="U37" s="1479" t="e">
        <f t="shared" si="13"/>
        <v>#N/A</v>
      </c>
      <c r="V37" s="1478" t="s">
        <v>8</v>
      </c>
      <c r="W37" s="1479" t="e">
        <f t="shared" si="14"/>
        <v>#N/A</v>
      </c>
      <c r="X37" s="1473"/>
      <c r="Y37" s="3183"/>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183"/>
      <c r="Q38" s="852" t="str">
        <f t="shared" si="11"/>
        <v>写字楼等级</v>
      </c>
      <c r="R38" s="1474" t="s">
        <v>8</v>
      </c>
      <c r="S38" s="1475">
        <f t="shared" si="12"/>
        <v>100</v>
      </c>
      <c r="T38" s="1474" t="s">
        <v>8</v>
      </c>
      <c r="U38" s="1475">
        <f t="shared" si="13"/>
        <v>100</v>
      </c>
      <c r="V38" s="1474" t="s">
        <v>8</v>
      </c>
      <c r="W38" s="1475">
        <f t="shared" si="14"/>
        <v>100</v>
      </c>
      <c r="X38" s="1476"/>
      <c r="Y38" s="3183"/>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183" t="s">
        <v>550</v>
      </c>
      <c r="Q39" s="1477" t="str">
        <f t="shared" si="11"/>
        <v>物业管理</v>
      </c>
      <c r="R39" s="1478" t="s">
        <v>8</v>
      </c>
      <c r="S39" s="1479">
        <f t="shared" si="12"/>
        <v>100</v>
      </c>
      <c r="T39" s="1478" t="s">
        <v>8</v>
      </c>
      <c r="U39" s="1479">
        <f t="shared" si="13"/>
        <v>100</v>
      </c>
      <c r="V39" s="1478" t="s">
        <v>8</v>
      </c>
      <c r="W39" s="1479">
        <f t="shared" si="14"/>
        <v>100</v>
      </c>
      <c r="X39" s="1473"/>
      <c r="Y39" s="3183"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183"/>
      <c r="Q40" s="1477" t="str">
        <f t="shared" si="11"/>
        <v>市政基础设施</v>
      </c>
      <c r="R40" s="1478" t="s">
        <v>8</v>
      </c>
      <c r="S40" s="1479">
        <f t="shared" si="12"/>
        <v>100</v>
      </c>
      <c r="T40" s="1478" t="s">
        <v>8</v>
      </c>
      <c r="U40" s="1479">
        <f t="shared" si="13"/>
        <v>100</v>
      </c>
      <c r="V40" s="1478" t="s">
        <v>8</v>
      </c>
      <c r="W40" s="1479">
        <f t="shared" si="14"/>
        <v>100</v>
      </c>
      <c r="X40" s="1473"/>
      <c r="Y40" s="3183"/>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183"/>
      <c r="Q41" s="1477" t="str">
        <f t="shared" si="11"/>
        <v>层高</v>
      </c>
      <c r="R41" s="1478" t="s">
        <v>8</v>
      </c>
      <c r="S41" s="1479">
        <f t="shared" si="12"/>
        <v>100</v>
      </c>
      <c r="T41" s="1478" t="s">
        <v>8</v>
      </c>
      <c r="U41" s="1479">
        <f t="shared" si="13"/>
        <v>100</v>
      </c>
      <c r="V41" s="1478" t="s">
        <v>8</v>
      </c>
      <c r="W41" s="1479">
        <f t="shared" si="14"/>
        <v>100</v>
      </c>
      <c r="X41" s="1473"/>
      <c r="Y41" s="3183"/>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183"/>
      <c r="Q42" s="853" t="str">
        <f t="shared" si="11"/>
        <v>单套建筑面积</v>
      </c>
      <c r="R42" s="1481" t="s">
        <v>8</v>
      </c>
      <c r="S42" s="1482">
        <f t="shared" si="12"/>
        <v>100</v>
      </c>
      <c r="T42" s="1481" t="s">
        <v>8</v>
      </c>
      <c r="U42" s="1482">
        <f t="shared" si="13"/>
        <v>100</v>
      </c>
      <c r="V42" s="1481" t="s">
        <v>8</v>
      </c>
      <c r="W42" s="1482">
        <f t="shared" si="14"/>
        <v>100</v>
      </c>
      <c r="X42" s="1483"/>
      <c r="Y42" s="3183"/>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183"/>
      <c r="Q43" s="1477" t="str">
        <f t="shared" si="11"/>
        <v>内部装修</v>
      </c>
      <c r="R43" s="1478" t="s">
        <v>8</v>
      </c>
      <c r="S43" s="1479">
        <f t="shared" si="12"/>
        <v>100</v>
      </c>
      <c r="T43" s="1478" t="s">
        <v>8</v>
      </c>
      <c r="U43" s="1479">
        <f t="shared" si="13"/>
        <v>100</v>
      </c>
      <c r="V43" s="1478" t="s">
        <v>8</v>
      </c>
      <c r="W43" s="1479">
        <f t="shared" si="14"/>
        <v>100</v>
      </c>
      <c r="X43" s="1473"/>
      <c r="Y43" s="3183"/>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183"/>
      <c r="Q44" s="1477" t="str">
        <f t="shared" si="11"/>
        <v>内部装修维护情况</v>
      </c>
      <c r="R44" s="1478" t="s">
        <v>8</v>
      </c>
      <c r="S44" s="1479">
        <f t="shared" si="12"/>
        <v>100</v>
      </c>
      <c r="T44" s="1478" t="s">
        <v>8</v>
      </c>
      <c r="U44" s="1479">
        <f t="shared" si="13"/>
        <v>100</v>
      </c>
      <c r="V44" s="1478" t="s">
        <v>8</v>
      </c>
      <c r="W44" s="1479">
        <f t="shared" si="14"/>
        <v>100</v>
      </c>
      <c r="X44" s="1473"/>
      <c r="Y44" s="3183"/>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183"/>
      <c r="Q45" s="852">
        <f t="shared" si="11"/>
        <v>111</v>
      </c>
      <c r="R45" s="1474" t="s">
        <v>8</v>
      </c>
      <c r="S45" s="1475">
        <f t="shared" si="12"/>
        <v>100</v>
      </c>
      <c r="T45" s="1474" t="s">
        <v>8</v>
      </c>
      <c r="U45" s="1475">
        <f t="shared" si="13"/>
        <v>100</v>
      </c>
      <c r="V45" s="1474" t="s">
        <v>8</v>
      </c>
      <c r="W45" s="1475">
        <f t="shared" si="14"/>
        <v>100</v>
      </c>
      <c r="X45" s="1476"/>
      <c r="Y45" s="3183"/>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183"/>
      <c r="Q46" s="1477">
        <f t="shared" si="11"/>
        <v>111</v>
      </c>
      <c r="R46" s="1478" t="s">
        <v>8</v>
      </c>
      <c r="S46" s="1479">
        <f t="shared" si="12"/>
        <v>100</v>
      </c>
      <c r="T46" s="1478" t="s">
        <v>8</v>
      </c>
      <c r="U46" s="1479">
        <f t="shared" si="13"/>
        <v>100</v>
      </c>
      <c r="V46" s="1478" t="s">
        <v>8</v>
      </c>
      <c r="W46" s="1479">
        <f t="shared" si="14"/>
        <v>100</v>
      </c>
      <c r="X46" s="1473"/>
      <c r="Y46" s="3183"/>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82"/>
      <c r="Q47" s="1477">
        <f t="shared" si="11"/>
        <v>111</v>
      </c>
      <c r="R47" s="1478" t="s">
        <v>8</v>
      </c>
      <c r="S47" s="1479">
        <f t="shared" si="12"/>
        <v>100</v>
      </c>
      <c r="T47" s="1478" t="s">
        <v>8</v>
      </c>
      <c r="U47" s="1479">
        <f t="shared" si="13"/>
        <v>100</v>
      </c>
      <c r="V47" s="1478" t="s">
        <v>8</v>
      </c>
      <c r="W47" s="1479">
        <f t="shared" si="14"/>
        <v>100</v>
      </c>
      <c r="X47" s="1473"/>
      <c r="Y47" s="3282"/>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200" t="str">
        <f>A48</f>
        <v>成交单价（元/平方米）</v>
      </c>
      <c r="Q48" s="3178"/>
      <c r="R48" s="3192">
        <f>E48</f>
        <v>0</v>
      </c>
      <c r="S48" s="3192"/>
      <c r="T48" s="3192">
        <f>G48</f>
        <v>0</v>
      </c>
      <c r="U48" s="3192"/>
      <c r="V48" s="3192">
        <f>I48</f>
        <v>0</v>
      </c>
      <c r="W48" s="3192"/>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200" t="str">
        <f>A49</f>
        <v>比较价格（元/平方米）</v>
      </c>
      <c r="Q49" s="3178"/>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86" t="str">
        <f>A50</f>
        <v>估价对象XX用房的比较价格（楼面单价，元/平方米）</v>
      </c>
      <c r="Q50" s="3200"/>
      <c r="R50" s="3281" t="e">
        <f>IF(F1="售价",ROUND(AVERAGE(R49:V49),0),ROUND(AVERAGE(R49:V49),1))</f>
        <v>#DIV/0!</v>
      </c>
      <c r="S50" s="3281"/>
      <c r="T50" s="3281"/>
      <c r="U50" s="3281"/>
      <c r="V50" s="3281"/>
      <c r="W50" s="3281"/>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2024-9</v>
      </c>
      <c r="D59" s="2552">
        <f>EDATE(C59,-1)</f>
        <v>45505</v>
      </c>
      <c r="E59" s="2552">
        <f t="shared" ref="E59:O59" si="16">EDATE(D59,-1)</f>
        <v>45474</v>
      </c>
      <c r="F59" s="2552">
        <f t="shared" si="16"/>
        <v>45444</v>
      </c>
      <c r="G59" s="2552">
        <f t="shared" si="16"/>
        <v>45413</v>
      </c>
      <c r="H59" s="2552">
        <f t="shared" si="16"/>
        <v>45383</v>
      </c>
      <c r="I59" s="2552">
        <f t="shared" si="16"/>
        <v>45352</v>
      </c>
      <c r="J59" s="2552">
        <f t="shared" si="16"/>
        <v>45323</v>
      </c>
      <c r="K59" s="2552">
        <f t="shared" si="16"/>
        <v>45292</v>
      </c>
      <c r="L59" s="2552">
        <f t="shared" si="16"/>
        <v>45261</v>
      </c>
      <c r="M59" s="2552">
        <f t="shared" si="16"/>
        <v>45231</v>
      </c>
      <c r="N59" s="2552">
        <f t="shared" si="16"/>
        <v>45200</v>
      </c>
      <c r="O59" s="2552">
        <f t="shared" si="16"/>
        <v>45170</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68"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70"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80" t="s">
        <v>540</v>
      </c>
      <c r="Q15" s="1477" t="str">
        <f t="shared" si="6"/>
        <v>产业集聚程度</v>
      </c>
      <c r="R15" s="1478" t="s">
        <v>8</v>
      </c>
      <c r="S15" s="1479">
        <f t="shared" si="0"/>
        <v>100</v>
      </c>
      <c r="T15" s="1478" t="s">
        <v>8</v>
      </c>
      <c r="U15" s="1479">
        <f t="shared" si="1"/>
        <v>100</v>
      </c>
      <c r="V15" s="1478" t="s">
        <v>8</v>
      </c>
      <c r="W15" s="1479">
        <f t="shared" si="2"/>
        <v>100</v>
      </c>
      <c r="X15" s="1473"/>
      <c r="Y15" s="3180"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181"/>
      <c r="Q22" s="1477"/>
      <c r="R22" s="1478"/>
      <c r="S22" s="1479"/>
      <c r="T22" s="1478"/>
      <c r="U22" s="1479"/>
      <c r="V22" s="1478"/>
      <c r="W22" s="1479"/>
      <c r="X22" s="1473"/>
      <c r="Y22" s="3181"/>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181"/>
      <c r="Q23" s="1477" t="str">
        <f>B23</f>
        <v>环境质量</v>
      </c>
      <c r="R23" s="1478" t="s">
        <v>8</v>
      </c>
      <c r="S23" s="1479">
        <f>F23</f>
        <v>100</v>
      </c>
      <c r="T23" s="1478" t="s">
        <v>8</v>
      </c>
      <c r="U23" s="1479">
        <f>H23</f>
        <v>100</v>
      </c>
      <c r="V23" s="1478" t="s">
        <v>8</v>
      </c>
      <c r="W23" s="1479">
        <f>J23</f>
        <v>100</v>
      </c>
      <c r="X23" s="1473"/>
      <c r="Y23" s="3181"/>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181"/>
      <c r="Q25" s="1477">
        <f>B25</f>
        <v>111</v>
      </c>
      <c r="R25" s="1478" t="s">
        <v>8</v>
      </c>
      <c r="S25" s="1479">
        <f>F25</f>
        <v>100</v>
      </c>
      <c r="T25" s="1478" t="s">
        <v>8</v>
      </c>
      <c r="U25" s="1479">
        <f>H25</f>
        <v>100</v>
      </c>
      <c r="V25" s="1478" t="s">
        <v>8</v>
      </c>
      <c r="W25" s="1479">
        <f>J25</f>
        <v>100</v>
      </c>
      <c r="X25" s="1473"/>
      <c r="Y25" s="3181"/>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181"/>
      <c r="Q26" s="1477">
        <f t="shared" ref="Q26:Q40" si="11">B26</f>
        <v>111</v>
      </c>
      <c r="R26" s="1478" t="s">
        <v>8</v>
      </c>
      <c r="S26" s="1479">
        <f>F26</f>
        <v>100</v>
      </c>
      <c r="T26" s="1478" t="s">
        <v>8</v>
      </c>
      <c r="U26" s="1479">
        <f>H26</f>
        <v>100</v>
      </c>
      <c r="V26" s="1478" t="s">
        <v>8</v>
      </c>
      <c r="W26" s="1479">
        <f>J26</f>
        <v>100</v>
      </c>
      <c r="X26" s="1473"/>
      <c r="Y26" s="3181"/>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181"/>
      <c r="Q27" s="852">
        <f t="shared" si="11"/>
        <v>111</v>
      </c>
      <c r="R27" s="1474" t="s">
        <v>8</v>
      </c>
      <c r="S27" s="1475">
        <f>F27</f>
        <v>100</v>
      </c>
      <c r="T27" s="1474" t="s">
        <v>8</v>
      </c>
      <c r="U27" s="1475">
        <f>H27</f>
        <v>100</v>
      </c>
      <c r="V27" s="1474" t="s">
        <v>8</v>
      </c>
      <c r="W27" s="1475">
        <f>J27</f>
        <v>100</v>
      </c>
      <c r="X27" s="1476"/>
      <c r="Y27" s="3181"/>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181"/>
      <c r="Q28" s="1477">
        <f t="shared" si="11"/>
        <v>111</v>
      </c>
      <c r="R28" s="1478" t="s">
        <v>8</v>
      </c>
      <c r="S28" s="1479">
        <f t="shared" ref="S28:S40" si="12">F28</f>
        <v>100</v>
      </c>
      <c r="T28" s="1478" t="s">
        <v>8</v>
      </c>
      <c r="U28" s="1479">
        <f t="shared" ref="U28:U40" si="13">H28</f>
        <v>100</v>
      </c>
      <c r="V28" s="1478" t="s">
        <v>8</v>
      </c>
      <c r="W28" s="1479">
        <f t="shared" ref="W28:W40" si="14">J28</f>
        <v>100</v>
      </c>
      <c r="X28" s="1473"/>
      <c r="Y28" s="3181"/>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182" t="s">
        <v>550</v>
      </c>
      <c r="Q29" s="1477" t="str">
        <f t="shared" si="11"/>
        <v>建筑类型</v>
      </c>
      <c r="R29" s="1478" t="s">
        <v>8</v>
      </c>
      <c r="S29" s="1479">
        <f t="shared" si="12"/>
        <v>100</v>
      </c>
      <c r="T29" s="1478" t="s">
        <v>8</v>
      </c>
      <c r="U29" s="1479">
        <f t="shared" si="13"/>
        <v>100</v>
      </c>
      <c r="V29" s="1478" t="s">
        <v>8</v>
      </c>
      <c r="W29" s="1479">
        <f t="shared" si="14"/>
        <v>100</v>
      </c>
      <c r="X29" s="1473"/>
      <c r="Y29" s="3183"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183"/>
      <c r="Q30" s="853" t="str">
        <f t="shared" si="11"/>
        <v>项目建筑规模</v>
      </c>
      <c r="R30" s="1481" t="s">
        <v>8</v>
      </c>
      <c r="S30" s="1482" t="e">
        <f t="shared" si="12"/>
        <v>#N/A</v>
      </c>
      <c r="T30" s="1481" t="s">
        <v>8</v>
      </c>
      <c r="U30" s="1482" t="e">
        <f t="shared" si="13"/>
        <v>#N/A</v>
      </c>
      <c r="V30" s="1481" t="s">
        <v>8</v>
      </c>
      <c r="W30" s="1482" t="e">
        <f t="shared" si="14"/>
        <v>#N/A</v>
      </c>
      <c r="X30" s="1483"/>
      <c r="Y30" s="3183"/>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183"/>
      <c r="Q31" s="1477" t="str">
        <f t="shared" si="11"/>
        <v>建筑结构</v>
      </c>
      <c r="R31" s="1478" t="s">
        <v>8</v>
      </c>
      <c r="S31" s="1479">
        <f t="shared" si="12"/>
        <v>100</v>
      </c>
      <c r="T31" s="1478" t="s">
        <v>8</v>
      </c>
      <c r="U31" s="1479">
        <f t="shared" si="13"/>
        <v>100</v>
      </c>
      <c r="V31" s="1478" t="s">
        <v>8</v>
      </c>
      <c r="W31" s="1479">
        <f t="shared" si="14"/>
        <v>100</v>
      </c>
      <c r="X31" s="1473"/>
      <c r="Y31" s="3183"/>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183"/>
      <c r="Q32" s="1477" t="str">
        <f t="shared" si="11"/>
        <v>公共部分装修</v>
      </c>
      <c r="R32" s="1478" t="s">
        <v>8</v>
      </c>
      <c r="S32" s="1479">
        <f t="shared" si="12"/>
        <v>100</v>
      </c>
      <c r="T32" s="1478" t="s">
        <v>8</v>
      </c>
      <c r="U32" s="1479">
        <f t="shared" si="13"/>
        <v>100</v>
      </c>
      <c r="V32" s="1478" t="s">
        <v>8</v>
      </c>
      <c r="W32" s="1479">
        <f t="shared" si="14"/>
        <v>100</v>
      </c>
      <c r="X32" s="1473"/>
      <c r="Y32" s="3183"/>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183"/>
      <c r="Q33" s="1477" t="str">
        <f t="shared" si="11"/>
        <v>成新度</v>
      </c>
      <c r="R33" s="1478" t="s">
        <v>8</v>
      </c>
      <c r="S33" s="1479" t="e">
        <f t="shared" si="12"/>
        <v>#N/A</v>
      </c>
      <c r="T33" s="1478" t="s">
        <v>8</v>
      </c>
      <c r="U33" s="1479" t="e">
        <f t="shared" si="13"/>
        <v>#N/A</v>
      </c>
      <c r="V33" s="1478" t="s">
        <v>8</v>
      </c>
      <c r="W33" s="1479" t="e">
        <f t="shared" si="14"/>
        <v>#N/A</v>
      </c>
      <c r="X33" s="1473"/>
      <c r="Y33" s="3183"/>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183"/>
      <c r="Q34" s="852" t="str">
        <f t="shared" si="11"/>
        <v>物业管理</v>
      </c>
      <c r="R34" s="1474" t="s">
        <v>8</v>
      </c>
      <c r="S34" s="1475">
        <f t="shared" si="12"/>
        <v>100</v>
      </c>
      <c r="T34" s="1474" t="s">
        <v>8</v>
      </c>
      <c r="U34" s="1475">
        <f t="shared" si="13"/>
        <v>100</v>
      </c>
      <c r="V34" s="1474" t="s">
        <v>8</v>
      </c>
      <c r="W34" s="1475">
        <f t="shared" si="14"/>
        <v>100</v>
      </c>
      <c r="X34" s="1476"/>
      <c r="Y34" s="3183"/>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183" t="s">
        <v>550</v>
      </c>
      <c r="Q35" s="1477" t="str">
        <f t="shared" si="11"/>
        <v>市政基础设施</v>
      </c>
      <c r="R35" s="1478" t="s">
        <v>8</v>
      </c>
      <c r="S35" s="1479">
        <f t="shared" si="12"/>
        <v>100</v>
      </c>
      <c r="T35" s="1478" t="s">
        <v>8</v>
      </c>
      <c r="U35" s="1479">
        <f t="shared" si="13"/>
        <v>100</v>
      </c>
      <c r="V35" s="1478" t="s">
        <v>8</v>
      </c>
      <c r="W35" s="1479">
        <f t="shared" si="14"/>
        <v>100</v>
      </c>
      <c r="X35" s="1473"/>
      <c r="Y35" s="3183"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183"/>
      <c r="Q36" s="1477" t="str">
        <f t="shared" si="11"/>
        <v>内部装修</v>
      </c>
      <c r="R36" s="1478" t="s">
        <v>8</v>
      </c>
      <c r="S36" s="1479">
        <f t="shared" si="12"/>
        <v>100</v>
      </c>
      <c r="T36" s="1478" t="s">
        <v>8</v>
      </c>
      <c r="U36" s="1479">
        <f t="shared" si="13"/>
        <v>100</v>
      </c>
      <c r="V36" s="1478" t="s">
        <v>8</v>
      </c>
      <c r="W36" s="1479">
        <f t="shared" si="14"/>
        <v>100</v>
      </c>
      <c r="X36" s="1473"/>
      <c r="Y36" s="3183"/>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183"/>
      <c r="Q37" s="1477" t="str">
        <f t="shared" si="11"/>
        <v>内部装修状况</v>
      </c>
      <c r="R37" s="1478" t="s">
        <v>8</v>
      </c>
      <c r="S37" s="1479">
        <f t="shared" si="12"/>
        <v>100</v>
      </c>
      <c r="T37" s="1478" t="s">
        <v>8</v>
      </c>
      <c r="U37" s="1479">
        <f t="shared" si="13"/>
        <v>100</v>
      </c>
      <c r="V37" s="1478" t="s">
        <v>8</v>
      </c>
      <c r="W37" s="1479">
        <f t="shared" si="14"/>
        <v>100</v>
      </c>
      <c r="X37" s="1473"/>
      <c r="Y37" s="3183"/>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183"/>
      <c r="Q38" s="853">
        <f t="shared" si="11"/>
        <v>111</v>
      </c>
      <c r="R38" s="1481" t="s">
        <v>8</v>
      </c>
      <c r="S38" s="1482">
        <f t="shared" si="12"/>
        <v>100</v>
      </c>
      <c r="T38" s="1481" t="s">
        <v>8</v>
      </c>
      <c r="U38" s="1482">
        <f t="shared" si="13"/>
        <v>100</v>
      </c>
      <c r="V38" s="1481" t="s">
        <v>8</v>
      </c>
      <c r="W38" s="1482">
        <f t="shared" si="14"/>
        <v>100</v>
      </c>
      <c r="X38" s="1483"/>
      <c r="Y38" s="3183"/>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183"/>
      <c r="Q39" s="1477">
        <f t="shared" si="11"/>
        <v>111</v>
      </c>
      <c r="R39" s="1478" t="s">
        <v>8</v>
      </c>
      <c r="S39" s="1479">
        <f t="shared" si="12"/>
        <v>100</v>
      </c>
      <c r="T39" s="1478" t="s">
        <v>8</v>
      </c>
      <c r="U39" s="1479">
        <f t="shared" si="13"/>
        <v>100</v>
      </c>
      <c r="V39" s="1478" t="s">
        <v>8</v>
      </c>
      <c r="W39" s="1479">
        <f t="shared" si="14"/>
        <v>100</v>
      </c>
      <c r="X39" s="1473"/>
      <c r="Y39" s="3183"/>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82"/>
      <c r="Q40" s="1477">
        <f t="shared" si="11"/>
        <v>111</v>
      </c>
      <c r="R40" s="1478" t="s">
        <v>8</v>
      </c>
      <c r="S40" s="1479">
        <f t="shared" si="12"/>
        <v>100</v>
      </c>
      <c r="T40" s="1478" t="s">
        <v>8</v>
      </c>
      <c r="U40" s="1479">
        <f t="shared" si="13"/>
        <v>100</v>
      </c>
      <c r="V40" s="1478" t="s">
        <v>8</v>
      </c>
      <c r="W40" s="1479">
        <f t="shared" si="14"/>
        <v>100</v>
      </c>
      <c r="X40" s="1473"/>
      <c r="Y40" s="3282"/>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78" t="str">
        <f>A41</f>
        <v>成交单价（元/平方米）</v>
      </c>
      <c r="Q41" s="3178"/>
      <c r="R41" s="3192">
        <f>E41</f>
        <v>0</v>
      </c>
      <c r="S41" s="3192"/>
      <c r="T41" s="3192">
        <f>G41</f>
        <v>0</v>
      </c>
      <c r="U41" s="3192"/>
      <c r="V41" s="3192">
        <f>I41</f>
        <v>0</v>
      </c>
      <c r="W41" s="3192"/>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78" t="str">
        <f>A42</f>
        <v>比较价格（元/平方米）</v>
      </c>
      <c r="Q42" s="3178"/>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99" t="str">
        <f>A43</f>
        <v>估价对象XX用房的比较价格（楼面单价，元/平方米）</v>
      </c>
      <c r="Q43" s="3200"/>
      <c r="R43" s="3281" t="e">
        <f>IF(F1="售价",ROUND(AVERAGE(R42:V42),0),ROUND(AVERAGE(R42:V42),1))</f>
        <v>#DIV/0!</v>
      </c>
      <c r="S43" s="3281"/>
      <c r="T43" s="3281"/>
      <c r="U43" s="3281"/>
      <c r="V43" s="3281"/>
      <c r="W43" s="3281"/>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2024-9</v>
      </c>
      <c r="D52" s="2552">
        <f>EDATE(C52,-1)</f>
        <v>45505</v>
      </c>
      <c r="E52" s="2552">
        <f t="shared" ref="E52:O52" si="16">EDATE(D52,-1)</f>
        <v>45474</v>
      </c>
      <c r="F52" s="2552">
        <f t="shared" si="16"/>
        <v>45444</v>
      </c>
      <c r="G52" s="2552">
        <f t="shared" si="16"/>
        <v>45413</v>
      </c>
      <c r="H52" s="2552">
        <f t="shared" si="16"/>
        <v>45383</v>
      </c>
      <c r="I52" s="2552">
        <f t="shared" si="16"/>
        <v>45352</v>
      </c>
      <c r="J52" s="2552">
        <f t="shared" si="16"/>
        <v>45323</v>
      </c>
      <c r="K52" s="2552">
        <f t="shared" si="16"/>
        <v>45292</v>
      </c>
      <c r="L52" s="2552">
        <f t="shared" si="16"/>
        <v>45261</v>
      </c>
      <c r="M52" s="2552">
        <f t="shared" si="16"/>
        <v>45231</v>
      </c>
      <c r="N52" s="2552">
        <f t="shared" si="16"/>
        <v>45200</v>
      </c>
      <c r="O52" s="2552">
        <f t="shared" si="16"/>
        <v>45170</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4" t="s">
        <v>798</v>
      </c>
      <c r="D4" s="3185"/>
      <c r="E4" s="3184" t="s">
        <v>799</v>
      </c>
      <c r="F4" s="3185"/>
      <c r="G4" s="3184" t="s">
        <v>800</v>
      </c>
      <c r="H4" s="3185"/>
      <c r="I4" s="3184" t="s">
        <v>801</v>
      </c>
      <c r="J4" s="3185"/>
      <c r="K4" s="492" t="s">
        <v>802</v>
      </c>
      <c r="L4" s="1985"/>
      <c r="M4" s="1986"/>
      <c r="N4" s="1986"/>
      <c r="O4" s="1986"/>
      <c r="P4" s="3186" t="s">
        <v>803</v>
      </c>
      <c r="Q4" s="3187"/>
      <c r="R4" s="3172" t="s">
        <v>799</v>
      </c>
      <c r="S4" s="3173"/>
      <c r="T4" s="3172" t="s">
        <v>800</v>
      </c>
      <c r="U4" s="3173"/>
      <c r="V4" s="3192" t="s">
        <v>801</v>
      </c>
      <c r="W4" s="3192"/>
      <c r="X4" s="1473"/>
      <c r="Y4" s="3172" t="s">
        <v>803</v>
      </c>
      <c r="Z4" s="3173"/>
      <c r="AA4" s="3167" t="s">
        <v>799</v>
      </c>
      <c r="AB4" s="3168" t="s">
        <v>800</v>
      </c>
      <c r="AC4" s="3167" t="s">
        <v>801</v>
      </c>
    </row>
    <row r="5" spans="1:29" ht="15">
      <c r="A5" s="493"/>
      <c r="B5" s="494"/>
      <c r="C5" s="3195" t="s">
        <v>2931</v>
      </c>
      <c r="D5" s="3196"/>
      <c r="E5" s="3195" t="s">
        <v>2932</v>
      </c>
      <c r="F5" s="3196"/>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197" t="s">
        <v>2935</v>
      </c>
      <c r="F6" s="3198"/>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70" t="s">
        <v>530</v>
      </c>
      <c r="Q7" s="3179"/>
      <c r="R7" s="1474" t="s">
        <v>8</v>
      </c>
      <c r="S7" s="1475">
        <f t="shared" ref="S7:S14" si="0">F7</f>
        <v>0</v>
      </c>
      <c r="T7" s="1474" t="s">
        <v>8</v>
      </c>
      <c r="U7" s="1475">
        <f t="shared" ref="U7:U14" si="1">H7</f>
        <v>0</v>
      </c>
      <c r="V7" s="1474" t="s">
        <v>8</v>
      </c>
      <c r="W7" s="1475">
        <f t="shared" ref="W7:W14"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78" t="s">
        <v>535</v>
      </c>
      <c r="Q9" s="852" t="str">
        <f t="shared" ref="Q9:Q14" si="6">B9</f>
        <v>用途</v>
      </c>
      <c r="R9" s="1474" t="s">
        <v>8</v>
      </c>
      <c r="S9" s="1475">
        <f t="shared" si="0"/>
        <v>100</v>
      </c>
      <c r="T9" s="1474" t="s">
        <v>8</v>
      </c>
      <c r="U9" s="1475">
        <f t="shared" si="1"/>
        <v>100</v>
      </c>
      <c r="V9" s="1474" t="s">
        <v>8</v>
      </c>
      <c r="W9" s="1475">
        <f t="shared" si="2"/>
        <v>100</v>
      </c>
      <c r="X9" s="1476"/>
      <c r="Y9" s="3135"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78"/>
      <c r="Q11" s="852">
        <f t="shared" si="6"/>
        <v>111</v>
      </c>
      <c r="R11" s="1474" t="s">
        <v>8</v>
      </c>
      <c r="S11" s="1475">
        <f t="shared" si="0"/>
        <v>100</v>
      </c>
      <c r="T11" s="1474" t="s">
        <v>8</v>
      </c>
      <c r="U11" s="1475">
        <f t="shared" si="1"/>
        <v>100</v>
      </c>
      <c r="V11" s="1474" t="s">
        <v>8</v>
      </c>
      <c r="W11" s="1475">
        <f t="shared" si="2"/>
        <v>100</v>
      </c>
      <c r="X11" s="1476"/>
      <c r="Y11" s="3135"/>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80" t="s">
        <v>540</v>
      </c>
      <c r="Q14" s="1477" t="str">
        <f t="shared" si="6"/>
        <v>交通便捷度</v>
      </c>
      <c r="R14" s="1478" t="s">
        <v>8</v>
      </c>
      <c r="S14" s="1479">
        <f t="shared" si="0"/>
        <v>100</v>
      </c>
      <c r="T14" s="1478" t="s">
        <v>8</v>
      </c>
      <c r="U14" s="1479">
        <f t="shared" si="1"/>
        <v>100</v>
      </c>
      <c r="V14" s="1478" t="s">
        <v>8</v>
      </c>
      <c r="W14" s="1479">
        <f t="shared" si="2"/>
        <v>100</v>
      </c>
      <c r="X14" s="1473"/>
      <c r="Y14" s="3180"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181"/>
      <c r="Q15" s="1477"/>
      <c r="R15" s="1478"/>
      <c r="S15" s="1479"/>
      <c r="T15" s="1478"/>
      <c r="U15" s="1479"/>
      <c r="V15" s="1478"/>
      <c r="W15" s="1479"/>
      <c r="X15" s="1473"/>
      <c r="Y15" s="3181"/>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181"/>
      <c r="Q16" s="1477" t="str">
        <f>B16</f>
        <v>公共配套设施</v>
      </c>
      <c r="R16" s="1478" t="s">
        <v>8</v>
      </c>
      <c r="S16" s="1479">
        <f>F16</f>
        <v>100</v>
      </c>
      <c r="T16" s="1478" t="s">
        <v>8</v>
      </c>
      <c r="U16" s="1479">
        <f>H16</f>
        <v>100</v>
      </c>
      <c r="V16" s="1478" t="s">
        <v>8</v>
      </c>
      <c r="W16" s="1479">
        <f>J16</f>
        <v>100</v>
      </c>
      <c r="X16" s="1473"/>
      <c r="Y16" s="3181"/>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181"/>
      <c r="Q17" s="1477"/>
      <c r="R17" s="1478"/>
      <c r="S17" s="1479"/>
      <c r="T17" s="1478"/>
      <c r="U17" s="1479"/>
      <c r="V17" s="1478"/>
      <c r="W17" s="1479"/>
      <c r="X17" s="1473"/>
      <c r="Y17" s="3181"/>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181"/>
      <c r="Q18" s="1477" t="str">
        <f>B18</f>
        <v>基础设施水平</v>
      </c>
      <c r="R18" s="1478" t="s">
        <v>8</v>
      </c>
      <c r="S18" s="1479">
        <f>F18</f>
        <v>100</v>
      </c>
      <c r="T18" s="1478" t="s">
        <v>8</v>
      </c>
      <c r="U18" s="1479">
        <f>H18</f>
        <v>100</v>
      </c>
      <c r="V18" s="1478" t="s">
        <v>8</v>
      </c>
      <c r="W18" s="1479">
        <f>J18</f>
        <v>100</v>
      </c>
      <c r="X18" s="1473"/>
      <c r="Y18" s="3181"/>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181"/>
      <c r="Q19" s="1477"/>
      <c r="R19" s="1478"/>
      <c r="S19" s="1479"/>
      <c r="T19" s="1478"/>
      <c r="U19" s="1479"/>
      <c r="V19" s="1478"/>
      <c r="W19" s="1479"/>
      <c r="X19" s="1473"/>
      <c r="Y19" s="3181"/>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181"/>
      <c r="Q20" s="1477" t="str">
        <f>B20</f>
        <v>自然及人文环境</v>
      </c>
      <c r="R20" s="1478" t="s">
        <v>8</v>
      </c>
      <c r="S20" s="1479">
        <f>F20</f>
        <v>100</v>
      </c>
      <c r="T20" s="1478" t="s">
        <v>8</v>
      </c>
      <c r="U20" s="1479">
        <f>H20</f>
        <v>100</v>
      </c>
      <c r="V20" s="1478" t="s">
        <v>8</v>
      </c>
      <c r="W20" s="1479">
        <f>J20</f>
        <v>100</v>
      </c>
      <c r="X20" s="1473"/>
      <c r="Y20" s="3181"/>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181"/>
      <c r="Q21" s="1477"/>
      <c r="R21" s="1478"/>
      <c r="S21" s="1479"/>
      <c r="T21" s="1478"/>
      <c r="U21" s="1479"/>
      <c r="V21" s="1478"/>
      <c r="W21" s="1479"/>
      <c r="X21" s="1473"/>
      <c r="Y21" s="3181"/>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181"/>
      <c r="Q22" s="1477" t="str">
        <f>B22</f>
        <v>楼层</v>
      </c>
      <c r="R22" s="1478" t="s">
        <v>8</v>
      </c>
      <c r="S22" s="1479">
        <f>F22</f>
        <v>100</v>
      </c>
      <c r="T22" s="1478" t="s">
        <v>8</v>
      </c>
      <c r="U22" s="1479">
        <f>H22</f>
        <v>100</v>
      </c>
      <c r="V22" s="1478" t="s">
        <v>8</v>
      </c>
      <c r="W22" s="1479">
        <f>J22</f>
        <v>100</v>
      </c>
      <c r="X22" s="1473"/>
      <c r="Y22" s="3181"/>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181"/>
      <c r="Q23" s="1477">
        <f>B23</f>
        <v>111</v>
      </c>
      <c r="R23" s="1478" t="s">
        <v>8</v>
      </c>
      <c r="S23" s="1479">
        <f>F23</f>
        <v>100</v>
      </c>
      <c r="T23" s="1478" t="s">
        <v>8</v>
      </c>
      <c r="U23" s="1479">
        <f>H23</f>
        <v>100</v>
      </c>
      <c r="V23" s="1478" t="s">
        <v>8</v>
      </c>
      <c r="W23" s="1479">
        <f>J23</f>
        <v>100</v>
      </c>
      <c r="X23" s="1473"/>
      <c r="Y23" s="3181"/>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181"/>
      <c r="Q24" s="1477">
        <f t="shared" ref="Q24:Q36" si="11">B24</f>
        <v>111</v>
      </c>
      <c r="R24" s="1478" t="s">
        <v>8</v>
      </c>
      <c r="S24" s="1479">
        <f>F24</f>
        <v>100</v>
      </c>
      <c r="T24" s="1478" t="s">
        <v>8</v>
      </c>
      <c r="U24" s="1479">
        <f>H24</f>
        <v>100</v>
      </c>
      <c r="V24" s="1478" t="s">
        <v>8</v>
      </c>
      <c r="W24" s="1479">
        <f>J24</f>
        <v>100</v>
      </c>
      <c r="X24" s="1473"/>
      <c r="Y24" s="3181"/>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181"/>
      <c r="Q25" s="852">
        <f t="shared" si="11"/>
        <v>111</v>
      </c>
      <c r="R25" s="1474" t="s">
        <v>8</v>
      </c>
      <c r="S25" s="1475">
        <f>F25</f>
        <v>100</v>
      </c>
      <c r="T25" s="1474" t="s">
        <v>8</v>
      </c>
      <c r="U25" s="1475">
        <f>H25</f>
        <v>100</v>
      </c>
      <c r="V25" s="1474" t="s">
        <v>8</v>
      </c>
      <c r="W25" s="1475">
        <f>J25</f>
        <v>100</v>
      </c>
      <c r="X25" s="1476"/>
      <c r="Y25" s="3181"/>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182"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183"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183"/>
      <c r="Q27" s="853" t="str">
        <f t="shared" si="11"/>
        <v>项目停车位配比</v>
      </c>
      <c r="R27" s="1481" t="s">
        <v>8</v>
      </c>
      <c r="S27" s="1482">
        <f t="shared" si="12"/>
        <v>100</v>
      </c>
      <c r="T27" s="1481" t="s">
        <v>8</v>
      </c>
      <c r="U27" s="1482">
        <f t="shared" si="13"/>
        <v>100</v>
      </c>
      <c r="V27" s="1481" t="s">
        <v>8</v>
      </c>
      <c r="W27" s="1482">
        <f t="shared" si="14"/>
        <v>100</v>
      </c>
      <c r="X27" s="1483"/>
      <c r="Y27" s="3183"/>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183"/>
      <c r="Q28" s="1477" t="str">
        <f t="shared" si="11"/>
        <v>公共部分装修</v>
      </c>
      <c r="R28" s="1478" t="s">
        <v>8</v>
      </c>
      <c r="S28" s="1479">
        <f t="shared" si="12"/>
        <v>100</v>
      </c>
      <c r="T28" s="1478" t="s">
        <v>8</v>
      </c>
      <c r="U28" s="1479">
        <f t="shared" si="13"/>
        <v>100</v>
      </c>
      <c r="V28" s="1478" t="s">
        <v>8</v>
      </c>
      <c r="W28" s="1479">
        <f t="shared" si="14"/>
        <v>100</v>
      </c>
      <c r="X28" s="1473"/>
      <c r="Y28" s="3183"/>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183"/>
      <c r="Q29" s="1477" t="str">
        <f t="shared" si="11"/>
        <v>成新率</v>
      </c>
      <c r="R29" s="1478" t="s">
        <v>8</v>
      </c>
      <c r="S29" s="1479" t="e">
        <f t="shared" si="12"/>
        <v>#N/A</v>
      </c>
      <c r="T29" s="1478" t="s">
        <v>8</v>
      </c>
      <c r="U29" s="1479" t="e">
        <f t="shared" si="13"/>
        <v>#N/A</v>
      </c>
      <c r="V29" s="1478" t="s">
        <v>8</v>
      </c>
      <c r="W29" s="1479" t="e">
        <f t="shared" si="14"/>
        <v>#N/A</v>
      </c>
      <c r="X29" s="1473"/>
      <c r="Y29" s="3183"/>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183"/>
      <c r="Q30" s="1477" t="str">
        <f t="shared" si="11"/>
        <v>物业等级</v>
      </c>
      <c r="R30" s="1478" t="s">
        <v>8</v>
      </c>
      <c r="S30" s="1479">
        <f t="shared" si="12"/>
        <v>100</v>
      </c>
      <c r="T30" s="1478" t="s">
        <v>8</v>
      </c>
      <c r="U30" s="1479">
        <f t="shared" si="13"/>
        <v>100</v>
      </c>
      <c r="V30" s="1478" t="s">
        <v>8</v>
      </c>
      <c r="W30" s="1479">
        <f t="shared" si="14"/>
        <v>100</v>
      </c>
      <c r="X30" s="1473"/>
      <c r="Y30" s="3183"/>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183"/>
      <c r="Q31" s="852" t="str">
        <f t="shared" si="11"/>
        <v>停车位面积</v>
      </c>
      <c r="R31" s="1474" t="s">
        <v>8</v>
      </c>
      <c r="S31" s="1475" t="e">
        <f t="shared" si="12"/>
        <v>#N/A</v>
      </c>
      <c r="T31" s="1474" t="s">
        <v>8</v>
      </c>
      <c r="U31" s="1475" t="e">
        <f t="shared" si="13"/>
        <v>#N/A</v>
      </c>
      <c r="V31" s="1474" t="s">
        <v>8</v>
      </c>
      <c r="W31" s="1475" t="e">
        <f t="shared" si="14"/>
        <v>#N/A</v>
      </c>
      <c r="X31" s="1476"/>
      <c r="Y31" s="3183"/>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183" t="s">
        <v>550</v>
      </c>
      <c r="Q32" s="1477" t="str">
        <f t="shared" si="11"/>
        <v>车位类型</v>
      </c>
      <c r="R32" s="1478" t="s">
        <v>8</v>
      </c>
      <c r="S32" s="1479">
        <f t="shared" si="12"/>
        <v>100</v>
      </c>
      <c r="T32" s="1478" t="s">
        <v>8</v>
      </c>
      <c r="U32" s="1479">
        <f t="shared" si="13"/>
        <v>100</v>
      </c>
      <c r="V32" s="1478" t="s">
        <v>8</v>
      </c>
      <c r="W32" s="1479">
        <f t="shared" si="14"/>
        <v>100</v>
      </c>
      <c r="X32" s="1473"/>
      <c r="Y32" s="3183"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183"/>
      <c r="Q33" s="1477" t="str">
        <f t="shared" si="11"/>
        <v>是否直接入户</v>
      </c>
      <c r="R33" s="1478" t="s">
        <v>8</v>
      </c>
      <c r="S33" s="1479">
        <f t="shared" si="12"/>
        <v>100</v>
      </c>
      <c r="T33" s="1478" t="s">
        <v>8</v>
      </c>
      <c r="U33" s="1479">
        <f t="shared" si="13"/>
        <v>100</v>
      </c>
      <c r="V33" s="1478" t="s">
        <v>8</v>
      </c>
      <c r="W33" s="1479">
        <f t="shared" si="14"/>
        <v>100</v>
      </c>
      <c r="X33" s="1473"/>
      <c r="Y33" s="3183"/>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183"/>
      <c r="Q34" s="1477">
        <f t="shared" si="11"/>
        <v>111</v>
      </c>
      <c r="R34" s="1478" t="s">
        <v>8</v>
      </c>
      <c r="S34" s="1479">
        <f t="shared" si="12"/>
        <v>100</v>
      </c>
      <c r="T34" s="1478" t="s">
        <v>8</v>
      </c>
      <c r="U34" s="1479">
        <f t="shared" si="13"/>
        <v>100</v>
      </c>
      <c r="V34" s="1478" t="s">
        <v>8</v>
      </c>
      <c r="W34" s="1479">
        <f t="shared" si="14"/>
        <v>100</v>
      </c>
      <c r="X34" s="1473"/>
      <c r="Y34" s="3183"/>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183"/>
      <c r="Q35" s="853">
        <f t="shared" si="11"/>
        <v>111</v>
      </c>
      <c r="R35" s="1481" t="s">
        <v>8</v>
      </c>
      <c r="S35" s="1482">
        <f t="shared" si="12"/>
        <v>100</v>
      </c>
      <c r="T35" s="1481" t="s">
        <v>8</v>
      </c>
      <c r="U35" s="1482">
        <f t="shared" si="13"/>
        <v>100</v>
      </c>
      <c r="V35" s="1481" t="s">
        <v>8</v>
      </c>
      <c r="W35" s="1482">
        <f t="shared" si="14"/>
        <v>100</v>
      </c>
      <c r="X35" s="1483"/>
      <c r="Y35" s="3183"/>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183"/>
      <c r="Q36" s="1477">
        <f t="shared" si="11"/>
        <v>111</v>
      </c>
      <c r="R36" s="1478" t="s">
        <v>8</v>
      </c>
      <c r="S36" s="1479">
        <f t="shared" si="12"/>
        <v>100</v>
      </c>
      <c r="T36" s="1478" t="s">
        <v>8</v>
      </c>
      <c r="U36" s="1479">
        <f t="shared" si="13"/>
        <v>100</v>
      </c>
      <c r="V36" s="1478" t="s">
        <v>8</v>
      </c>
      <c r="W36" s="1479">
        <f t="shared" si="14"/>
        <v>100</v>
      </c>
      <c r="X36" s="1473"/>
      <c r="Y36" s="3183"/>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78" t="str">
        <f>A37</f>
        <v>成交单价</v>
      </c>
      <c r="Q37" s="3178"/>
      <c r="R37" s="3192">
        <f>E37</f>
        <v>0</v>
      </c>
      <c r="S37" s="3192"/>
      <c r="T37" s="3192">
        <f>G37</f>
        <v>0</v>
      </c>
      <c r="U37" s="3192"/>
      <c r="V37" s="3192">
        <f>I37</f>
        <v>0</v>
      </c>
      <c r="W37" s="3192"/>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78" t="str">
        <f>A38</f>
        <v>比较价格（元/平方米）</v>
      </c>
      <c r="Q38" s="3178"/>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99" t="str">
        <f>A39</f>
        <v>估价对象XX用房的比较价格（楼面单价，元/平方米）</v>
      </c>
      <c r="Q39" s="3200"/>
      <c r="R39" s="3281" t="e">
        <f>IF(F1="售价",ROUND(AVERAGE(R38:V38),0),ROUND(AVERAGE(R38:V38),1))</f>
        <v>#DIV/0!</v>
      </c>
      <c r="S39" s="3281"/>
      <c r="T39" s="3281"/>
      <c r="U39" s="3281"/>
      <c r="V39" s="3281"/>
      <c r="W39" s="3281"/>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2024-9</v>
      </c>
      <c r="D48" s="2552">
        <f>EDATE(C48,-1)</f>
        <v>45505</v>
      </c>
      <c r="E48" s="2552">
        <f t="shared" ref="E48:O48" si="16">EDATE(D48,-1)</f>
        <v>45474</v>
      </c>
      <c r="F48" s="2552">
        <f t="shared" si="16"/>
        <v>45444</v>
      </c>
      <c r="G48" s="2552">
        <f t="shared" si="16"/>
        <v>45413</v>
      </c>
      <c r="H48" s="2552">
        <f t="shared" si="16"/>
        <v>45383</v>
      </c>
      <c r="I48" s="2552">
        <f t="shared" si="16"/>
        <v>45352</v>
      </c>
      <c r="J48" s="2552">
        <f t="shared" si="16"/>
        <v>45323</v>
      </c>
      <c r="K48" s="2552">
        <f t="shared" si="16"/>
        <v>45292</v>
      </c>
      <c r="L48" s="2552">
        <f t="shared" si="16"/>
        <v>45261</v>
      </c>
      <c r="M48" s="2552">
        <f t="shared" si="16"/>
        <v>45231</v>
      </c>
      <c r="N48" s="2552">
        <f t="shared" si="16"/>
        <v>45200</v>
      </c>
      <c r="O48" s="2552">
        <f t="shared" si="16"/>
        <v>45170</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4" t="s">
        <v>798</v>
      </c>
      <c r="D4" s="3185"/>
      <c r="E4" s="3208" t="s">
        <v>799</v>
      </c>
      <c r="F4" s="3209"/>
      <c r="G4" s="3184" t="s">
        <v>800</v>
      </c>
      <c r="H4" s="3185"/>
      <c r="I4" s="3184" t="s">
        <v>801</v>
      </c>
      <c r="J4" s="3185"/>
      <c r="K4" s="492" t="s">
        <v>802</v>
      </c>
      <c r="L4" s="1985"/>
      <c r="M4" s="1986"/>
      <c r="N4" s="1986"/>
      <c r="O4" s="1986"/>
      <c r="P4" s="3186" t="s">
        <v>803</v>
      </c>
      <c r="Q4" s="3187"/>
      <c r="R4" s="3172" t="s">
        <v>799</v>
      </c>
      <c r="S4" s="3173"/>
      <c r="T4" s="3172" t="s">
        <v>800</v>
      </c>
      <c r="U4" s="3173"/>
      <c r="V4" s="3192" t="s">
        <v>801</v>
      </c>
      <c r="W4" s="3192"/>
      <c r="X4" s="1473"/>
      <c r="Y4" s="3172" t="s">
        <v>803</v>
      </c>
      <c r="Z4" s="3173"/>
      <c r="AA4" s="3167" t="s">
        <v>799</v>
      </c>
      <c r="AB4" s="3168" t="s">
        <v>800</v>
      </c>
      <c r="AC4" s="3167" t="s">
        <v>801</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70" t="s">
        <v>530</v>
      </c>
      <c r="Q7" s="3179"/>
      <c r="R7" s="1474" t="s">
        <v>8</v>
      </c>
      <c r="S7" s="1475">
        <f t="shared" ref="S7:S14" si="0">F7</f>
        <v>0</v>
      </c>
      <c r="T7" s="1474" t="s">
        <v>8</v>
      </c>
      <c r="U7" s="1475">
        <f t="shared" ref="U7:U14" si="1">H7</f>
        <v>0</v>
      </c>
      <c r="V7" s="1474" t="s">
        <v>8</v>
      </c>
      <c r="W7" s="1475">
        <f t="shared" ref="W7:W14"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78" t="s">
        <v>535</v>
      </c>
      <c r="Q9" s="852" t="str">
        <f t="shared" ref="Q9:Q14" si="6">B9</f>
        <v>用途</v>
      </c>
      <c r="R9" s="1474" t="s">
        <v>8</v>
      </c>
      <c r="S9" s="1475">
        <f t="shared" si="0"/>
        <v>100</v>
      </c>
      <c r="T9" s="1474" t="s">
        <v>8</v>
      </c>
      <c r="U9" s="1475">
        <f t="shared" si="1"/>
        <v>100</v>
      </c>
      <c r="V9" s="1474" t="s">
        <v>8</v>
      </c>
      <c r="W9" s="1475">
        <f t="shared" si="2"/>
        <v>100</v>
      </c>
      <c r="X9" s="1476"/>
      <c r="Y9" s="3135"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78"/>
      <c r="Q11" s="852">
        <f t="shared" si="6"/>
        <v>111</v>
      </c>
      <c r="R11" s="1474" t="s">
        <v>8</v>
      </c>
      <c r="S11" s="1475">
        <f t="shared" si="0"/>
        <v>100</v>
      </c>
      <c r="T11" s="1474" t="s">
        <v>8</v>
      </c>
      <c r="U11" s="1475">
        <f t="shared" si="1"/>
        <v>100</v>
      </c>
      <c r="V11" s="1474" t="s">
        <v>8</v>
      </c>
      <c r="W11" s="1475">
        <f t="shared" si="2"/>
        <v>100</v>
      </c>
      <c r="X11" s="1476"/>
      <c r="Y11" s="3135"/>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80" t="s">
        <v>540</v>
      </c>
      <c r="Q14" s="1477" t="str">
        <f t="shared" si="6"/>
        <v>交通便捷度</v>
      </c>
      <c r="R14" s="1478" t="s">
        <v>8</v>
      </c>
      <c r="S14" s="1479">
        <f t="shared" si="0"/>
        <v>100</v>
      </c>
      <c r="T14" s="1478" t="s">
        <v>8</v>
      </c>
      <c r="U14" s="1479">
        <f t="shared" si="1"/>
        <v>100</v>
      </c>
      <c r="V14" s="1478" t="s">
        <v>8</v>
      </c>
      <c r="W14" s="1479">
        <f t="shared" si="2"/>
        <v>100</v>
      </c>
      <c r="X14" s="1473"/>
      <c r="Y14" s="3180"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181"/>
      <c r="Q15" s="1477"/>
      <c r="R15" s="1478"/>
      <c r="S15" s="1479"/>
      <c r="T15" s="1478"/>
      <c r="U15" s="1479"/>
      <c r="V15" s="1478"/>
      <c r="W15" s="1479"/>
      <c r="X15" s="1473"/>
      <c r="Y15" s="3181"/>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181"/>
      <c r="Q16" s="1477" t="str">
        <f>B16</f>
        <v>公共配套设施</v>
      </c>
      <c r="R16" s="1478" t="s">
        <v>8</v>
      </c>
      <c r="S16" s="1479">
        <f>F16</f>
        <v>100</v>
      </c>
      <c r="T16" s="1478" t="s">
        <v>8</v>
      </c>
      <c r="U16" s="1479">
        <f>H16</f>
        <v>100</v>
      </c>
      <c r="V16" s="1478" t="s">
        <v>8</v>
      </c>
      <c r="W16" s="1479">
        <f>J16</f>
        <v>100</v>
      </c>
      <c r="X16" s="1473"/>
      <c r="Y16" s="3181"/>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181"/>
      <c r="Q17" s="1477"/>
      <c r="R17" s="1478"/>
      <c r="S17" s="1479"/>
      <c r="T17" s="1478"/>
      <c r="U17" s="1479"/>
      <c r="V17" s="1478"/>
      <c r="W17" s="1479"/>
      <c r="X17" s="1473"/>
      <c r="Y17" s="3181"/>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181"/>
      <c r="Q18" s="1477" t="str">
        <f>B18</f>
        <v>基础设施水平</v>
      </c>
      <c r="R18" s="1478" t="s">
        <v>8</v>
      </c>
      <c r="S18" s="1479">
        <f>F18</f>
        <v>100</v>
      </c>
      <c r="T18" s="1478" t="s">
        <v>8</v>
      </c>
      <c r="U18" s="1479">
        <f>H18</f>
        <v>100</v>
      </c>
      <c r="V18" s="1478" t="s">
        <v>8</v>
      </c>
      <c r="W18" s="1479">
        <f>J18</f>
        <v>100</v>
      </c>
      <c r="X18" s="1473"/>
      <c r="Y18" s="3181"/>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181"/>
      <c r="Q19" s="1477"/>
      <c r="R19" s="1478"/>
      <c r="S19" s="1479"/>
      <c r="T19" s="1478"/>
      <c r="U19" s="1479"/>
      <c r="V19" s="1478"/>
      <c r="W19" s="1479"/>
      <c r="X19" s="1473"/>
      <c r="Y19" s="3181"/>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181"/>
      <c r="Q20" s="1477" t="str">
        <f>B20</f>
        <v>自然及人文环境</v>
      </c>
      <c r="R20" s="1478" t="s">
        <v>8</v>
      </c>
      <c r="S20" s="1479">
        <f>F20</f>
        <v>100</v>
      </c>
      <c r="T20" s="1478" t="s">
        <v>8</v>
      </c>
      <c r="U20" s="1479">
        <f>H20</f>
        <v>100</v>
      </c>
      <c r="V20" s="1478" t="s">
        <v>8</v>
      </c>
      <c r="W20" s="1479">
        <f>J20</f>
        <v>100</v>
      </c>
      <c r="X20" s="1473"/>
      <c r="Y20" s="3181"/>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181"/>
      <c r="Q21" s="1477"/>
      <c r="R21" s="1478"/>
      <c r="S21" s="1479"/>
      <c r="T21" s="1478"/>
      <c r="U21" s="1479"/>
      <c r="V21" s="1478"/>
      <c r="W21" s="1479"/>
      <c r="X21" s="1473"/>
      <c r="Y21" s="3181"/>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181"/>
      <c r="Q22" s="1477" t="str">
        <f>B22</f>
        <v>楼层</v>
      </c>
      <c r="R22" s="1478" t="s">
        <v>8</v>
      </c>
      <c r="S22" s="1479">
        <f>F22</f>
        <v>100</v>
      </c>
      <c r="T22" s="1478" t="s">
        <v>8</v>
      </c>
      <c r="U22" s="1479">
        <f>H22</f>
        <v>100</v>
      </c>
      <c r="V22" s="1478" t="s">
        <v>8</v>
      </c>
      <c r="W22" s="1479">
        <f>J22</f>
        <v>100</v>
      </c>
      <c r="X22" s="1473"/>
      <c r="Y22" s="3181"/>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181"/>
      <c r="Q23" s="1477">
        <f>B23</f>
        <v>111</v>
      </c>
      <c r="R23" s="1478" t="s">
        <v>8</v>
      </c>
      <c r="S23" s="1479">
        <f>F23</f>
        <v>100</v>
      </c>
      <c r="T23" s="1478" t="s">
        <v>8</v>
      </c>
      <c r="U23" s="1479">
        <f>H23</f>
        <v>100</v>
      </c>
      <c r="V23" s="1478" t="s">
        <v>8</v>
      </c>
      <c r="W23" s="1479">
        <f>J23</f>
        <v>100</v>
      </c>
      <c r="X23" s="1473"/>
      <c r="Y23" s="3181"/>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181"/>
      <c r="Q24" s="1477">
        <f t="shared" ref="Q24:Q34" si="11">B24</f>
        <v>111</v>
      </c>
      <c r="R24" s="1478" t="s">
        <v>8</v>
      </c>
      <c r="S24" s="1479">
        <f>F24</f>
        <v>100</v>
      </c>
      <c r="T24" s="1478" t="s">
        <v>8</v>
      </c>
      <c r="U24" s="1479">
        <f>H24</f>
        <v>100</v>
      </c>
      <c r="V24" s="1478" t="s">
        <v>8</v>
      </c>
      <c r="W24" s="1479">
        <f>J24</f>
        <v>100</v>
      </c>
      <c r="X24" s="1473"/>
      <c r="Y24" s="3181"/>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181"/>
      <c r="Q25" s="852">
        <f t="shared" si="11"/>
        <v>111</v>
      </c>
      <c r="R25" s="1474" t="s">
        <v>8</v>
      </c>
      <c r="S25" s="1475">
        <f>F25</f>
        <v>100</v>
      </c>
      <c r="T25" s="1474" t="s">
        <v>8</v>
      </c>
      <c r="U25" s="1475">
        <f>H25</f>
        <v>100</v>
      </c>
      <c r="V25" s="1474" t="s">
        <v>8</v>
      </c>
      <c r="W25" s="1475">
        <f>J25</f>
        <v>100</v>
      </c>
      <c r="X25" s="1476"/>
      <c r="Y25" s="3181"/>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182"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183"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183"/>
      <c r="Q27" s="853" t="str">
        <f t="shared" si="11"/>
        <v>成新率</v>
      </c>
      <c r="R27" s="1481" t="s">
        <v>8</v>
      </c>
      <c r="S27" s="1482" t="e">
        <f t="shared" si="12"/>
        <v>#N/A</v>
      </c>
      <c r="T27" s="1481" t="s">
        <v>8</v>
      </c>
      <c r="U27" s="1482" t="e">
        <f t="shared" si="13"/>
        <v>#N/A</v>
      </c>
      <c r="V27" s="1481" t="s">
        <v>8</v>
      </c>
      <c r="W27" s="1482" t="e">
        <f t="shared" si="14"/>
        <v>#N/A</v>
      </c>
      <c r="X27" s="1483"/>
      <c r="Y27" s="3183"/>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183"/>
      <c r="Q28" s="1477" t="str">
        <f t="shared" si="11"/>
        <v>物业等级</v>
      </c>
      <c r="R28" s="1478" t="s">
        <v>8</v>
      </c>
      <c r="S28" s="1479">
        <f t="shared" si="12"/>
        <v>100</v>
      </c>
      <c r="T28" s="1478" t="s">
        <v>8</v>
      </c>
      <c r="U28" s="1479">
        <f t="shared" si="13"/>
        <v>100</v>
      </c>
      <c r="V28" s="1478" t="s">
        <v>8</v>
      </c>
      <c r="W28" s="1479">
        <f t="shared" si="14"/>
        <v>100</v>
      </c>
      <c r="X28" s="1473"/>
      <c r="Y28" s="3183"/>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183"/>
      <c r="Q29" s="1477" t="str">
        <f t="shared" si="11"/>
        <v>有无电梯</v>
      </c>
      <c r="R29" s="1478" t="s">
        <v>8</v>
      </c>
      <c r="S29" s="1479">
        <f t="shared" si="12"/>
        <v>100</v>
      </c>
      <c r="T29" s="1478" t="s">
        <v>8</v>
      </c>
      <c r="U29" s="1479">
        <f t="shared" si="13"/>
        <v>100</v>
      </c>
      <c r="V29" s="1478" t="s">
        <v>8</v>
      </c>
      <c r="W29" s="1479">
        <f t="shared" si="14"/>
        <v>100</v>
      </c>
      <c r="X29" s="1473"/>
      <c r="Y29" s="3183"/>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183"/>
      <c r="Q30" s="1477" t="str">
        <f t="shared" si="11"/>
        <v>建筑面积</v>
      </c>
      <c r="R30" s="1478" t="s">
        <v>8</v>
      </c>
      <c r="S30" s="1479" t="e">
        <f t="shared" si="12"/>
        <v>#N/A</v>
      </c>
      <c r="T30" s="1478" t="s">
        <v>8</v>
      </c>
      <c r="U30" s="1479" t="e">
        <f t="shared" si="13"/>
        <v>#N/A</v>
      </c>
      <c r="V30" s="1478" t="s">
        <v>8</v>
      </c>
      <c r="W30" s="1479" t="e">
        <f t="shared" si="14"/>
        <v>#N/A</v>
      </c>
      <c r="X30" s="1473"/>
      <c r="Y30" s="3183"/>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183"/>
      <c r="Q31" s="852" t="str">
        <f t="shared" si="11"/>
        <v>是否封闭</v>
      </c>
      <c r="R31" s="1474" t="s">
        <v>8</v>
      </c>
      <c r="S31" s="1475">
        <f t="shared" si="12"/>
        <v>100</v>
      </c>
      <c r="T31" s="1474" t="s">
        <v>8</v>
      </c>
      <c r="U31" s="1475">
        <f t="shared" si="13"/>
        <v>100</v>
      </c>
      <c r="V31" s="1474" t="s">
        <v>8</v>
      </c>
      <c r="W31" s="1475">
        <f t="shared" si="14"/>
        <v>100</v>
      </c>
      <c r="X31" s="1476"/>
      <c r="Y31" s="3183"/>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183" t="s">
        <v>550</v>
      </c>
      <c r="Q32" s="1477">
        <f t="shared" si="11"/>
        <v>111</v>
      </c>
      <c r="R32" s="1478" t="s">
        <v>8</v>
      </c>
      <c r="S32" s="1479">
        <f t="shared" si="12"/>
        <v>100</v>
      </c>
      <c r="T32" s="1478" t="s">
        <v>8</v>
      </c>
      <c r="U32" s="1479">
        <f t="shared" si="13"/>
        <v>100</v>
      </c>
      <c r="V32" s="1478" t="s">
        <v>8</v>
      </c>
      <c r="W32" s="1479">
        <f t="shared" si="14"/>
        <v>100</v>
      </c>
      <c r="X32" s="1473"/>
      <c r="Y32" s="3183"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183"/>
      <c r="Q33" s="1477">
        <f t="shared" si="11"/>
        <v>111</v>
      </c>
      <c r="R33" s="1478" t="s">
        <v>8</v>
      </c>
      <c r="S33" s="1479">
        <f t="shared" si="12"/>
        <v>100</v>
      </c>
      <c r="T33" s="1478" t="s">
        <v>8</v>
      </c>
      <c r="U33" s="1479">
        <f t="shared" si="13"/>
        <v>100</v>
      </c>
      <c r="V33" s="1478" t="s">
        <v>8</v>
      </c>
      <c r="W33" s="1479">
        <f t="shared" si="14"/>
        <v>100</v>
      </c>
      <c r="X33" s="1473"/>
      <c r="Y33" s="3183"/>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183"/>
      <c r="Q34" s="1477">
        <f t="shared" si="11"/>
        <v>111</v>
      </c>
      <c r="R34" s="1478" t="s">
        <v>8</v>
      </c>
      <c r="S34" s="1479">
        <f t="shared" si="12"/>
        <v>100</v>
      </c>
      <c r="T34" s="1478" t="s">
        <v>8</v>
      </c>
      <c r="U34" s="1479">
        <f t="shared" si="13"/>
        <v>100</v>
      </c>
      <c r="V34" s="1478" t="s">
        <v>8</v>
      </c>
      <c r="W34" s="1479">
        <f t="shared" si="14"/>
        <v>100</v>
      </c>
      <c r="X34" s="1473"/>
      <c r="Y34" s="3183"/>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78" t="str">
        <f>A35</f>
        <v>成交单价（元/平方米）</v>
      </c>
      <c r="Q35" s="3178"/>
      <c r="R35" s="3192">
        <f>E35</f>
        <v>0</v>
      </c>
      <c r="S35" s="3192"/>
      <c r="T35" s="3192">
        <f>G35</f>
        <v>0</v>
      </c>
      <c r="U35" s="3192"/>
      <c r="V35" s="3192">
        <f>I35</f>
        <v>0</v>
      </c>
      <c r="W35" s="3192"/>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78" t="str">
        <f>A36</f>
        <v>比较价格（元/平方米）</v>
      </c>
      <c r="Q36" s="3178"/>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99" t="str">
        <f>A37</f>
        <v>估价对象XX用房的比较价格（楼面单价，元/平方米）</v>
      </c>
      <c r="Q37" s="3200"/>
      <c r="R37" s="3281" t="e">
        <f>IF(F1="售价",ROUND(AVERAGE(R36:V36),0),ROUND(AVERAGE(R36:V36),1))</f>
        <v>#DIV/0!</v>
      </c>
      <c r="S37" s="3281"/>
      <c r="T37" s="3281"/>
      <c r="U37" s="3281"/>
      <c r="V37" s="3281"/>
      <c r="W37" s="3281"/>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2024-9</v>
      </c>
      <c r="D46" s="2552">
        <f>EDATE(C46,-1)</f>
        <v>45505</v>
      </c>
      <c r="E46" s="2552">
        <f t="shared" ref="E46:O46" si="16">EDATE(D46,-1)</f>
        <v>45474</v>
      </c>
      <c r="F46" s="2552">
        <f t="shared" si="16"/>
        <v>45444</v>
      </c>
      <c r="G46" s="2552">
        <f t="shared" si="16"/>
        <v>45413</v>
      </c>
      <c r="H46" s="2552">
        <f t="shared" si="16"/>
        <v>45383</v>
      </c>
      <c r="I46" s="2552">
        <f t="shared" si="16"/>
        <v>45352</v>
      </c>
      <c r="J46" s="2552">
        <f t="shared" si="16"/>
        <v>45323</v>
      </c>
      <c r="K46" s="2552">
        <f t="shared" si="16"/>
        <v>45292</v>
      </c>
      <c r="L46" s="2552">
        <f t="shared" si="16"/>
        <v>45261</v>
      </c>
      <c r="M46" s="2552">
        <f t="shared" si="16"/>
        <v>45231</v>
      </c>
      <c r="N46" s="2552">
        <f t="shared" si="16"/>
        <v>45200</v>
      </c>
      <c r="O46" s="2552">
        <f t="shared" si="16"/>
        <v>45170</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0" t="s">
        <v>2304</v>
      </c>
      <c r="D1" s="3291"/>
      <c r="E1" s="3291"/>
      <c r="F1" s="3291"/>
      <c r="G1" s="3291"/>
      <c r="H1" s="3291"/>
      <c r="I1" s="3291"/>
      <c r="J1" s="3291"/>
      <c r="K1" s="3291"/>
      <c r="L1" s="3291"/>
      <c r="M1" s="3291"/>
      <c r="N1" s="3291"/>
      <c r="O1" s="3291"/>
      <c r="P1" s="3291"/>
      <c r="Q1" s="3291"/>
      <c r="R1" s="3291"/>
      <c r="S1" s="3292"/>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7" t="s">
        <v>20</v>
      </c>
      <c r="D22" s="3288"/>
      <c r="E22" s="3288"/>
      <c r="F22" s="3288"/>
      <c r="G22" s="3288"/>
      <c r="H22" s="3288"/>
      <c r="I22" s="3288"/>
      <c r="J22" s="3288"/>
      <c r="K22" s="3288"/>
      <c r="L22" s="3288"/>
      <c r="M22" s="3288"/>
      <c r="N22" s="3288"/>
      <c r="O22" s="3288"/>
      <c r="P22" s="3288"/>
      <c r="Q22" s="3289"/>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45544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321.93819999999999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3145</v>
      </c>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45544</v>
      </c>
      <c r="C27" s="2317"/>
    </row>
    <row r="28" spans="1:10">
      <c r="A28" s="2983" t="s">
        <v>3154</v>
      </c>
      <c r="B28" s="2984">
        <v>53661</v>
      </c>
      <c r="C28" s="2317"/>
    </row>
    <row r="29" spans="1:10">
      <c r="A29" s="2983" t="s">
        <v>3156</v>
      </c>
      <c r="B29" s="2317">
        <f>ROUND((B28-B27)/365,2)</f>
        <v>22.24</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1042.7508</v>
      </c>
      <c r="C2" s="1960"/>
      <c r="D2" s="1960"/>
      <c r="E2" s="1960"/>
      <c r="F2" s="1960"/>
      <c r="G2" s="1960"/>
      <c r="H2" s="1960"/>
    </row>
    <row r="3" spans="1:10" ht="15.75">
      <c r="A3" s="1307" t="s">
        <v>1684</v>
      </c>
      <c r="B3" s="406"/>
      <c r="C3" s="1960"/>
      <c r="D3" s="1960"/>
      <c r="E3" s="1960"/>
      <c r="F3" s="1960"/>
      <c r="G3" s="1960"/>
      <c r="H3" s="1960"/>
    </row>
    <row r="4" spans="1:10" ht="27">
      <c r="A4" s="2954" t="s">
        <v>468</v>
      </c>
      <c r="B4" s="408">
        <f>I23</f>
        <v>1092</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0.87949999999999995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1092</v>
      </c>
      <c r="J23" s="2950" t="s">
        <v>3150</v>
      </c>
    </row>
    <row r="25" spans="1:10">
      <c r="A25" s="2317"/>
      <c r="B25" s="2980" t="s">
        <v>3133</v>
      </c>
      <c r="C25" s="2317">
        <f>ROUND((1-1/(1+B26)^B29)/(1-1/(1+B26)^B30),3)</f>
        <v>0.93</v>
      </c>
    </row>
    <row r="26" spans="1:10">
      <c r="A26" s="2981" t="s">
        <v>3157</v>
      </c>
      <c r="B26" s="2982">
        <v>0.06</v>
      </c>
      <c r="C26" s="2317"/>
    </row>
    <row r="27" spans="1:10">
      <c r="A27" s="2983" t="s">
        <v>3153</v>
      </c>
      <c r="B27" s="2984">
        <f>项目基本情况!D3</f>
        <v>45544</v>
      </c>
      <c r="C27" s="2317"/>
    </row>
    <row r="28" spans="1:10">
      <c r="A28" s="2983" t="s">
        <v>3154</v>
      </c>
      <c r="B28" s="2984">
        <v>58818</v>
      </c>
      <c r="C28" s="2317"/>
    </row>
    <row r="29" spans="1:10">
      <c r="A29" s="2983" t="s">
        <v>3156</v>
      </c>
      <c r="B29" s="2317">
        <f>ROUND((B28-B27)/365,2)</f>
        <v>36.369999999999997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5"/>
  <sheetViews>
    <sheetView tabSelected="1" zoomScale="80" zoomScaleNormal="80" workbookViewId="0">
      <selection activeCell="J3" sqref="J3"/>
    </sheetView>
  </sheetViews>
  <sheetFormatPr defaultRowHeight="13.5"/>
  <cols>
    <col min="1" max="1" width="11.25" customWidth="1"/>
    <col min="2" max="2" width="28" customWidth="1"/>
    <col min="3" max="3" width="15.75" bestFit="1" customWidth="1"/>
    <col min="4" max="4" width="10.75" customWidth="1"/>
    <col min="5" max="5" width="9.25" customWidth="1"/>
    <col min="6" max="6" width="12" bestFit="1" customWidth="1"/>
    <col min="7" max="8" width="10.5" customWidth="1"/>
    <col min="9" max="9" width="10.125" customWidth="1"/>
    <col min="10" max="10" width="75" customWidth="1"/>
  </cols>
  <sheetData>
    <row r="1" spans="1:10" ht="20.25">
      <c r="A1" s="2942" t="s">
        <v>2998</v>
      </c>
      <c r="B1" s="708"/>
      <c r="C1" s="2027"/>
      <c r="D1" s="2027"/>
      <c r="E1" s="2027"/>
      <c r="F1" s="2979" t="s">
        <v>3152</v>
      </c>
      <c r="G1" s="2971">
        <v>5479.15</v>
      </c>
      <c r="H1" s="1960"/>
    </row>
    <row r="2" spans="1:10" ht="15.75">
      <c r="A2" s="404" t="s">
        <v>467</v>
      </c>
      <c r="B2" s="406">
        <f>ROUND(B4*G1,4)</f>
        <v>5051776.3</v>
      </c>
      <c r="C2" s="1960"/>
      <c r="D2" s="1960"/>
      <c r="E2" s="1960"/>
      <c r="F2" s="1960"/>
      <c r="G2" s="1960"/>
      <c r="H2" s="1960"/>
    </row>
    <row r="3" spans="1:10" ht="15.75">
      <c r="A3" s="1307" t="s">
        <v>1684</v>
      </c>
      <c r="B3" s="406"/>
      <c r="C3" s="1960"/>
      <c r="D3" s="1960"/>
      <c r="E3" s="1960"/>
      <c r="F3" s="1960"/>
      <c r="G3" s="1960"/>
      <c r="H3" s="1960"/>
    </row>
    <row r="4" spans="1:10" ht="27">
      <c r="A4" s="2954" t="s">
        <v>468</v>
      </c>
      <c r="B4" s="408">
        <f>I23</f>
        <v>922</v>
      </c>
      <c r="C4" s="1917"/>
      <c r="D4" s="1960"/>
      <c r="E4" s="1960"/>
      <c r="F4" s="1960"/>
      <c r="G4" s="1960"/>
      <c r="H4" s="1960"/>
    </row>
    <row r="5" spans="1:10" ht="15.75">
      <c r="A5" s="410"/>
      <c r="B5" s="411">
        <f>ROUND(B2/(G1/666.67)/10000,2)</f>
        <v>61.47</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c r="A9" s="2272">
        <v>1</v>
      </c>
      <c r="B9" s="2949" t="s">
        <v>3036</v>
      </c>
      <c r="C9" s="715" t="s">
        <v>3058</v>
      </c>
      <c r="D9" s="715" t="s">
        <v>3058</v>
      </c>
      <c r="E9" s="716" t="s">
        <v>3058</v>
      </c>
      <c r="F9" s="716" t="s">
        <v>3058</v>
      </c>
      <c r="G9" s="2964"/>
      <c r="H9" s="2959"/>
      <c r="I9" s="2960">
        <f>I10+I12+I13</f>
        <v>602</v>
      </c>
      <c r="J9" s="2950" t="s">
        <v>3134</v>
      </c>
    </row>
    <row r="10" spans="1:10">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87">
        <v>15</v>
      </c>
      <c r="D11" s="715" t="s">
        <v>3060</v>
      </c>
      <c r="E11" s="2990"/>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88">
        <v>39.200000000000003</v>
      </c>
      <c r="D15" s="715" t="s">
        <v>3080</v>
      </c>
      <c r="E15" s="2991"/>
      <c r="F15" s="2956" t="s">
        <v>3061</v>
      </c>
      <c r="G15" s="717"/>
      <c r="H15" s="717"/>
      <c r="I15" s="2960">
        <v>39.200000000000003</v>
      </c>
      <c r="J15" s="2965" t="s">
        <v>3142</v>
      </c>
    </row>
    <row r="16" spans="1:10">
      <c r="A16" s="2995" t="s">
        <v>3162</v>
      </c>
      <c r="B16" s="2948" t="s">
        <v>3160</v>
      </c>
      <c r="C16" s="2988">
        <v>10.5</v>
      </c>
      <c r="D16" s="715" t="s">
        <v>3080</v>
      </c>
      <c r="E16" s="2991"/>
      <c r="F16" s="2985"/>
      <c r="G16" s="717"/>
      <c r="H16" s="717"/>
      <c r="I16" s="2960">
        <v>10.5</v>
      </c>
      <c r="J16" s="2965" t="s">
        <v>3163</v>
      </c>
    </row>
    <row r="17" spans="1:10" ht="36" customHeight="1">
      <c r="A17" s="2272" t="s">
        <v>3043</v>
      </c>
      <c r="B17" s="2949" t="s">
        <v>3042</v>
      </c>
      <c r="C17" s="2992" t="s">
        <v>3161</v>
      </c>
      <c r="D17" s="715" t="s">
        <v>3058</v>
      </c>
      <c r="E17" s="715" t="s">
        <v>3058</v>
      </c>
      <c r="F17" s="732" t="s">
        <v>3058</v>
      </c>
      <c r="G17" s="717"/>
      <c r="H17" s="717"/>
      <c r="I17" s="2960">
        <f>100+15</f>
        <v>115</v>
      </c>
      <c r="J17" s="2965" t="s">
        <v>3143</v>
      </c>
    </row>
    <row r="18" spans="1:10" ht="24.75">
      <c r="A18" s="2272" t="s">
        <v>3044</v>
      </c>
      <c r="B18" s="2949" t="s">
        <v>3045</v>
      </c>
      <c r="C18" s="2989">
        <v>4.3499999999999997E-2</v>
      </c>
      <c r="D18" s="715" t="s">
        <v>3058</v>
      </c>
      <c r="E18" s="2987">
        <v>1</v>
      </c>
      <c r="F18" s="2952" t="s">
        <v>3106</v>
      </c>
      <c r="G18" s="717"/>
      <c r="H18" s="717"/>
      <c r="I18" s="2960">
        <f>ROUND((I9+I14)*E18*C18+I17*((1+C18)^(E18/2)-1),2)</f>
        <v>30.82</v>
      </c>
      <c r="J18" s="2950" t="s">
        <v>3144</v>
      </c>
    </row>
    <row r="19" spans="1:10">
      <c r="A19" s="2272" t="s">
        <v>3046</v>
      </c>
      <c r="B19" s="2949" t="s">
        <v>3047</v>
      </c>
      <c r="C19" s="2989">
        <v>0.15</v>
      </c>
      <c r="D19" s="715" t="s">
        <v>3058</v>
      </c>
      <c r="E19" s="715" t="s">
        <v>3058</v>
      </c>
      <c r="F19" s="732" t="s">
        <v>3058</v>
      </c>
      <c r="G19" s="717"/>
      <c r="H19" s="717"/>
      <c r="I19" s="2960">
        <f>ROUND((I9+I14+I17)*C19,2)</f>
        <v>115.01</v>
      </c>
      <c r="J19" s="2950" t="s">
        <v>3146</v>
      </c>
    </row>
    <row r="20" spans="1:10">
      <c r="A20" s="2272" t="s">
        <v>3048</v>
      </c>
      <c r="B20" s="2949" t="s">
        <v>3049</v>
      </c>
      <c r="C20" s="715" t="s">
        <v>3058</v>
      </c>
      <c r="D20" s="715" t="s">
        <v>3058</v>
      </c>
      <c r="E20" s="715" t="s">
        <v>3058</v>
      </c>
      <c r="F20" s="732" t="s">
        <v>3058</v>
      </c>
      <c r="G20" s="717"/>
      <c r="H20" s="717"/>
      <c r="I20" s="2960">
        <f>ROUND(I9+I14+I17+I18+I19,2)</f>
        <v>912.53</v>
      </c>
      <c r="J20" s="2950" t="s">
        <v>3147</v>
      </c>
    </row>
    <row r="21" spans="1:10">
      <c r="A21" s="2272" t="s">
        <v>3164</v>
      </c>
      <c r="B21" s="2949" t="s">
        <v>3165</v>
      </c>
      <c r="C21" s="715">
        <v>1</v>
      </c>
      <c r="D21" s="715" t="s">
        <v>3166</v>
      </c>
      <c r="E21" s="715" t="s">
        <v>3166</v>
      </c>
      <c r="F21" s="732" t="s">
        <v>3166</v>
      </c>
      <c r="G21" s="2959"/>
      <c r="H21" s="2959"/>
      <c r="I21" s="2996" t="s">
        <v>3166</v>
      </c>
      <c r="J21" s="2997" t="s">
        <v>3167</v>
      </c>
    </row>
    <row r="22" spans="1:10">
      <c r="A22" s="2272" t="s">
        <v>3052</v>
      </c>
      <c r="B22" s="2949" t="s">
        <v>3055</v>
      </c>
      <c r="C22" s="2986">
        <v>1.01</v>
      </c>
      <c r="D22" s="715" t="s">
        <v>3058</v>
      </c>
      <c r="E22" s="715" t="s">
        <v>3058</v>
      </c>
      <c r="F22" s="715" t="s">
        <v>3058</v>
      </c>
      <c r="G22" s="715"/>
      <c r="H22" s="715"/>
      <c r="I22" s="2998" t="s">
        <v>3058</v>
      </c>
      <c r="J22" s="2950" t="s">
        <v>3149</v>
      </c>
    </row>
    <row r="23" spans="1:10">
      <c r="A23" s="2272" t="s">
        <v>3054</v>
      </c>
      <c r="B23" s="2949" t="s">
        <v>3057</v>
      </c>
      <c r="C23" s="715" t="s">
        <v>3058</v>
      </c>
      <c r="D23" s="715" t="s">
        <v>3058</v>
      </c>
      <c r="E23" s="715" t="s">
        <v>3058</v>
      </c>
      <c r="F23" s="715" t="s">
        <v>3058</v>
      </c>
      <c r="G23" s="717"/>
      <c r="H23" s="717"/>
      <c r="I23" s="2960">
        <f>ROUND(I20*C21*C22,0)</f>
        <v>922</v>
      </c>
      <c r="J23" s="2950" t="s">
        <v>3150</v>
      </c>
    </row>
    <row r="25" spans="1:10">
      <c r="B25" s="2994"/>
      <c r="C25" s="2994"/>
      <c r="D25" s="2993"/>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403.46870000000001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890</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0.71679999999999999</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890</v>
      </c>
      <c r="J23" s="2950" t="s">
        <v>3150</v>
      </c>
    </row>
    <row r="25" spans="1:10">
      <c r="A25" s="2317"/>
      <c r="B25" s="2980" t="s">
        <v>3133</v>
      </c>
      <c r="C25" s="2317">
        <f>ROUND((1-1/(1+B26)^B29)/(1-1/(1+B26)^B30),3)</f>
        <v>0.75800000000000001</v>
      </c>
    </row>
    <row r="26" spans="1:10">
      <c r="A26" s="2981" t="s">
        <v>3157</v>
      </c>
      <c r="B26" s="2982">
        <v>0.06</v>
      </c>
      <c r="C26" s="2317"/>
    </row>
    <row r="27" spans="1:10">
      <c r="A27" s="2983" t="s">
        <v>3153</v>
      </c>
      <c r="B27" s="2984">
        <f>项目基本情况!D3</f>
        <v>45544</v>
      </c>
      <c r="C27" s="2317"/>
    </row>
    <row r="28" spans="1:10">
      <c r="A28" s="2983" t="s">
        <v>3154</v>
      </c>
      <c r="B28" s="2984">
        <v>53454</v>
      </c>
      <c r="C28" s="2317"/>
    </row>
    <row r="29" spans="1:10">
      <c r="A29" s="2983" t="s">
        <v>3156</v>
      </c>
      <c r="B29" s="2317">
        <f>ROUND((B28-B27)/365,2)</f>
        <v>21.67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918.48599999999999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876</v>
      </c>
      <c r="C4" s="1917"/>
      <c r="D4" s="1960"/>
      <c r="E4" s="1960"/>
      <c r="F4" s="1960"/>
      <c r="G4" s="1960"/>
      <c r="H4" s="1960"/>
    </row>
    <row r="5" spans="1:10" ht="15.75">
      <c r="A5" s="410"/>
      <c r="B5" s="411">
        <f>ROUND(B2/(G1/666.67),0)</f>
        <v>58</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0.70550000000000002</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876</v>
      </c>
      <c r="J23" s="2950" t="s">
        <v>3150</v>
      </c>
    </row>
    <row r="25" spans="1:10">
      <c r="A25" s="2317"/>
      <c r="B25" s="2980" t="s">
        <v>3133</v>
      </c>
      <c r="C25" s="2317">
        <f>ROUND((1-1/(1+B26)^B29)/(1-1/(1+B26)^B30),3)</f>
        <v>0.746</v>
      </c>
    </row>
    <row r="26" spans="1:10">
      <c r="A26" s="2981" t="s">
        <v>3157</v>
      </c>
      <c r="B26" s="2982">
        <v>0.06</v>
      </c>
      <c r="C26" s="2317"/>
    </row>
    <row r="27" spans="1:10">
      <c r="A27" s="2983" t="s">
        <v>3153</v>
      </c>
      <c r="B27" s="2984">
        <f>项目基本情况!D3</f>
        <v>45544</v>
      </c>
      <c r="C27" s="2317"/>
    </row>
    <row r="28" spans="1:10">
      <c r="A28" s="2983" t="s">
        <v>3154</v>
      </c>
      <c r="B28" s="2984">
        <v>53194</v>
      </c>
      <c r="C28" s="2317"/>
    </row>
    <row r="29" spans="1:10">
      <c r="A29" s="2983" t="s">
        <v>3156</v>
      </c>
      <c r="B29" s="2317">
        <f>ROUND((B28-B27)/365,2)</f>
        <v>20.96</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3"/>
      <c r="I7" s="3302"/>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0" t="s">
        <v>2038</v>
      </c>
      <c r="B1" s="3000"/>
      <c r="C1" s="3000"/>
      <c r="D1" s="3000"/>
      <c r="E1" s="3000"/>
      <c r="F1" s="3000"/>
      <c r="G1" s="3000"/>
      <c r="H1" s="3000"/>
      <c r="I1" s="3000"/>
      <c r="J1" s="3000"/>
      <c r="K1" s="3000"/>
      <c r="L1" s="3000"/>
      <c r="M1" s="3000"/>
      <c r="N1" s="3000"/>
      <c r="O1" s="3000"/>
      <c r="P1" s="3000"/>
      <c r="Q1" s="3000"/>
      <c r="R1" s="3000"/>
    </row>
    <row r="2" spans="1:18">
      <c r="A2" s="1698" t="s">
        <v>2040</v>
      </c>
      <c r="B2" s="1698"/>
      <c r="C2" s="1698"/>
      <c r="D2" s="1698"/>
      <c r="E2" s="1698"/>
      <c r="F2" s="1698"/>
      <c r="G2" s="1698"/>
      <c r="H2" s="1698"/>
      <c r="I2" s="1699"/>
      <c r="J2" s="1699"/>
      <c r="K2" s="1700" t="str">
        <f>"估价期日："&amp;TEXT(项目基本情况!D3,"yyyy年m月d日;;")</f>
        <v>估价期日：2024年9月9日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1" t="s">
        <v>2029</v>
      </c>
      <c r="B3" s="3001" t="s">
        <v>2731</v>
      </c>
      <c r="C3" s="3002" t="s">
        <v>2030</v>
      </c>
      <c r="D3" s="3001" t="s">
        <v>2735</v>
      </c>
      <c r="E3" s="3003" t="s">
        <v>2031</v>
      </c>
      <c r="F3" s="3003"/>
      <c r="G3" s="3003"/>
      <c r="H3" s="3003" t="s">
        <v>2032</v>
      </c>
      <c r="I3" s="3003"/>
      <c r="J3" s="3003"/>
      <c r="K3" s="3002" t="s">
        <v>2033</v>
      </c>
      <c r="L3" s="3002" t="s">
        <v>2034</v>
      </c>
      <c r="M3" s="3001" t="s">
        <v>2732</v>
      </c>
      <c r="N3" s="3001" t="str">
        <f>"（分摊）"&amp;项目基本情况!B16&amp;"国有建设用地使用权面积/㎡"</f>
        <v>（分摊）出让国有建设用地使用权面积/㎡</v>
      </c>
      <c r="O3" s="3001" t="s">
        <v>2063</v>
      </c>
      <c r="P3" s="3002" t="s">
        <v>2043</v>
      </c>
      <c r="Q3" s="3002" t="s">
        <v>2064</v>
      </c>
      <c r="R3" s="3002" t="s">
        <v>2035</v>
      </c>
    </row>
    <row r="4" spans="1:18" ht="36.75" customHeight="1">
      <c r="A4" s="3001"/>
      <c r="B4" s="3001"/>
      <c r="C4" s="3002"/>
      <c r="D4" s="3001"/>
      <c r="E4" s="1701" t="s">
        <v>2042</v>
      </c>
      <c r="F4" s="1701" t="s">
        <v>2744</v>
      </c>
      <c r="G4" s="1701" t="s">
        <v>2036</v>
      </c>
      <c r="H4" s="1701" t="s">
        <v>2037</v>
      </c>
      <c r="I4" s="1701" t="s">
        <v>2745</v>
      </c>
      <c r="J4" s="1701" t="s">
        <v>2036</v>
      </c>
      <c r="K4" s="3002"/>
      <c r="L4" s="3002"/>
      <c r="M4" s="3001"/>
      <c r="N4" s="3001"/>
      <c r="O4" s="3001"/>
      <c r="P4" s="3002"/>
      <c r="Q4" s="3002"/>
      <c r="R4" s="3002"/>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04" t="str">
        <f>IF(项目基本情况!B9="市场价格","——","抵押价格")</f>
        <v>抵押价格</v>
      </c>
      <c r="B6" s="3005"/>
      <c r="C6" s="3005"/>
      <c r="D6" s="3005"/>
      <c r="E6" s="3005"/>
      <c r="F6" s="3005"/>
      <c r="G6" s="3005"/>
      <c r="H6" s="3005"/>
      <c r="I6" s="3005"/>
      <c r="J6" s="3005"/>
      <c r="K6" s="3005"/>
      <c r="L6" s="3005"/>
      <c r="M6" s="3005"/>
      <c r="N6" s="3005"/>
      <c r="O6" s="3005"/>
      <c r="P6" s="3005"/>
      <c r="Q6" s="3006"/>
      <c r="R6" s="1703" t="str">
        <f>结果表!O39</f>
        <v>——</v>
      </c>
    </row>
    <row r="7" spans="1:18">
      <c r="A7" s="3004" t="str">
        <f>IF(项目基本情况!B9="市场价格","——",IF(项目基本情况!E8="已注销及未注销","抵押担保权已注销时的抵押价格","——"))</f>
        <v>——</v>
      </c>
      <c r="B7" s="3005"/>
      <c r="C7" s="3005"/>
      <c r="D7" s="3005"/>
      <c r="E7" s="3005"/>
      <c r="F7" s="3005"/>
      <c r="G7" s="3005"/>
      <c r="H7" s="3005"/>
      <c r="I7" s="3005"/>
      <c r="J7" s="3005"/>
      <c r="K7" s="3005"/>
      <c r="L7" s="3005"/>
      <c r="M7" s="3005"/>
      <c r="N7" s="3005"/>
      <c r="O7" s="3005"/>
      <c r="P7" s="3005"/>
      <c r="Q7" s="3006"/>
      <c r="R7" s="1703" t="str">
        <f>结果表!O40</f>
        <v>——</v>
      </c>
    </row>
    <row r="8" spans="1:18">
      <c r="A8" s="3004">
        <f>IF(项目基本情况!B9="市场价格","——",项目基本情况!E9)</f>
        <v>0</v>
      </c>
      <c r="B8" s="3005"/>
      <c r="C8" s="3005"/>
      <c r="D8" s="3005"/>
      <c r="E8" s="3005"/>
      <c r="F8" s="3005"/>
      <c r="G8" s="3005"/>
      <c r="H8" s="3005"/>
      <c r="I8" s="3005"/>
      <c r="J8" s="3005"/>
      <c r="K8" s="3005"/>
      <c r="L8" s="3005"/>
      <c r="M8" s="3005"/>
      <c r="N8" s="3005"/>
      <c r="O8" s="3005"/>
      <c r="P8" s="3005"/>
      <c r="Q8" s="3006"/>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7" t="s">
        <v>2065</v>
      </c>
      <c r="B1" s="3007"/>
      <c r="C1" s="3007"/>
      <c r="D1" s="3007"/>
    </row>
    <row r="2" spans="1:4" ht="47.25" customHeight="1">
      <c r="A2" s="3010" t="str">
        <f>"1.权利限制："&amp;项目基本情况!L24&amp;"未设定租赁等其他他项权利。"</f>
        <v>1.权利限制：根据估价对象《不动产权证书》原件、《国有土地使用权》复印件，截至估价期日，估价对象抵押权未见登记。未设定租赁等其他他项权利。</v>
      </c>
      <c r="B2" s="3010"/>
      <c r="C2" s="3010"/>
      <c r="D2" s="3010"/>
    </row>
    <row r="3" spans="1:4" ht="48" customHeight="1">
      <c r="A3" s="30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7"/>
      <c r="C3" s="3007"/>
      <c r="D3" s="3007"/>
    </row>
    <row r="4" spans="1:4" ht="36.75" customHeight="1">
      <c r="A4" s="3007" t="str">
        <f>"3.估价规划限制条件：详见"&amp;项目基本情况!E21&amp;"。"</f>
        <v>3.估价规划限制条件：详见《建设工程规划许可证》[]、《出让合同》[]。</v>
      </c>
      <c r="B4" s="3007"/>
      <c r="C4" s="3007"/>
      <c r="D4" s="3007"/>
    </row>
    <row r="5" spans="1:4">
      <c r="A5" s="3009" t="s">
        <v>2066</v>
      </c>
      <c r="B5" s="3009"/>
      <c r="C5" s="3009"/>
      <c r="D5" s="3009"/>
    </row>
    <row r="6" spans="1:4">
      <c r="A6" s="3007" t="s">
        <v>2044</v>
      </c>
      <c r="B6" s="3007"/>
      <c r="C6" s="3007"/>
      <c r="D6" s="3007"/>
    </row>
    <row r="7" spans="1:4" ht="33" customHeight="1">
      <c r="A7" s="3007" t="s">
        <v>2575</v>
      </c>
      <c r="B7" s="3007"/>
      <c r="C7" s="3007"/>
      <c r="D7" s="3007"/>
    </row>
    <row r="8" spans="1:4" ht="32.25" customHeight="1">
      <c r="A8" s="30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7"/>
      <c r="C8" s="3007"/>
      <c r="D8" s="3007"/>
    </row>
    <row r="9" spans="1:4" ht="33.75" customHeight="1">
      <c r="A9" s="30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7"/>
      <c r="C9" s="3007"/>
      <c r="D9" s="3007"/>
    </row>
    <row r="10" spans="1:4">
      <c r="A10" s="3007" t="str">
        <f>IF(项目基本情况!B8="抵押","4.估价师所知悉的法定优先受偿款情况为：","——")</f>
        <v>4.估价师所知悉的法定优先受偿款情况为：</v>
      </c>
      <c r="B10" s="3007"/>
      <c r="C10" s="3007"/>
      <c r="D10" s="3007"/>
    </row>
    <row r="11" spans="1:4" ht="37.5" customHeight="1">
      <c r="A11" s="30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7"/>
      <c r="C11" s="3007"/>
      <c r="D11" s="3007"/>
    </row>
    <row r="12" spans="1:4" ht="168" customHeight="1">
      <c r="A12" s="3009" t="s">
        <v>2068</v>
      </c>
      <c r="B12" s="3009"/>
      <c r="C12" s="3009"/>
      <c r="D12" s="3009"/>
    </row>
    <row r="13" spans="1:4">
      <c r="A13" s="3008" t="s">
        <v>2746</v>
      </c>
      <c r="B13" s="3008"/>
      <c r="C13" s="3008"/>
      <c r="D13" s="3008"/>
    </row>
    <row r="14" spans="1:4">
      <c r="A14" s="3007" t="str">
        <f>IF(项目基本情况!B8="抵押","综上，"&amp;结果表!K47,"——")</f>
        <v>综上，本次评估不存在估价师知悉的法定优先受偿款</v>
      </c>
      <c r="B14" s="3007"/>
      <c r="C14" s="3007"/>
      <c r="D14" s="3007"/>
    </row>
    <row r="15" spans="1:4" ht="58.5" customHeight="1">
      <c r="A15" s="30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7"/>
      <c r="C15" s="3007"/>
      <c r="D15" s="3007"/>
    </row>
    <row r="16" spans="1:4" ht="70.5" customHeight="1">
      <c r="A16" s="30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7"/>
      <c r="C16" s="3007"/>
      <c r="D16" s="3007"/>
    </row>
    <row r="17" spans="1:4">
      <c r="A17" s="3007" t="s">
        <v>2702</v>
      </c>
      <c r="B17" s="3007"/>
      <c r="C17" s="3007"/>
      <c r="D17" s="3007"/>
    </row>
    <row r="18" spans="1:4">
      <c r="A18" s="3007" t="s">
        <v>2694</v>
      </c>
      <c r="B18" s="3007"/>
      <c r="C18" s="3007"/>
      <c r="D18" s="3007"/>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7" t="s">
        <v>2699</v>
      </c>
      <c r="B23" s="3007"/>
      <c r="C23" s="3007"/>
      <c r="D23" s="3007"/>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8" t="s">
        <v>53</v>
      </c>
      <c r="B15" s="3019" t="s">
        <v>846</v>
      </c>
      <c r="C15" s="3015"/>
    </row>
    <row r="16" spans="1:7" ht="14.25">
      <c r="A16" s="3018"/>
      <c r="B16" s="3016" t="s">
        <v>54</v>
      </c>
      <c r="C16" s="1112" t="s">
        <v>53</v>
      </c>
    </row>
    <row r="17" spans="1:3" ht="14.25">
      <c r="A17" s="3018"/>
      <c r="B17" s="3016"/>
      <c r="C17" s="1112" t="s">
        <v>55</v>
      </c>
    </row>
    <row r="18" spans="1:3" ht="14.25">
      <c r="A18" s="3018"/>
      <c r="B18" s="3016"/>
      <c r="C18" s="1112" t="s">
        <v>56</v>
      </c>
    </row>
    <row r="19" spans="1:3" ht="14.25">
      <c r="A19" s="3018"/>
      <c r="B19" s="3014" t="s">
        <v>57</v>
      </c>
      <c r="C19" s="3015"/>
    </row>
    <row r="20" spans="1:3" ht="14.25">
      <c r="A20" s="1113" t="s">
        <v>58</v>
      </c>
      <c r="B20" s="1114"/>
      <c r="C20" s="1115"/>
    </row>
    <row r="21" spans="1:3" ht="14.25">
      <c r="A21" s="3017" t="s">
        <v>59</v>
      </c>
      <c r="B21" s="3014" t="s">
        <v>60</v>
      </c>
      <c r="C21" s="3015"/>
    </row>
    <row r="22" spans="1:3" ht="14.25">
      <c r="A22" s="3017"/>
      <c r="B22" s="3014" t="s">
        <v>61</v>
      </c>
      <c r="C22" s="3015"/>
    </row>
    <row r="23" spans="1:3" ht="14.25">
      <c r="A23" s="3017"/>
      <c r="B23" s="3014" t="s">
        <v>62</v>
      </c>
      <c r="C23" s="3015"/>
    </row>
    <row r="24" spans="1:3" ht="14.25">
      <c r="A24" s="3017"/>
      <c r="B24" s="3020" t="s">
        <v>63</v>
      </c>
      <c r="C24" s="1116" t="s">
        <v>837</v>
      </c>
    </row>
    <row r="25" spans="1:3" ht="14.25">
      <c r="A25" s="3017"/>
      <c r="B25" s="3021"/>
      <c r="C25" s="1116" t="s">
        <v>838</v>
      </c>
    </row>
    <row r="26" spans="1:3" ht="14.25">
      <c r="A26" s="3017"/>
      <c r="B26" s="3021"/>
      <c r="C26" s="1116" t="s">
        <v>839</v>
      </c>
    </row>
    <row r="27" spans="1:3" ht="14.25">
      <c r="A27" s="3017"/>
      <c r="B27" s="3021"/>
      <c r="C27" s="1116" t="s">
        <v>840</v>
      </c>
    </row>
    <row r="28" spans="1:3" ht="14.25">
      <c r="A28" s="3017"/>
      <c r="B28" s="3021"/>
      <c r="C28" s="1116" t="s">
        <v>841</v>
      </c>
    </row>
    <row r="29" spans="1:3" ht="14.25">
      <c r="A29" s="3017"/>
      <c r="B29" s="3021"/>
      <c r="C29" s="1116" t="s">
        <v>842</v>
      </c>
    </row>
    <row r="30" spans="1:3" ht="14.25">
      <c r="A30" s="3017"/>
      <c r="B30" s="3021"/>
      <c r="C30" s="1116" t="s">
        <v>843</v>
      </c>
    </row>
    <row r="31" spans="1:3" ht="14.25">
      <c r="A31" s="3017"/>
      <c r="B31" s="3021"/>
      <c r="C31" s="1116" t="s">
        <v>844</v>
      </c>
    </row>
    <row r="32" spans="1:3" ht="14.25">
      <c r="A32" s="3017"/>
      <c r="B32" s="3021"/>
      <c r="C32" s="1116" t="s">
        <v>1646</v>
      </c>
    </row>
    <row r="33" spans="1:3" ht="14.25">
      <c r="A33" s="3017"/>
      <c r="B33" s="3011" t="s">
        <v>1652</v>
      </c>
      <c r="C33" s="1116" t="s">
        <v>1647</v>
      </c>
    </row>
    <row r="34" spans="1:3" ht="14.25">
      <c r="A34" s="3017"/>
      <c r="B34" s="3012"/>
      <c r="C34" s="1121" t="s">
        <v>1648</v>
      </c>
    </row>
    <row r="35" spans="1:3" ht="14.25">
      <c r="A35" s="3017"/>
      <c r="B35" s="3012"/>
      <c r="C35" s="1122" t="s">
        <v>1649</v>
      </c>
    </row>
    <row r="36" spans="1:3" ht="14.25">
      <c r="A36" s="3017"/>
      <c r="B36" s="3012"/>
      <c r="C36" s="1122" t="s">
        <v>1650</v>
      </c>
    </row>
    <row r="37" spans="1:3" ht="14.25">
      <c r="A37" s="3017"/>
      <c r="B37" s="3013"/>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45846</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22" t="s">
        <v>1926</v>
      </c>
      <c r="B25" s="3022"/>
      <c r="C25" s="3022"/>
      <c r="D25" s="3022"/>
      <c r="E25" s="3022"/>
      <c r="F25" s="3022"/>
      <c r="G25" s="3022"/>
    </row>
    <row r="26" spans="1:7" ht="20.25" customHeight="1">
      <c r="A26" s="3023" t="s">
        <v>1927</v>
      </c>
      <c r="B26" s="3023"/>
      <c r="C26" s="3023"/>
      <c r="D26" s="3023" t="s">
        <v>1928</v>
      </c>
      <c r="E26" s="3023"/>
      <c r="F26" s="3023"/>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4"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c r="D53" s="1662"/>
      <c r="E53" s="1662"/>
    </row>
    <row r="54" spans="1:5">
      <c r="A54" s="3024"/>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4"/>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4"/>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4"/>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2025-07-08T09:35:56Z</dcterms:modified>
</cp:coreProperties>
</file>