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85C07AFE-575C-469A-9C98-48C05DB06216}"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37" i="34" l="1"/>
  <c r="G37" i="34"/>
  <c r="E37" i="34"/>
  <c r="K36" i="1"/>
  <c r="I33" i="1"/>
  <c r="U17" i="1"/>
  <c r="J58" i="81" l="1"/>
  <c r="D105" i="34"/>
  <c r="E105" i="34" s="1"/>
  <c r="F105" i="34" s="1"/>
  <c r="O19" i="1"/>
  <c r="G22" i="4"/>
  <c r="G23" i="4" s="1"/>
  <c r="N17" i="1"/>
  <c r="N18" i="1" s="1"/>
  <c r="F19" i="6"/>
  <c r="N20" i="1" l="1"/>
  <c r="N6" i="1"/>
  <c r="C37" i="34"/>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N35" i="79" s="1"/>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X38" i="71" s="1"/>
  <c r="F38" i="71"/>
  <c r="F39" i="71" s="1"/>
  <c r="F40" i="71" s="1"/>
  <c r="V40" i="71" s="1"/>
  <c r="Q37" i="71"/>
  <c r="P37" i="71"/>
  <c r="O37" i="71"/>
  <c r="N37" i="71"/>
  <c r="B38" i="71" s="1"/>
  <c r="B39" i="71" s="1"/>
  <c r="B40" i="71" s="1"/>
  <c r="S40" i="71" s="1"/>
  <c r="D37" i="71"/>
  <c r="Q36" i="71"/>
  <c r="P36" i="71"/>
  <c r="O36" i="71"/>
  <c r="N36" i="71"/>
  <c r="X36" i="71" s="1"/>
  <c r="Q35" i="71"/>
  <c r="P35" i="71"/>
  <c r="AA35" i="71" s="1"/>
  <c r="O35" i="71"/>
  <c r="Y35" i="71" s="1"/>
  <c r="Z35" i="71" s="1"/>
  <c r="N35" i="71"/>
  <c r="X34" i="71" s="1"/>
  <c r="Q34" i="71"/>
  <c r="AB34" i="71" s="1"/>
  <c r="P34" i="71"/>
  <c r="O34" i="71"/>
  <c r="N34" i="71"/>
  <c r="Q33" i="71"/>
  <c r="F34" i="71" s="1"/>
  <c r="F35" i="71" s="1"/>
  <c r="F36" i="71" s="1"/>
  <c r="V36" i="71" s="1"/>
  <c r="P33" i="71"/>
  <c r="E34" i="71" s="1"/>
  <c r="E35" i="71" s="1"/>
  <c r="E36" i="71" s="1"/>
  <c r="U36" i="71" s="1"/>
  <c r="O33" i="71"/>
  <c r="N33" i="71"/>
  <c r="D33" i="71"/>
  <c r="Q32" i="71"/>
  <c r="AB32" i="71" s="1"/>
  <c r="P32" i="71"/>
  <c r="O32" i="71"/>
  <c r="N32" i="71"/>
  <c r="X32" i="71" s="1"/>
  <c r="Q31" i="71"/>
  <c r="P31" i="71"/>
  <c r="O31" i="71"/>
  <c r="N31" i="71"/>
  <c r="Q30" i="71"/>
  <c r="P30" i="71"/>
  <c r="O30" i="71"/>
  <c r="Y30" i="71"/>
  <c r="Z30" i="71" s="1"/>
  <c r="N30" i="71"/>
  <c r="Q29" i="71"/>
  <c r="F30" i="71" s="1"/>
  <c r="P29" i="71"/>
  <c r="O29" i="71"/>
  <c r="Y29" i="71" s="1"/>
  <c r="Z29" i="71" s="1"/>
  <c r="N29" i="71"/>
  <c r="D29" i="71"/>
  <c r="O28" i="71"/>
  <c r="N28" i="71"/>
  <c r="B28" i="71" s="1"/>
  <c r="B30" i="71"/>
  <c r="B31" i="71" s="1"/>
  <c r="B32" i="71" s="1"/>
  <c r="S32" i="71" s="1"/>
  <c r="E30" i="71"/>
  <c r="E31" i="71"/>
  <c r="E32" i="71" s="1"/>
  <c r="U32" i="71" s="1"/>
  <c r="B34" i="71"/>
  <c r="B35" i="71" s="1"/>
  <c r="B36" i="71" s="1"/>
  <c r="S36" i="71" s="1"/>
  <c r="E38" i="71"/>
  <c r="E39" i="71" s="1"/>
  <c r="E40" i="71" s="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E67" i="71"/>
  <c r="E66" i="71" s="1"/>
  <c r="Q28" i="71"/>
  <c r="AB28" i="71" s="1"/>
  <c r="C59" i="71"/>
  <c r="D59" i="71" s="1"/>
  <c r="N67" i="71"/>
  <c r="B66" i="71"/>
  <c r="T68" i="71"/>
  <c r="O68" i="71"/>
  <c r="D68" i="71"/>
  <c r="C67" i="71"/>
  <c r="D67" i="71" s="1"/>
  <c r="Q68" i="71"/>
  <c r="C71" i="71"/>
  <c r="D71" i="71" s="1"/>
  <c r="E71" i="71"/>
  <c r="E70" i="71" s="1"/>
  <c r="D72" i="71"/>
  <c r="C75" i="71"/>
  <c r="D75" i="71" s="1"/>
  <c r="D76" i="71"/>
  <c r="C79" i="71"/>
  <c r="D79" i="71" s="1"/>
  <c r="E79" i="71"/>
  <c r="E78" i="71" s="1"/>
  <c r="D80" i="71"/>
  <c r="C83" i="71"/>
  <c r="D83" i="71" s="1"/>
  <c r="F28" i="71"/>
  <c r="F27" i="71" s="1"/>
  <c r="F26" i="71" s="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F21" i="37"/>
  <c r="AA21" i="37" s="1"/>
  <c r="H21" i="34"/>
  <c r="AB21" i="34" s="1"/>
  <c r="H21" i="33"/>
  <c r="U21" i="33" s="1"/>
  <c r="F21" i="33"/>
  <c r="H1" i="69"/>
  <c r="AC27" i="40"/>
  <c r="AB21" i="37"/>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s="1"/>
  <c r="Q37" i="34"/>
  <c r="Z37" i="34"/>
  <c r="Q36" i="34"/>
  <c r="Z36" i="34" s="1"/>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S36" i="34" s="1"/>
  <c r="J35" i="34"/>
  <c r="AC35" i="34" s="1"/>
  <c r="H39" i="33"/>
  <c r="AB39" i="33" s="1"/>
  <c r="F26" i="33"/>
  <c r="AA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AB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F15" i="39"/>
  <c r="J15" i="39"/>
  <c r="W15" i="39" s="1"/>
  <c r="H15" i="39"/>
  <c r="H16" i="40"/>
  <c r="U16" i="40" s="1"/>
  <c r="J16" i="40"/>
  <c r="W16" i="40" s="1"/>
  <c r="F16" i="40"/>
  <c r="AA16" i="40" s="1"/>
  <c r="J14" i="37"/>
  <c r="J27" i="37"/>
  <c r="AC27" i="37"/>
  <c r="AA44" i="33"/>
  <c r="U46" i="33"/>
  <c r="AA14" i="33"/>
  <c r="J36" i="37"/>
  <c r="AC36" i="37" s="1"/>
  <c r="J10" i="36"/>
  <c r="AC10" i="36" s="1"/>
  <c r="AB26" i="33"/>
  <c r="AB30" i="21"/>
  <c r="W31" i="34"/>
  <c r="S11" i="36"/>
  <c r="AB46" i="34"/>
  <c r="S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AZ155" i="3" s="1"/>
  <c r="BL156" i="3"/>
  <c r="AZ156" i="3" s="1"/>
  <c r="G157" i="3"/>
  <c r="BA159" i="3"/>
  <c r="BL160" i="3"/>
  <c r="AZ160" i="3" s="1"/>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68" i="3"/>
  <c r="AZ176" i="3"/>
  <c r="AZ184" i="3"/>
  <c r="AZ97"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BA379" i="3"/>
  <c r="AZ379" i="3" s="1"/>
  <c r="BL380" i="3"/>
  <c r="G381" i="3"/>
  <c r="BA383" i="3"/>
  <c r="AZ383" i="3" s="1"/>
  <c r="BL384" i="3"/>
  <c r="G385" i="3"/>
  <c r="BA387" i="3"/>
  <c r="AZ387" i="3" s="1"/>
  <c r="BL388" i="3"/>
  <c r="AZ388" i="3" s="1"/>
  <c r="G389" i="3"/>
  <c r="BA391" i="3"/>
  <c r="BL392" i="3"/>
  <c r="AZ392" i="3" s="1"/>
  <c r="G393" i="3"/>
  <c r="AZ275" i="3"/>
  <c r="AZ291" i="3"/>
  <c r="BO5" i="3"/>
  <c r="BM5" i="3"/>
  <c r="BJ5" i="3"/>
  <c r="BH5" i="3"/>
  <c r="BF5" i="3"/>
  <c r="BD5" i="3"/>
  <c r="AZ325" i="3"/>
  <c r="AC5" i="3"/>
  <c r="AZ506" i="3"/>
  <c r="AZ496" i="3"/>
  <c r="G548" i="3"/>
  <c r="G538" i="3"/>
  <c r="G520" i="3"/>
  <c r="G502" i="3"/>
  <c r="BS5" i="3"/>
  <c r="BP5" i="3"/>
  <c r="BN5" i="3"/>
  <c r="BK5" i="3"/>
  <c r="BI5" i="3"/>
  <c r="BG5" i="3"/>
  <c r="BE5" i="3"/>
  <c r="G17" i="3"/>
  <c r="BA17" i="3"/>
  <c r="BT5" i="3"/>
  <c r="AZ356" i="3"/>
  <c r="AZ368" i="3"/>
  <c r="BA15" i="3"/>
  <c r="BR5" i="3"/>
  <c r="AZ380"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248" i="3"/>
  <c r="AZ69" i="3"/>
  <c r="AZ110" i="3"/>
  <c r="F25" i="39"/>
  <c r="AA25" i="39" s="1"/>
  <c r="H27" i="36"/>
  <c r="U27" i="36" s="1"/>
  <c r="F27" i="36"/>
  <c r="AA27" i="36" s="1"/>
  <c r="H33" i="34"/>
  <c r="U33" i="34" s="1"/>
  <c r="F32" i="37"/>
  <c r="AA32" i="37"/>
  <c r="F20" i="36"/>
  <c r="AA20" i="36" s="1"/>
  <c r="J33" i="34"/>
  <c r="AC33" i="34" s="1"/>
  <c r="H25" i="39"/>
  <c r="U25" i="39" s="1"/>
  <c r="K9" i="1"/>
  <c r="M9" i="1" s="1"/>
  <c r="K6" i="1"/>
  <c r="AC26" i="33"/>
  <c r="W26" i="33"/>
  <c r="AB34" i="36"/>
  <c r="U34" i="36"/>
  <c r="AB33" i="36"/>
  <c r="U33" i="36"/>
  <c r="AC14" i="39"/>
  <c r="W14" i="39"/>
  <c r="AC41" i="40"/>
  <c r="W41" i="40"/>
  <c r="AZ586" i="3"/>
  <c r="W12" i="33"/>
  <c r="AC12" i="33"/>
  <c r="AA32" i="36"/>
  <c r="S32" i="36"/>
  <c r="BL14" i="3"/>
  <c r="U30" i="33"/>
  <c r="AC13" i="34"/>
  <c r="AA47" i="34"/>
  <c r="W28" i="37"/>
  <c r="S21" i="39"/>
  <c r="F12" i="33"/>
  <c r="H14" i="39"/>
  <c r="AB14" i="39"/>
  <c r="F41" i="40"/>
  <c r="AA41" i="40" s="1"/>
  <c r="BA14" i="3"/>
  <c r="AZ250" i="3"/>
  <c r="AZ297" i="3"/>
  <c r="AZ189"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U16" i="36"/>
  <c r="S14" i="36"/>
  <c r="AA25" i="35"/>
  <c r="S23" i="35"/>
  <c r="W24" i="35"/>
  <c r="AB13"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H27" i="33"/>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U25" i="33"/>
  <c r="S25" i="33"/>
  <c r="AA25" i="33"/>
  <c r="G87" i="33"/>
  <c r="H87" i="33" s="1"/>
  <c r="I87" i="33" s="1"/>
  <c r="J87" i="33" s="1"/>
  <c r="K87" i="33" s="1"/>
  <c r="L87" i="33" s="1"/>
  <c r="M87" i="33" s="1"/>
  <c r="J25" i="33"/>
  <c r="AB23" i="33"/>
  <c r="F23" i="33"/>
  <c r="G85"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63" i="37"/>
  <c r="K63" i="37" s="1"/>
  <c r="L63" i="37" s="1"/>
  <c r="M63" i="37" s="1"/>
  <c r="J11" i="37"/>
  <c r="AC11" i="37"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9" i="67"/>
  <c r="B13" i="76"/>
  <c r="M8" i="15"/>
  <c r="M6" i="67"/>
  <c r="C76" i="67"/>
  <c r="F36" i="67"/>
  <c r="B10" i="76"/>
  <c r="F8" i="67"/>
  <c r="M28" i="15"/>
  <c r="M9" i="15"/>
  <c r="F40" i="67"/>
  <c r="F38" i="15"/>
  <c r="B11" i="76"/>
  <c r="F5" i="73"/>
  <c r="M36" i="15"/>
  <c r="L47" i="67"/>
  <c r="E10" i="76"/>
  <c r="E12" i="76"/>
  <c r="F9" i="67"/>
  <c r="M31" i="15"/>
  <c r="AO13" i="1"/>
  <c r="M24" i="67"/>
  <c r="M22" i="67"/>
  <c r="F30" i="15"/>
  <c r="B7" i="76"/>
  <c r="M8" i="67"/>
  <c r="M28" i="67"/>
  <c r="M26" i="67"/>
  <c r="F43" i="67"/>
  <c r="F7" i="73"/>
  <c r="E9" i="76"/>
  <c r="F3" i="73"/>
  <c r="C88" i="15"/>
  <c r="F9" i="15"/>
  <c r="L56" i="15"/>
  <c r="F7" i="15"/>
  <c r="F22" i="15"/>
  <c r="F8" i="15"/>
  <c r="F52" i="15"/>
  <c r="F13" i="67"/>
  <c r="M9" i="67"/>
  <c r="M24" i="15"/>
  <c r="F28" i="15"/>
  <c r="F24" i="15"/>
  <c r="F26" i="15"/>
  <c r="E8" i="76"/>
  <c r="F38" i="67"/>
  <c r="C71" i="15"/>
  <c r="E2" i="69"/>
  <c r="F6" i="73"/>
  <c r="B9" i="76"/>
  <c r="E7" i="76"/>
  <c r="F32" i="15"/>
  <c r="F4" i="73"/>
  <c r="F42" i="67"/>
  <c r="F48" i="15"/>
  <c r="M30" i="15"/>
  <c r="B8" i="76"/>
  <c r="F26" i="67"/>
  <c r="M23" i="67"/>
  <c r="F20" i="31"/>
  <c r="F16" i="67"/>
  <c r="F6" i="67"/>
  <c r="E13" i="76"/>
  <c r="F6" i="15"/>
  <c r="M26" i="15"/>
  <c r="M22" i="15"/>
  <c r="M6" i="15"/>
  <c r="B12" i="76"/>
  <c r="F7" i="67"/>
  <c r="F37" i="67"/>
  <c r="J15" i="67"/>
  <c r="E11" i="76"/>
  <c r="D6" i="73"/>
  <c r="E17" i="68" l="1"/>
  <c r="AC27" i="21"/>
  <c r="W27" i="21"/>
  <c r="AZ314" i="3"/>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BA401" i="3"/>
  <c r="BA403" i="3"/>
  <c r="AZ403" i="3" s="1"/>
  <c r="BA404" i="3"/>
  <c r="BA405" i="3"/>
  <c r="BL410" i="3"/>
  <c r="AZ410" i="3" s="1"/>
  <c r="G412" i="3"/>
  <c r="G418" i="3"/>
  <c r="G419" i="3"/>
  <c r="BA422" i="3"/>
  <c r="AZ422" i="3" s="1"/>
  <c r="G429" i="3"/>
  <c r="G430" i="3"/>
  <c r="BL431" i="3"/>
  <c r="G433" i="3"/>
  <c r="BL434" i="3"/>
  <c r="G437" i="3"/>
  <c r="BA437" i="3"/>
  <c r="AZ437" i="3" s="1"/>
  <c r="BA438" i="3"/>
  <c r="G443" i="3"/>
  <c r="G445" i="3"/>
  <c r="BA448" i="3"/>
  <c r="BA450" i="3"/>
  <c r="AZ450" i="3" s="1"/>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L457" i="3"/>
  <c r="AZ466" i="3"/>
  <c r="BA465" i="3"/>
  <c r="AZ465" i="3" s="1"/>
  <c r="BA467" i="3"/>
  <c r="AZ467" i="3" s="1"/>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G260" i="3"/>
  <c r="BL260" i="3"/>
  <c r="G262" i="3"/>
  <c r="BL264" i="3"/>
  <c r="G270" i="3"/>
  <c r="BL270" i="3"/>
  <c r="BA272" i="3"/>
  <c r="AZ272" i="3" s="1"/>
  <c r="BA286" i="3"/>
  <c r="AZ286" i="3" s="1"/>
  <c r="AZ125" i="3"/>
  <c r="AZ471" i="3"/>
  <c r="AZ487" i="3"/>
  <c r="AZ270" i="3"/>
  <c r="BA277" i="3"/>
  <c r="AZ277" i="3" s="1"/>
  <c r="BL277" i="3"/>
  <c r="BA281" i="3"/>
  <c r="AZ30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AZ271" i="3" s="1"/>
  <c r="BL271" i="3"/>
  <c r="BA274" i="3"/>
  <c r="BL274" i="3"/>
  <c r="BA276" i="3"/>
  <c r="BL278" i="3"/>
  <c r="BL438" i="3"/>
  <c r="BL439" i="3"/>
  <c r="BA441" i="3"/>
  <c r="AZ441" i="3" s="1"/>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AZ236" i="3" s="1"/>
  <c r="G237" i="3"/>
  <c r="BL238" i="3"/>
  <c r="AZ238" i="3" s="1"/>
  <c r="G239" i="3"/>
  <c r="BL243" i="3"/>
  <c r="AZ243" i="3" s="1"/>
  <c r="G244" i="3"/>
  <c r="BA247" i="3"/>
  <c r="AZ247" i="3" s="1"/>
  <c r="BL247" i="3"/>
  <c r="BA249" i="3"/>
  <c r="AZ249" i="3" s="1"/>
  <c r="BL249" i="3"/>
  <c r="BA251" i="3"/>
  <c r="AZ251" i="3" s="1"/>
  <c r="BL251" i="3"/>
  <c r="BA253" i="3"/>
  <c r="BA256" i="3"/>
  <c r="AZ256" i="3" s="1"/>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AZ118" i="3" s="1"/>
  <c r="BL118" i="3"/>
  <c r="BA122" i="3"/>
  <c r="AZ122" i="3" s="1"/>
  <c r="BL125" i="3"/>
  <c r="BL126" i="3"/>
  <c r="BA144" i="3"/>
  <c r="AZ144" i="3" s="1"/>
  <c r="BA164" i="3"/>
  <c r="AZ164" i="3" s="1"/>
  <c r="AZ64" i="3"/>
  <c r="AZ65" i="3"/>
  <c r="AZ103" i="3"/>
  <c r="B13" i="1"/>
  <c r="E13" i="1" s="1"/>
  <c r="K13" i="1"/>
  <c r="M13" i="1" s="1"/>
  <c r="O13" i="1" s="1"/>
  <c r="P13" i="1" s="1"/>
  <c r="P65" i="71"/>
  <c r="P66" i="71"/>
  <c r="T40" i="71"/>
  <c r="D40" i="71"/>
  <c r="C32" i="71"/>
  <c r="D31" i="71"/>
  <c r="B27" i="71"/>
  <c r="B26" i="71" s="1"/>
  <c r="S28" i="71"/>
  <c r="C55" i="71"/>
  <c r="D54" i="71"/>
  <c r="C64" i="71"/>
  <c r="D63" i="71"/>
  <c r="BA282" i="3"/>
  <c r="AZ282" i="3" s="1"/>
  <c r="BL282" i="3"/>
  <c r="BA284" i="3"/>
  <c r="BA302" i="3"/>
  <c r="AZ302" i="3" s="1"/>
  <c r="BA117" i="3"/>
  <c r="BA130" i="3"/>
  <c r="BL130" i="3"/>
  <c r="BA137" i="3"/>
  <c r="AZ137" i="3" s="1"/>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AZ51" i="3" s="1"/>
  <c r="G55" i="3"/>
  <c r="BL56" i="3"/>
  <c r="BA58" i="3"/>
  <c r="BL59" i="3"/>
  <c r="AZ59" i="3" s="1"/>
  <c r="BL60" i="3"/>
  <c r="BA61" i="3"/>
  <c r="AZ61" i="3" s="1"/>
  <c r="BA68" i="3"/>
  <c r="BA71" i="3"/>
  <c r="AZ71" i="3" s="1"/>
  <c r="BA77" i="3"/>
  <c r="AZ77" i="3" s="1"/>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AZ46" i="3" s="1"/>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AZ84" i="3" s="1"/>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M31" i="81"/>
  <c r="L57" i="15"/>
  <c r="F26" i="81"/>
  <c r="M9" i="81"/>
  <c r="D5" i="73"/>
  <c r="L48" i="67"/>
  <c r="F48" i="81"/>
  <c r="M6" i="81"/>
  <c r="M30" i="81"/>
  <c r="F30" i="81"/>
  <c r="M22" i="81"/>
  <c r="D7" i="73"/>
  <c r="M26" i="81"/>
  <c r="F8" i="81"/>
  <c r="F7" i="81"/>
  <c r="L56" i="81"/>
  <c r="F24" i="81"/>
  <c r="F28" i="81"/>
  <c r="D3" i="73"/>
  <c r="C16" i="67"/>
  <c r="F52" i="81"/>
  <c r="F22" i="81"/>
  <c r="M28" i="81"/>
  <c r="F32" i="81"/>
  <c r="F9" i="81"/>
  <c r="M24" i="81"/>
  <c r="M36" i="81"/>
  <c r="C38" i="15"/>
  <c r="D4" i="73"/>
  <c r="M8" i="81"/>
  <c r="C88" i="81"/>
  <c r="F38" i="81"/>
  <c r="F6" i="81"/>
  <c r="L57" i="81"/>
  <c r="C71" i="81"/>
  <c r="N68" i="15" l="1"/>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AC7" i="36" l="1"/>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C54" i="80"/>
  <c r="Q84" i="15"/>
  <c r="C29" i="80"/>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M29" i="81"/>
  <c r="AE6" i="1"/>
  <c r="F29" i="15"/>
  <c r="F41" i="67"/>
  <c r="M27" i="67"/>
  <c r="M29" i="15"/>
  <c r="B14" i="74" l="1"/>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6" i="81"/>
  <c r="F29" i="81"/>
  <c r="C14" i="67"/>
  <c r="C39" i="81"/>
  <c r="C39" i="15"/>
  <c r="C17" i="67"/>
  <c r="B4" i="52" l="1"/>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D18" i="80" l="1"/>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67"/>
  <c r="F35" i="67"/>
  <c r="M21" i="81"/>
  <c r="M21" i="15"/>
  <c r="F21" i="15"/>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5"/>
  <c r="L60" i="81"/>
  <c r="F2" i="36"/>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C20" i="9"/>
  <c r="C19" i="9"/>
  <c r="AO12" i="1"/>
  <c r="AO11" i="1"/>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l="1"/>
  <c r="N119" i="9"/>
  <c r="H118" i="9" s="1"/>
  <c r="C34" i="9"/>
  <c r="M117" i="9"/>
  <c r="M119" i="9"/>
  <c r="F118" i="9" s="1"/>
  <c r="G118" i="9" s="1"/>
  <c r="B3" i="40"/>
  <c r="B4" i="40"/>
  <c r="B5" i="40"/>
  <c r="C95" i="15"/>
  <c r="C94" i="15" s="1"/>
  <c r="D34" i="9"/>
  <c r="AO8" i="1"/>
  <c r="AO9" i="1"/>
  <c r="AO6"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<sst xmlns="http://schemas.openxmlformats.org/spreadsheetml/2006/main" count="9097" uniqueCount="4051">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</sst>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0</xdr:colOff>
      <xdr:row>0</xdr:row>
      <xdr:rowOff>0</xdr:rowOff>
    </xdr:from>
    <xdr:to>
      <xdr:col>10</xdr:col>
      <xdr:colOff>56714</xdr:colOff>
      <xdr:row>13</xdr:row>
      <xdr:rowOff>152102</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3429000" y="0"/>
          <a:ext cx="3485714" cy="2380952"/>
        </a:xfrm>
        <a:prstGeom prst="rect">
          <a:avLst/>
        </a:prstGeom>
      </xdr:spPr>
    </xdr:pic>
    <xdr:clientData/>
  </xdr:twoCellAnchor>
  <xdr:twoCellAnchor editAs="oneCell">
    <xdr:from>
      <xdr:col>5</xdr:col>
      <xdr:colOff>0</xdr:colOff>
      <xdr:row>14</xdr:row>
      <xdr:rowOff>0</xdr:rowOff>
    </xdr:from>
    <xdr:to>
      <xdr:col>10</xdr:col>
      <xdr:colOff>180524</xdr:colOff>
      <xdr:row>20</xdr:row>
      <xdr:rowOff>18919</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3429000" y="2400300"/>
          <a:ext cx="3609524" cy="1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估价对象为北京市房地产，为所有。根据《国有土地使用证》[]，估价对象（分摊）出让国有建设用地使用权面积为0平方米，建筑面积为110.59平方米。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估价对象为北京市房地产,属开发建设的办公项目，该项目尚在开发建设中。根据《国有土地使用证》[]，估价对象（分摊）出让国有建设用地使用权面积为0平方米，规划建筑面积为110.59平方米。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212.25540000000001</v>
      </c>
    </row>
    <row r="21" spans="1:2">
      <c r="A21" s="793" t="s">
        <v>531</v>
      </c>
      <c r="B21" s="794">
        <f ca="1">'预评函-2'!D7</f>
        <v>19193</v>
      </c>
    </row>
    <row r="22" spans="1:2">
      <c r="A22" s="793" t="s">
        <v>532</v>
      </c>
      <c r="B22" s="794" t="str">
        <f ca="1">'预评函-2'!D6</f>
        <v>贰佰壹拾贰万贰仟伍佰伍拾肆元整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212.25540000000001</v>
      </c>
    </row>
    <row r="31" spans="1:2">
      <c r="A31" s="793" t="s">
        <v>570</v>
      </c>
      <c r="B31" s="794">
        <f ca="1">'预评函-2'!D15</f>
        <v>19193</v>
      </c>
    </row>
    <row r="32" spans="1:2">
      <c r="A32" s="793" t="s">
        <v>537</v>
      </c>
      <c r="B32" s="794" t="str">
        <f ca="1">'预评函-2'!D14</f>
        <v>贰佰壹拾贰万贰仟伍佰伍拾肆元整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1.2">
      <c r="A42" s="793" t="s">
        <v>584</v>
      </c>
      <c r="B42" s="794" t="str">
        <f>'预评函-3'!B2</f>
        <v>建筑面积</v>
      </c>
    </row>
    <row r="43" spans="1:2">
      <c r="A43" s="793" t="s">
        <v>585</v>
      </c>
      <c r="B43" s="794">
        <f>'预评函-3'!B4</f>
        <v>110.59</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6" sqref="D26"/>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2"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2"/>
      <c r="B54" s="1092" t="s">
        <v>379</v>
      </c>
      <c r="C54" s="1090" t="s">
        <v>577</v>
      </c>
    </row>
    <row r="55" spans="1:4">
      <c r="A55" s="4272"/>
      <c r="B55" s="1092" t="s">
        <v>380</v>
      </c>
      <c r="C55" s="1090" t="s">
        <v>578</v>
      </c>
    </row>
    <row r="56" spans="1:4">
      <c r="A56" s="4272"/>
      <c r="B56" s="1092" t="s">
        <v>381</v>
      </c>
      <c r="C56" s="1090" t="s">
        <v>582</v>
      </c>
    </row>
    <row r="57" spans="1:4">
      <c r="A57" s="4272"/>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G1" zoomScaleNormal="100" workbookViewId="0">
      <selection activeCell="I11" sqref="I11:K11"/>
    </sheetView>
  </sheetViews>
  <sheetFormatPr defaultColWidth="15.21875" defaultRowHeight="14.4"/>
  <cols>
    <col min="1" max="7" width="15.21875" style="2188"/>
    <col min="8" max="8" width="15" style="2188" customWidth="1"/>
    <col min="9" max="13" width="11.44140625" style="2219" customWidth="1"/>
    <col min="14" max="15" width="11.44140625" style="2188" customWidth="1"/>
    <col min="16" max="18" width="9.44140625" style="2188" customWidth="1"/>
    <col min="19" max="19" width="3.77734375" style="2188" customWidth="1"/>
    <col min="20" max="16384" width="15.2187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3" t="s">
        <v>2472</v>
      </c>
      <c r="J2" s="4274"/>
      <c r="K2" s="4274"/>
      <c r="L2" s="4274"/>
      <c r="M2" s="4274"/>
      <c r="N2" s="4274"/>
      <c r="O2" s="4274"/>
      <c r="P2" s="4274"/>
      <c r="Q2" s="4274"/>
      <c r="R2" s="4275"/>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5" thickBot="1">
      <c r="A8" s="2189"/>
      <c r="B8" s="2190"/>
      <c r="C8" s="2190"/>
      <c r="D8" s="2190"/>
      <c r="E8" s="2190"/>
      <c r="F8" s="2191"/>
      <c r="I8" s="4273" t="s">
        <v>3678</v>
      </c>
      <c r="J8" s="4274"/>
      <c r="K8" s="4274"/>
      <c r="L8" s="4274"/>
      <c r="M8" s="4274"/>
      <c r="N8" s="4274"/>
      <c r="O8" s="4274"/>
      <c r="P8" s="4274"/>
      <c r="Q8" s="4274"/>
      <c r="R8" s="4275"/>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78"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79"/>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79"/>
    </row>
    <row r="12" spans="1:19" ht="1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79"/>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79"/>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79"/>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79"/>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79"/>
    </row>
    <row r="17" spans="1:19" ht="1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0"/>
    </row>
    <row r="18" spans="1:19" ht="15" thickBot="1">
      <c r="A18" s="3521" t="s">
        <v>2408</v>
      </c>
      <c r="B18" s="3522">
        <f>ROUND(B17*F11/F12,2)</f>
        <v>5541.87</v>
      </c>
      <c r="C18" s="3523">
        <f>ROUND(F11/F12,4)</f>
        <v>1.1521999999999999</v>
      </c>
      <c r="D18" s="2196"/>
      <c r="E18" s="2196"/>
      <c r="F18" s="2197"/>
    </row>
    <row r="19" spans="1:19" s="3504" customFormat="1" ht="1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5" thickBot="1">
      <c r="N48" s="3504"/>
      <c r="O48" s="3504"/>
    </row>
    <row r="49" spans="1:16" s="3973" customFormat="1" ht="15.6" thickTop="1" thickBot="1">
      <c r="A49" s="3971" t="s">
        <v>3354</v>
      </c>
      <c r="B49" s="3972"/>
      <c r="C49" s="3972"/>
      <c r="D49" s="3972"/>
      <c r="E49" s="3972"/>
      <c r="I49" s="4276" t="s">
        <v>3994</v>
      </c>
      <c r="J49" s="4276"/>
      <c r="K49" s="4276"/>
      <c r="L49" s="4276"/>
      <c r="M49" s="4276"/>
      <c r="N49" s="2196"/>
      <c r="O49" s="2196"/>
    </row>
    <row r="50" spans="1:16">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c r="A54" s="1882" t="s">
        <v>3360</v>
      </c>
      <c r="B54" s="2616">
        <f>B51</f>
        <v>9993</v>
      </c>
      <c r="C54" s="2616">
        <f>E54/B54</f>
        <v>1283.8637045932153</v>
      </c>
      <c r="D54" s="3937"/>
      <c r="E54" s="2628">
        <f>E55+E56</f>
        <v>12829650</v>
      </c>
      <c r="F54" s="3936">
        <f>E54/$E$62</f>
        <v>0.15779328102775064</v>
      </c>
      <c r="G54" s="2604"/>
      <c r="H54" s="2604"/>
    </row>
    <row r="55" spans="1:16">
      <c r="A55" s="2613" t="s">
        <v>3835</v>
      </c>
      <c r="B55" s="3935">
        <f>B52</f>
        <v>5508</v>
      </c>
      <c r="C55" s="2616"/>
      <c r="D55" s="3938">
        <v>1800</v>
      </c>
      <c r="E55" s="2627">
        <f>D55*B55</f>
        <v>9914400</v>
      </c>
      <c r="F55" s="2622"/>
      <c r="G55" s="2604" t="s">
        <v>3840</v>
      </c>
      <c r="H55" s="2604"/>
    </row>
    <row r="56" spans="1:16">
      <c r="A56" s="2613" t="s">
        <v>3836</v>
      </c>
      <c r="B56" s="3935">
        <f>B53</f>
        <v>4485</v>
      </c>
      <c r="C56" s="2616"/>
      <c r="D56" s="3938">
        <v>650</v>
      </c>
      <c r="E56" s="2627">
        <f>D56*B56</f>
        <v>2915250</v>
      </c>
      <c r="F56" s="2622"/>
      <c r="G56" s="2604" t="s">
        <v>3841</v>
      </c>
      <c r="H56" s="2604"/>
    </row>
    <row r="57" spans="1:16">
      <c r="A57" s="3934" t="s">
        <v>3834</v>
      </c>
      <c r="B57" s="2616">
        <f>B51</f>
        <v>9993</v>
      </c>
      <c r="C57" s="2616">
        <f>E57/B57</f>
        <v>2704.7433203242272</v>
      </c>
      <c r="D57" s="3937"/>
      <c r="E57" s="2628">
        <f>E58+E59</f>
        <v>27028500</v>
      </c>
      <c r="F57" s="2622">
        <f>E57/$E$62</f>
        <v>0.33242650393881035</v>
      </c>
      <c r="G57" s="2604"/>
      <c r="H57" s="2604"/>
      <c r="I57" s="4277" t="s">
        <v>3372</v>
      </c>
      <c r="J57" s="4277"/>
      <c r="K57" s="4277"/>
      <c r="L57" s="4277"/>
      <c r="M57" s="4277"/>
      <c r="N57" s="2190"/>
    </row>
    <row r="58" spans="1:16">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c r="A61" s="1882" t="s">
        <v>3361</v>
      </c>
      <c r="B61" s="3939">
        <f>B51</f>
        <v>9993</v>
      </c>
      <c r="C61" s="2616">
        <f>E61/B61</f>
        <v>159.53656559591715</v>
      </c>
      <c r="D61" s="2608">
        <v>0.02</v>
      </c>
      <c r="E61" s="2628">
        <f>(E51+E54+E57+E60)*D61</f>
        <v>1594248.9000000001</v>
      </c>
      <c r="F61" s="2622">
        <f>E61/$E$62</f>
        <v>1.9607843137254902E-2</v>
      </c>
      <c r="G61" s="2604" t="s">
        <v>3842</v>
      </c>
    </row>
    <row r="62" spans="1:16" ht="1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zoomScaleSheetLayoutView="110" workbookViewId="0">
      <selection activeCell="M14" sqref="M14"/>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6" t="s">
        <v>2075</v>
      </c>
      <c r="B1" s="4281" t="str">
        <f>IF(B10="北京市","北京市",C10)&amp;F10&amp;IF(结果表!G1="在建","出让国有建设用地使用权及在建建筑物",IF(结果表!G1="土地","出让国有建设用地使用权",))&amp;B9&amp;"预评估"</f>
        <v>北京市房地产抵押价值预评估</v>
      </c>
      <c r="C1" s="4282"/>
      <c r="D1" s="4282"/>
      <c r="E1" s="4282"/>
      <c r="F1" s="4282"/>
      <c r="G1" s="4282"/>
      <c r="H1" s="4282"/>
      <c r="I1" s="4283"/>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8"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8"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84" t="s">
        <v>2084</v>
      </c>
      <c r="E8" s="1747" t="s">
        <v>4001</v>
      </c>
      <c r="F8" s="1748"/>
      <c r="G8" s="1931"/>
      <c r="H8" s="1931"/>
      <c r="I8" s="1931"/>
      <c r="J8" s="1785"/>
      <c r="K8" s="1890"/>
      <c r="L8" s="1889"/>
      <c r="M8" s="1889"/>
      <c r="N8" s="1785"/>
      <c r="O8" s="1297"/>
      <c r="P8" s="1785"/>
      <c r="Q8" s="1785"/>
      <c r="R8" s="1785"/>
    </row>
    <row r="9" spans="1:30" ht="13.8" thickBot="1">
      <c r="A9" s="1749" t="s">
        <v>2085</v>
      </c>
      <c r="B9" s="1750" t="s">
        <v>4001</v>
      </c>
      <c r="C9" s="1751"/>
      <c r="D9" s="4285"/>
      <c r="E9" s="1750"/>
      <c r="F9" s="1752"/>
      <c r="G9" s="1932"/>
      <c r="H9" s="1932"/>
      <c r="I9" s="1932"/>
      <c r="J9" s="1785"/>
      <c r="K9" s="1892"/>
      <c r="L9" s="1889"/>
      <c r="M9" s="1889"/>
      <c r="N9" s="1785"/>
      <c r="O9" s="1297"/>
      <c r="P9" s="1785"/>
      <c r="Q9" s="1785"/>
      <c r="R9" s="1785"/>
    </row>
    <row r="10" spans="1:30" ht="13.8"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ht="24">
      <c r="A13" s="2469" t="s">
        <v>3222</v>
      </c>
      <c r="B13" s="1761" t="s">
        <v>2097</v>
      </c>
      <c r="C13" s="546"/>
      <c r="D13" s="546"/>
      <c r="E13" s="546">
        <v>59539</v>
      </c>
      <c r="F13" s="546"/>
      <c r="G13" s="546"/>
      <c r="H13" s="546"/>
      <c r="I13" s="546"/>
      <c r="J13" s="4659" t="s">
        <v>4049</v>
      </c>
      <c r="K13" s="1889"/>
      <c r="L13" s="1889"/>
      <c r="M13" s="1785"/>
      <c r="N13" s="1297"/>
      <c r="O13" s="1785"/>
      <c r="P13" s="1785"/>
      <c r="Q13" s="1785"/>
      <c r="AD13" s="1250"/>
    </row>
    <row r="14" spans="1:30">
      <c r="A14" s="718"/>
      <c r="B14" s="1761" t="s">
        <v>2098</v>
      </c>
      <c r="C14" s="1762"/>
      <c r="D14" s="1762"/>
      <c r="E14" s="1762">
        <v>50</v>
      </c>
      <c r="F14" s="1762"/>
      <c r="G14" s="1762"/>
      <c r="H14" s="1762"/>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f>IF(A13="出让",IF(E13="","",ROUNDDOWN(MIN((E13-$D$3)/365,E14),2)),E14)</f>
        <v>36.950000000000003</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7"/>
      <c r="L15" s="1297"/>
      <c r="M15" s="1785"/>
      <c r="N15" s="1297"/>
      <c r="O15" s="1785"/>
      <c r="P15" s="1785"/>
      <c r="Q15" s="1785"/>
      <c r="AD15" s="1250"/>
    </row>
    <row r="16" spans="1:30">
      <c r="A16" s="1755" t="s">
        <v>2100</v>
      </c>
      <c r="B16" s="4291"/>
      <c r="C16" s="4292"/>
      <c r="D16" s="4293"/>
      <c r="E16" s="1764" t="s">
        <v>2101</v>
      </c>
      <c r="F16" s="4294"/>
      <c r="G16" s="4295"/>
      <c r="H16" s="4295"/>
      <c r="I16" s="4296"/>
      <c r="J16" s="1785"/>
      <c r="K16" s="1893"/>
      <c r="L16" s="1297"/>
      <c r="M16" s="1297"/>
      <c r="N16" s="1785"/>
      <c r="O16" s="1297"/>
      <c r="P16" s="1785"/>
      <c r="Q16" s="1785"/>
      <c r="R16" s="1785"/>
    </row>
    <row r="17" spans="1:28">
      <c r="A17" s="197" t="s">
        <v>2102</v>
      </c>
      <c r="B17" s="186" t="s">
        <v>2103</v>
      </c>
      <c r="C17" s="9">
        <f>'数据-汇总表'!E3</f>
        <v>110.59</v>
      </c>
      <c r="D17" s="900" t="s">
        <v>2104</v>
      </c>
      <c r="E17" s="4297" t="s">
        <v>2105</v>
      </c>
      <c r="F17" s="4298"/>
      <c r="G17" s="4298"/>
      <c r="H17" s="4298"/>
      <c r="I17" s="4299"/>
      <c r="J17" s="1785"/>
      <c r="K17" s="1894"/>
      <c r="L17" s="1297"/>
      <c r="M17" s="1297"/>
      <c r="N17" s="1785"/>
      <c r="O17" s="1297"/>
      <c r="P17" s="1785"/>
      <c r="Q17" s="1785"/>
      <c r="R17" s="1785"/>
      <c r="S17" s="1785"/>
      <c r="T17" s="1785"/>
      <c r="U17" s="1785"/>
      <c r="V17" s="1785"/>
    </row>
    <row r="18" spans="1:28" ht="24.6" thickBot="1">
      <c r="A18" s="1765" t="s">
        <v>2106</v>
      </c>
      <c r="B18" s="727" t="s">
        <v>2107</v>
      </c>
      <c r="C18" s="2598">
        <f>'数据-汇总表'!D3</f>
        <v>0</v>
      </c>
      <c r="D18" s="729" t="s">
        <v>2108</v>
      </c>
      <c r="E18" s="4300" t="s">
        <v>2109</v>
      </c>
      <c r="F18" s="4301"/>
      <c r="G18" s="4301"/>
      <c r="H18" s="4301"/>
      <c r="I18" s="4302"/>
      <c r="J18" s="1785"/>
      <c r="K18" s="1894"/>
      <c r="L18" s="1297"/>
      <c r="M18" s="1297"/>
      <c r="N18" s="1785"/>
      <c r="O18" s="1297"/>
      <c r="P18" s="1785"/>
      <c r="Q18" s="1785"/>
      <c r="R18" s="1785"/>
      <c r="S18" s="1785"/>
      <c r="T18" s="1785"/>
      <c r="U18" s="1785"/>
      <c r="V18" s="1785"/>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87" t="s">
        <v>2113</v>
      </c>
      <c r="C20" s="4288"/>
      <c r="D20" s="4289" t="s">
        <v>2114</v>
      </c>
      <c r="E20" s="4290"/>
      <c r="F20" s="1920" t="s">
        <v>1040</v>
      </c>
      <c r="G20" s="1931"/>
      <c r="H20" s="1931"/>
      <c r="I20" s="1931"/>
      <c r="J20" s="1785"/>
      <c r="K20" s="4286"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36.6" thickBot="1">
      <c r="A21" s="1907"/>
      <c r="B21" s="1908" t="s">
        <v>2116</v>
      </c>
      <c r="C21" s="1836" t="s">
        <v>1041</v>
      </c>
      <c r="D21" s="1104" t="s">
        <v>2117</v>
      </c>
      <c r="E21" s="1909" t="s">
        <v>1041</v>
      </c>
      <c r="F21" s="1921"/>
      <c r="G21" s="1931">
        <v>2014</v>
      </c>
      <c r="H21" s="1931"/>
      <c r="I21" s="1931"/>
      <c r="J21" s="1785"/>
      <c r="K21" s="428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36.6" thickBot="1">
      <c r="A22" s="1907"/>
      <c r="B22" s="1910" t="s">
        <v>2118</v>
      </c>
      <c r="C22" s="1836" t="s">
        <v>1042</v>
      </c>
      <c r="D22" s="1931"/>
      <c r="E22" s="1931"/>
      <c r="F22" s="1931"/>
      <c r="G22" s="1931">
        <f>2026-G21+2</f>
        <v>14</v>
      </c>
      <c r="H22" s="1931"/>
      <c r="I22" s="1931"/>
      <c r="J22" s="1785"/>
      <c r="K22" s="428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8" thickTop="1">
      <c r="A27" s="4304"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304"/>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304"/>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305"/>
      <c r="B30" s="186" t="s">
        <v>2125</v>
      </c>
      <c r="C30" s="4306"/>
      <c r="D30" s="4307"/>
      <c r="E30" s="1931"/>
      <c r="F30" s="1931"/>
      <c r="G30" s="1931"/>
      <c r="H30" s="1931"/>
      <c r="I30" s="1931"/>
      <c r="J30" s="1785"/>
      <c r="K30" s="1892"/>
      <c r="L30" s="1889"/>
      <c r="M30" s="1889"/>
      <c r="N30" s="1785"/>
      <c r="O30" s="1297"/>
      <c r="P30" s="1785"/>
      <c r="Q30" s="1785"/>
      <c r="R30" s="1785"/>
      <c r="S30" s="1785"/>
      <c r="T30" s="1785"/>
      <c r="U30" s="1785"/>
      <c r="V30" s="1785"/>
    </row>
    <row r="31" spans="1:28">
      <c r="A31" s="4308"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309"/>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309"/>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303" t="s">
        <v>2135</v>
      </c>
      <c r="T34" s="206" t="str">
        <f>NUMBERSTRING(7-K34,1)&amp;"通"</f>
        <v>七通</v>
      </c>
      <c r="U34" s="1785"/>
      <c r="V34" s="1785"/>
    </row>
    <row r="35" spans="1:30">
      <c r="A35" s="1776"/>
      <c r="B35" s="4303" t="s">
        <v>2136</v>
      </c>
      <c r="C35" s="4303"/>
      <c r="D35" s="4303"/>
      <c r="E35" s="4303"/>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3"/>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8"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4"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110.59</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110.59</v>
      </c>
      <c r="H5" s="6">
        <f t="shared" ref="H5:AT5" si="0">SUM(H13:H656)</f>
        <v>110.59</v>
      </c>
      <c r="I5" s="6">
        <f t="shared" si="0"/>
        <v>110.59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110.59</v>
      </c>
      <c r="BA5" s="455">
        <f t="shared" si="1"/>
        <v>110.59</v>
      </c>
      <c r="BB5" s="455">
        <f t="shared" si="1"/>
        <v>110.59</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19</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办公</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v>1923</v>
      </c>
      <c r="D13" s="1154" t="s">
        <v>4008</v>
      </c>
      <c r="E13" s="6">
        <f>IF($C$3="是",ROUND($A$3*G13/$B$3,2),ROUND($A$3*(G13-AT13)/$B$3,2))</f>
        <v>0</v>
      </c>
      <c r="F13" s="579"/>
      <c r="G13" s="18">
        <f>H13+AC13+AT13</f>
        <v>110.59</v>
      </c>
      <c r="H13" s="11">
        <f>SUMIF(I$12:AB$12,"总值",I13:AB13)</f>
        <v>110.59</v>
      </c>
      <c r="I13" s="1106">
        <v>110.59</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1923</v>
      </c>
      <c r="AY13" s="904">
        <f>ROUND($AY$6*AZ13/$AZ$5,2)</f>
        <v>0</v>
      </c>
      <c r="AZ13" s="9">
        <f>BA13+BL13</f>
        <v>110.59</v>
      </c>
      <c r="BA13" s="9">
        <f>SUM(BB13:BK13)</f>
        <v>110.59</v>
      </c>
      <c r="BB13" s="9">
        <f>IF($D13="是",I13-J13,0)</f>
        <v>110.59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19" t="s">
        <v>1114</v>
      </c>
      <c r="B2" s="4319"/>
      <c r="C2" s="4319"/>
      <c r="D2" s="520" t="s">
        <v>1090</v>
      </c>
      <c r="E2" s="1163" t="s">
        <v>1091</v>
      </c>
      <c r="F2" s="1928"/>
      <c r="G2" s="1922"/>
      <c r="H2" s="1923"/>
      <c r="I2" s="1694" t="s">
        <v>1115</v>
      </c>
      <c r="J2" s="1928"/>
      <c r="K2" s="1928"/>
      <c r="L2" s="1928"/>
      <c r="M2" s="1928"/>
      <c r="N2" s="1929"/>
      <c r="O2" s="1928"/>
      <c r="P2" s="1928"/>
    </row>
    <row r="3" spans="1:16" ht="15" thickBot="1">
      <c r="A3" s="4320" t="s">
        <v>1088</v>
      </c>
      <c r="B3" s="4320"/>
      <c r="C3" s="4320"/>
      <c r="D3" s="3803">
        <f>'数据-基础表'!AY6</f>
        <v>0</v>
      </c>
      <c r="E3" s="3803">
        <f>'数据-基础表'!AZ5</f>
        <v>110.59</v>
      </c>
      <c r="F3" s="1928"/>
      <c r="G3" s="24"/>
      <c r="H3" s="25" t="s">
        <v>1089</v>
      </c>
      <c r="I3" s="2593" t="e">
        <f>ROUND('数据-基础表'!B3/'数据-基础表'!A3,2)</f>
        <v>#DIV/0!</v>
      </c>
      <c r="J3" s="1928"/>
      <c r="K3" s="1928"/>
      <c r="L3" s="1928"/>
      <c r="M3" s="1928"/>
      <c r="N3" s="1929"/>
      <c r="O3" s="1928"/>
      <c r="P3" s="1928"/>
    </row>
    <row r="4" spans="1:16" ht="14.4">
      <c r="A4" s="4321"/>
      <c r="B4" s="4322"/>
      <c r="C4" s="4323"/>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ht="14.4">
      <c r="A5" s="24" t="s">
        <v>1092</v>
      </c>
      <c r="B5" s="4324" t="s">
        <v>1093</v>
      </c>
      <c r="C5" s="4324"/>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4" t="s">
        <v>1094</v>
      </c>
      <c r="C6" s="4324"/>
      <c r="D6" s="3785">
        <f>ROUND($D$3*E6/$E$3,2)</f>
        <v>0</v>
      </c>
      <c r="E6" s="3675">
        <f>E3-E5</f>
        <v>110.59</v>
      </c>
      <c r="F6" s="1928"/>
      <c r="G6" s="1170" t="s">
        <v>1095</v>
      </c>
      <c r="H6" s="26" t="s">
        <v>1096</v>
      </c>
      <c r="I6" s="2594" t="e">
        <f>ROUND(F31/D31,2)</f>
        <v>#DIV/0!</v>
      </c>
      <c r="J6" s="1928"/>
      <c r="K6" s="1928"/>
      <c r="L6" s="1928"/>
      <c r="M6" s="1928"/>
      <c r="N6" s="1928"/>
      <c r="O6" s="1928"/>
      <c r="P6" s="1928"/>
    </row>
    <row r="7" spans="1:16" ht="15" thickBot="1">
      <c r="A7" s="4316"/>
      <c r="B7" s="4317"/>
      <c r="C7" s="4318"/>
      <c r="D7" s="1165" t="s">
        <v>1090</v>
      </c>
      <c r="E7" s="1169" t="s">
        <v>1097</v>
      </c>
      <c r="F7" s="1928"/>
      <c r="G7" s="1925" t="s">
        <v>1098</v>
      </c>
      <c r="H7" s="1926"/>
      <c r="I7" s="2595"/>
      <c r="J7" s="1928"/>
      <c r="K7" s="1928"/>
      <c r="L7" s="1928"/>
      <c r="M7" s="1928"/>
      <c r="N7" s="1928"/>
      <c r="O7" s="1928"/>
      <c r="P7" s="1928"/>
    </row>
    <row r="8" spans="1:16" ht="14.4">
      <c r="A8" s="24" t="s">
        <v>1099</v>
      </c>
      <c r="B8" s="26" t="s">
        <v>1100</v>
      </c>
      <c r="C8" s="25" t="s">
        <v>1101</v>
      </c>
      <c r="D8" s="3785">
        <f t="shared" ref="D8:D15" si="0">ROUND($D$3*E8/$E$3,2)</f>
        <v>0</v>
      </c>
      <c r="E8" s="3675">
        <f>SUMIF('数据-基础表'!BB10:BK10,"地上",'数据-基础表'!BB5:BK5)</f>
        <v>110.59</v>
      </c>
      <c r="F8" s="1928"/>
      <c r="G8" s="1928"/>
      <c r="H8" s="1928"/>
      <c r="I8" s="1928"/>
      <c r="J8" s="1928"/>
      <c r="K8" s="1928"/>
      <c r="L8" s="1928"/>
      <c r="M8" s="1928"/>
      <c r="N8" s="1928"/>
      <c r="O8" s="1928"/>
      <c r="P8" s="1928"/>
    </row>
    <row r="9" spans="1:16" ht="14.4">
      <c r="A9" s="1170"/>
      <c r="B9" s="1171"/>
      <c r="C9" s="25" t="s">
        <v>1102</v>
      </c>
      <c r="D9" s="3785">
        <f t="shared" si="0"/>
        <v>0</v>
      </c>
      <c r="E9" s="3804"/>
      <c r="F9" s="1928"/>
      <c r="G9" s="1928"/>
      <c r="H9" s="1928"/>
      <c r="I9" s="1928"/>
      <c r="J9" s="1928"/>
      <c r="K9" s="1928"/>
      <c r="L9" s="1928"/>
      <c r="M9" s="1928"/>
      <c r="N9" s="1928"/>
      <c r="O9" s="1928"/>
      <c r="P9" s="1928"/>
    </row>
    <row r="10" spans="1:16" ht="14.4">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9">
        <f>SUM(D8:D15)</f>
        <v>0</v>
      </c>
      <c r="E16" s="3795">
        <f>SUM(E8:E15)</f>
        <v>110.59</v>
      </c>
      <c r="F16" s="1928"/>
      <c r="G16" s="1928"/>
      <c r="H16" s="1172" t="s">
        <v>1118</v>
      </c>
      <c r="I16" s="1173"/>
      <c r="J16" s="763"/>
      <c r="K16" s="4313" t="s">
        <v>1118</v>
      </c>
      <c r="L16" s="4314"/>
      <c r="M16" s="4314"/>
      <c r="N16" s="4314"/>
      <c r="O16" s="4314"/>
      <c r="P16" s="4315"/>
    </row>
    <row r="17" spans="1:19" ht="14.4">
      <c r="A17" s="1174" t="s">
        <v>1119</v>
      </c>
      <c r="B17" s="1175" t="s">
        <v>1120</v>
      </c>
      <c r="C17" s="1176" t="s">
        <v>1121</v>
      </c>
      <c r="D17" s="1177" t="s">
        <v>1109</v>
      </c>
      <c r="E17" s="1178" t="s">
        <v>1110</v>
      </c>
      <c r="F17" s="1179"/>
      <c r="G17" s="1180"/>
      <c r="H17" s="1181" t="s">
        <v>1122</v>
      </c>
      <c r="I17" s="1182" t="s">
        <v>1107</v>
      </c>
      <c r="J17" s="763"/>
      <c r="K17" s="4310" t="s">
        <v>1123</v>
      </c>
      <c r="L17" s="4311"/>
      <c r="M17" s="4312"/>
      <c r="N17" s="4310" t="s">
        <v>1124</v>
      </c>
      <c r="O17" s="4311"/>
      <c r="P17" s="4312"/>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5" t="s">
        <v>4010</v>
      </c>
      <c r="D19" s="3785">
        <f>ROUND($D$3*E19/$E$3,2)</f>
        <v>0</v>
      </c>
      <c r="E19" s="3785">
        <f t="shared" ref="E19:E26" si="1">SUM(F19:G19)</f>
        <v>110.59</v>
      </c>
      <c r="F19" s="3786">
        <f>'数据-基础表'!I13</f>
        <v>110.59</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110.59</v>
      </c>
    </row>
    <row r="20" spans="1:19" ht="14.4">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ht="14.4">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ht="14.4">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ht="14.4">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ht="14.4">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ht="14.4">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ht="14.4">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 thickBot="1">
      <c r="A27" s="1190"/>
      <c r="B27" s="25"/>
      <c r="C27" s="1191" t="s">
        <v>1137</v>
      </c>
      <c r="D27" s="172">
        <f>SUM(D19:D26)</f>
        <v>0</v>
      </c>
      <c r="E27" s="172">
        <f>IF(SUM(E19:E26)='数据-基础表'!BA5,SUM(E19:E26),IF(F27="地上面积有误","面积有误","地下面积有误"))</f>
        <v>110.59</v>
      </c>
      <c r="F27" s="172">
        <f>IF(SUM(F19:F26)=E8,SUM(F19:F26),"地上面积有误")</f>
        <v>110.59</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110.59</v>
      </c>
    </row>
    <row r="28" spans="1:19" ht="14.4">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ht="14.4">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 thickBot="1">
      <c r="A31" s="1194"/>
      <c r="B31" s="45"/>
      <c r="C31" s="534" t="s">
        <v>1141</v>
      </c>
      <c r="D31" s="3796">
        <f>D27+D30</f>
        <v>0</v>
      </c>
      <c r="E31" s="3796">
        <f>E27+E30</f>
        <v>110.59</v>
      </c>
      <c r="F31" s="3797">
        <f>F27+F30</f>
        <v>110.59</v>
      </c>
      <c r="G31" s="3798">
        <f>G27+G30</f>
        <v>0</v>
      </c>
      <c r="H31" s="1928"/>
      <c r="I31" s="1928"/>
      <c r="J31" s="1928"/>
      <c r="K31" s="1928"/>
      <c r="L31" s="1928"/>
      <c r="M31" s="1928"/>
      <c r="N31" s="1928"/>
      <c r="O31" s="1928"/>
      <c r="P31" s="1928"/>
    </row>
    <row r="32" spans="1:19" ht="14.4">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5" sqref="AM5"/>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8"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办公</v>
      </c>
      <c r="B6" s="1223" t="str">
        <f>IF(A6=0,"","经营性")</f>
        <v>经营性</v>
      </c>
      <c r="C6" s="1224" t="s">
        <v>19</v>
      </c>
      <c r="D6" s="3294">
        <f>SUMIF(项目基本情况!C$12:I$12,C6,项目基本情况!C$14:I$14)</f>
        <v>50</v>
      </c>
      <c r="E6" s="547">
        <f>IF(B6="","",SUMIF(项目基本情况!C$12:I$12,C6,项目基本情况!C$13:I$13))</f>
        <v>59539</v>
      </c>
      <c r="F6" s="3296">
        <f>SUMIF(项目基本情况!C$12:I$12,C6,项目基本情况!C$15:I$15)</f>
        <v>36.950000000000003</v>
      </c>
      <c r="G6" s="3297">
        <f t="shared" ref="G6:G13" si="0">IF(ISERROR(ROUND(POWER(1+H6,D6-F6)*(POWER(1+H6,F6)-1)/(POWER(1+H6,D6)-1),4)),0,ROUND(POWER(1+H6,D6-F6)*(POWER(1+H6,F6)-1)/(POWER(1+H6,D6)-1),4))</f>
        <v>0.91490000000000005</v>
      </c>
      <c r="H6" s="3298">
        <v>0.05</v>
      </c>
      <c r="I6" s="3298">
        <v>5.5E-2</v>
      </c>
      <c r="J6" s="3299">
        <v>7.4999999999999997E-2</v>
      </c>
      <c r="K6" s="3805">
        <f>SUMIF('数据-汇总表'!C$19:C$33,A6,'数据-汇总表'!E$19:E$33)</f>
        <v>110.59</v>
      </c>
      <c r="L6" s="3806">
        <v>4100</v>
      </c>
      <c r="M6" s="3807">
        <f t="shared" ref="M6:M14" si="1">ROUND(K6*L6/10000,0)</f>
        <v>45</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2.2000000000000002</v>
      </c>
      <c r="V6" s="36">
        <v>0.02</v>
      </c>
      <c r="W6" s="36">
        <v>0.1</v>
      </c>
      <c r="X6" s="684"/>
      <c r="Y6" s="37">
        <f>N6</f>
        <v>0.8</v>
      </c>
      <c r="Z6" s="3830"/>
      <c r="AA6" s="35"/>
      <c r="AB6" s="35"/>
      <c r="AC6" s="684"/>
      <c r="AD6" s="38"/>
      <c r="AE6" s="685">
        <f ca="1">IF(AN6="",0,SUMIF(INDIRECT("'"&amp;AN6&amp;"'"&amp;"!E:E"),$AE$5,INDIRECT("'"&amp;AN6&amp;"'"&amp;"!F:F")))</f>
        <v>36.950000000000003</v>
      </c>
      <c r="AF6" s="3832"/>
      <c r="AG6" s="52">
        <f>IF(AF6="",0,AE6-AF6)</f>
        <v>0</v>
      </c>
      <c r="AH6" s="3825"/>
      <c r="AI6" s="3833">
        <v>365</v>
      </c>
      <c r="AJ6" s="3832"/>
      <c r="AK6" s="39">
        <v>5.0000000000000001E-3</v>
      </c>
      <c r="AL6" s="40">
        <v>1E-3</v>
      </c>
      <c r="AM6" s="41">
        <v>0.01</v>
      </c>
      <c r="AN6" s="1225" t="s">
        <v>4012</v>
      </c>
      <c r="AO6" s="3785">
        <f ca="1">SUMIF(INDIRECT("'"&amp;AN6&amp;"'"&amp;"!A:A"),"总价",INDIRECT("'"&amp;AN6&amp;"'"&amp;"!B:B"))</f>
        <v>146.32759999999999</v>
      </c>
      <c r="AP6" s="3785">
        <f>IF(C6="住宅",K6*L6,0)</f>
        <v>0</v>
      </c>
      <c r="AQ6" s="3785">
        <f>ROUND($L$14*$N$14*S6/10000,0)</f>
        <v>0</v>
      </c>
      <c r="AR6" s="3785">
        <f>ROUND($L$14*(1-$N$14)*S6/10000,0)</f>
        <v>0</v>
      </c>
      <c r="AS6" s="3785">
        <f>ROUND(1-1/(1+H6)^F6,3)</f>
        <v>0.83499999999999996</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5"/>
      <c r="E16" s="42"/>
      <c r="F16" s="3301"/>
      <c r="G16" s="3302">
        <f>ROUND(SUMPRODUCT(G6:G13,K6:K13)/SUMPRODUCT((G6:G13&gt;0)*(K6:K13)),4)</f>
        <v>0.91490000000000005</v>
      </c>
      <c r="H16" s="3303">
        <f>ROUND(SUMPRODUCT(H6:H13,K6:K13)/SUMPRODUCT((H6:H13&gt;0)*(K6:K13)),3)</f>
        <v>0.05</v>
      </c>
      <c r="I16" s="3304"/>
      <c r="J16" s="3304"/>
      <c r="K16" s="3809">
        <f>SUM(K6:K15)</f>
        <v>110.59</v>
      </c>
      <c r="L16" s="3810">
        <f>ROUND(M16*10000/SUM(K6:K14),0)</f>
        <v>4069</v>
      </c>
      <c r="M16" s="3810">
        <f>SUM(M6:M14)</f>
        <v>45</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0.83499999999999996</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6"/>
      <c r="C17" s="1938"/>
      <c r="D17" s="1940"/>
      <c r="E17" s="1940"/>
      <c r="F17" s="1938"/>
      <c r="G17" s="1938"/>
      <c r="H17" s="1938"/>
      <c r="I17" s="1938"/>
      <c r="J17" s="1938"/>
      <c r="K17" s="1939"/>
      <c r="L17" s="1939">
        <v>4500</v>
      </c>
      <c r="M17" s="4231" t="s">
        <v>4050</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4046</v>
      </c>
      <c r="U18" s="1938" t="s">
        <v>4044</v>
      </c>
      <c r="V18" s="4231" t="s">
        <v>4045</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4">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4">
      <c r="A20" s="1230" t="s">
        <v>1195</v>
      </c>
      <c r="B20" s="3812">
        <v>2</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4">
      <c r="A21" s="1231" t="s">
        <v>1196</v>
      </c>
      <c r="B21" s="3812">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4">
      <c r="A22" s="1230" t="s">
        <v>1197</v>
      </c>
      <c r="B22" s="3813">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4">
      <c r="A23" s="1231" t="s">
        <v>1198</v>
      </c>
      <c r="B23" s="3813">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4.4"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4">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4">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29.4"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4">
      <c r="A30" s="1237" t="s">
        <v>1205</v>
      </c>
      <c r="B30" s="4660">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4">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4">
      <c r="A33" s="3847" t="s">
        <v>3824</v>
      </c>
      <c r="B33" s="3911">
        <v>0.06</v>
      </c>
      <c r="C33" s="3955" t="s">
        <v>3852</v>
      </c>
      <c r="D33" s="3917"/>
      <c r="E33" s="3918"/>
      <c r="F33" s="3918"/>
      <c r="G33" s="3918"/>
      <c r="H33" s="1928"/>
      <c r="I33" s="1928">
        <f>B33*L16</f>
        <v>244.14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4">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4">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4">
      <c r="A36" s="3845" t="s">
        <v>3296</v>
      </c>
      <c r="B36" s="3305">
        <v>0.01</v>
      </c>
      <c r="C36" s="3956" t="s">
        <v>3855</v>
      </c>
      <c r="D36" s="3922"/>
      <c r="E36" s="3923"/>
      <c r="F36" s="3923"/>
      <c r="G36" s="3918"/>
      <c r="H36" s="1928"/>
      <c r="I36" s="1928"/>
      <c r="J36" s="1928"/>
      <c r="K36" s="1939">
        <f>B36*L16</f>
        <v>40.69</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4">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4">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4">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4.4" thickBot="1">
      <c r="A41" s="2048" t="s">
        <v>2208</v>
      </c>
      <c r="B41" s="3309">
        <f ca="1">IF(A41="利息：取LPR",存贷款利率!G1,存贷款利率!G1+C41)</f>
        <v>3.1300000000000001E-2</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4">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4">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4">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4">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4">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4">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4">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4">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4">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4">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4">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4">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4">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4">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4">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4">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4">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4">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4">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799" customFormat="1" ht="18" thickBot="1">
      <c r="A1" s="4325" t="s">
        <v>2193</v>
      </c>
      <c r="B1" s="4326"/>
      <c r="C1" s="4326"/>
      <c r="D1" s="4326"/>
      <c r="E1" s="4326"/>
      <c r="F1" s="4326"/>
      <c r="G1" s="4326"/>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7.200000000000003">
      <c r="A4" s="1788"/>
      <c r="B4" s="206" t="s">
        <v>2161</v>
      </c>
      <c r="C4" s="1809" t="s">
        <v>2162</v>
      </c>
      <c r="D4" s="1806"/>
      <c r="E4" s="1810"/>
      <c r="F4" s="925" t="s">
        <v>2163</v>
      </c>
      <c r="G4" s="1811" t="s">
        <v>2164</v>
      </c>
      <c r="H4" s="521"/>
      <c r="I4" s="521"/>
      <c r="J4" s="521"/>
      <c r="K4" s="521"/>
      <c r="L4" s="521"/>
      <c r="M4" s="521"/>
      <c r="N4" s="521"/>
      <c r="O4" s="521"/>
      <c r="P4" s="521"/>
      <c r="Q4" s="521"/>
    </row>
    <row r="5" spans="1:29" ht="37.200000000000003">
      <c r="A5" s="1788"/>
      <c r="B5" s="206" t="s">
        <v>2165</v>
      </c>
      <c r="C5" s="1809" t="s">
        <v>2166</v>
      </c>
      <c r="D5" s="1806"/>
      <c r="E5" s="1810"/>
      <c r="F5" s="206" t="s">
        <v>2167</v>
      </c>
      <c r="G5" s="1811" t="s">
        <v>2168</v>
      </c>
      <c r="H5" s="521"/>
      <c r="I5" s="521"/>
      <c r="J5" s="521"/>
      <c r="K5" s="521"/>
      <c r="L5" s="521"/>
      <c r="M5" s="521"/>
      <c r="N5" s="521"/>
      <c r="O5" s="521"/>
      <c r="P5" s="521"/>
      <c r="Q5" s="521"/>
    </row>
    <row r="6" spans="1:29" ht="48">
      <c r="A6" s="1788"/>
      <c r="B6" s="206" t="s">
        <v>2169</v>
      </c>
      <c r="C6" s="1811" t="s">
        <v>2164</v>
      </c>
      <c r="D6" s="1806"/>
      <c r="E6" s="1810"/>
      <c r="F6" s="206" t="s">
        <v>2170</v>
      </c>
      <c r="G6" s="1811" t="s">
        <v>2171</v>
      </c>
      <c r="H6" s="521"/>
      <c r="I6" s="521"/>
      <c r="J6" s="521"/>
      <c r="K6" s="521"/>
      <c r="L6" s="521"/>
      <c r="M6" s="521"/>
      <c r="N6" s="521"/>
      <c r="O6" s="521"/>
      <c r="P6" s="521"/>
      <c r="Q6" s="521"/>
    </row>
    <row r="7" spans="1:29" ht="36.6" thickBot="1">
      <c r="A7" s="1788"/>
      <c r="B7" s="206" t="s">
        <v>2167</v>
      </c>
      <c r="C7" s="1811" t="s">
        <v>2168</v>
      </c>
      <c r="D7" s="1785"/>
      <c r="E7" s="1812"/>
      <c r="F7" s="1813" t="s">
        <v>2172</v>
      </c>
      <c r="G7" s="1814" t="s">
        <v>2173</v>
      </c>
      <c r="H7" s="521"/>
      <c r="I7" s="521"/>
      <c r="J7" s="521"/>
      <c r="K7" s="521"/>
      <c r="L7" s="521"/>
      <c r="M7" s="521"/>
      <c r="N7" s="521"/>
      <c r="O7" s="521"/>
      <c r="P7" s="521"/>
      <c r="Q7" s="521"/>
    </row>
    <row r="8" spans="1:29" ht="24">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4.4"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2194</v>
      </c>
      <c r="B13" s="1820"/>
      <c r="C13" s="1820"/>
      <c r="D13" s="1819"/>
      <c r="E13" s="1820"/>
      <c r="F13" s="1820"/>
      <c r="G13" s="1820"/>
    </row>
    <row r="14" spans="1:29" ht="14.4" thickBot="1">
      <c r="A14" s="1825"/>
      <c r="B14" s="1825"/>
      <c r="C14" s="1826" t="s">
        <v>2177</v>
      </c>
      <c r="D14" s="1806"/>
      <c r="E14" s="1827"/>
      <c r="F14" s="1827"/>
      <c r="G14" s="1802" t="s">
        <v>2178</v>
      </c>
    </row>
    <row r="15" spans="1:29" ht="52.8">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9.6">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9.6">
      <c r="A17" s="1792"/>
      <c r="B17" s="1831" t="s">
        <v>2165</v>
      </c>
      <c r="C17" s="1832" t="str">
        <f>C5</f>
        <v>估价对象位于XX商圈，周边办公楼项目较多，入驻率高，办公集聚程度较好</v>
      </c>
      <c r="D17" s="1785"/>
      <c r="E17" s="1793"/>
      <c r="F17" s="1833" t="s">
        <v>2182</v>
      </c>
      <c r="G17" s="1835"/>
    </row>
    <row r="18" spans="1:17" ht="52.8">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6.4">
      <c r="A19" s="1792"/>
      <c r="B19" s="1833" t="s">
        <v>2183</v>
      </c>
      <c r="C19" s="1835"/>
      <c r="D19" s="1806"/>
      <c r="E19" s="1793"/>
      <c r="F19" s="206" t="s">
        <v>2167</v>
      </c>
      <c r="G19" s="1834" t="str">
        <f>G5</f>
        <v>估价对象所在区域公共配套设施齐备情况</v>
      </c>
    </row>
    <row r="20" spans="1:17" ht="26.4">
      <c r="A20" s="1792"/>
      <c r="B20" s="1833" t="s">
        <v>2184</v>
      </c>
      <c r="C20" s="1832" t="str">
        <f>C9</f>
        <v>区域自然环境：；人文环境；综合评价环境状况一般</v>
      </c>
      <c r="D20" s="1785"/>
      <c r="E20" s="1793"/>
      <c r="F20" s="206" t="s">
        <v>2170</v>
      </c>
      <c r="G20" s="1834" t="str">
        <f>G6</f>
        <v>估价对象所在区域基础设施水平</v>
      </c>
    </row>
    <row r="21" spans="1:17" ht="26.4">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4.4"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4.4"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110.59</v>
      </c>
      <c r="C1" s="1949"/>
      <c r="D1" s="1949"/>
      <c r="E1" s="1949"/>
      <c r="F1" s="1949"/>
      <c r="G1" s="1950"/>
      <c r="H1" s="1950"/>
      <c r="I1" s="1950"/>
      <c r="J1" s="1950"/>
      <c r="K1" s="1950"/>
    </row>
    <row r="2" spans="1:11" ht="16.2">
      <c r="A2" s="1840" t="s">
        <v>641</v>
      </c>
      <c r="B2" s="1840">
        <f>SUM(C14:C23)</f>
        <v>0</v>
      </c>
      <c r="C2" s="1949"/>
      <c r="D2" s="1949"/>
      <c r="E2" s="1949"/>
      <c r="F2" s="1949"/>
      <c r="G2" s="1950"/>
      <c r="H2" s="1950"/>
      <c r="I2" s="1950"/>
      <c r="J2" s="1950"/>
      <c r="K2" s="1950"/>
    </row>
    <row r="3" spans="1:11" ht="15.6">
      <c r="A3" s="1840" t="s">
        <v>650</v>
      </c>
      <c r="B3" s="1842">
        <f>项目基本情况!D3</f>
        <v>46051</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212.25540000000001</v>
      </c>
      <c r="C5" s="1840">
        <f ca="1">ROUND(B5*10000/$B$1,0)</f>
        <v>19193</v>
      </c>
      <c r="D5" s="1840" t="e">
        <f ca="1">ROUND(B5*10000/$B$2,0)</f>
        <v>#DIV/0!</v>
      </c>
      <c r="E5" s="1949"/>
      <c r="F5" s="1950"/>
      <c r="G5" s="1950"/>
      <c r="H5" s="1950"/>
      <c r="I5" s="1950"/>
      <c r="J5" s="1950"/>
      <c r="K5" s="1950"/>
    </row>
    <row r="6" spans="1:11" ht="15.6">
      <c r="A6" s="1840" t="s">
        <v>644</v>
      </c>
      <c r="B6" s="1840">
        <f ca="1">SUM(G14:G23)</f>
        <v>212.25540000000001</v>
      </c>
      <c r="C6" s="1840">
        <f ca="1">ROUND(B6*10000/$B$1,0)</f>
        <v>19193</v>
      </c>
      <c r="D6" s="1840" t="e">
        <f ca="1">ROUND(B6*10000/$B$2,0)</f>
        <v>#DIV/0!</v>
      </c>
      <c r="E6" s="1949"/>
      <c r="F6" s="1950"/>
      <c r="G6" s="1950"/>
      <c r="H6" s="1950"/>
      <c r="I6" s="1950"/>
      <c r="J6" s="1950"/>
      <c r="K6" s="1950"/>
    </row>
    <row r="7" spans="1:11" ht="15.6">
      <c r="A7" s="1840" t="s">
        <v>652</v>
      </c>
      <c r="B7" s="1840">
        <f>SUM(H14:H23)</f>
        <v>0</v>
      </c>
      <c r="C7" s="1840" t="str">
        <f>IF(B7=H14,结果表!H110,ROUND(B7*10000/$B$1,0))</f>
        <v>——</v>
      </c>
      <c r="D7" s="1840" t="e">
        <f>ROUND(B7*10000/$B$2,0)</f>
        <v>#DIV/0!</v>
      </c>
      <c r="E7" s="1949"/>
      <c r="F7" s="1950"/>
      <c r="G7" s="1950"/>
      <c r="H7" s="1950"/>
      <c r="I7" s="1950"/>
      <c r="J7" s="1950"/>
      <c r="K7" s="1950"/>
    </row>
    <row r="8" spans="1:11" ht="15.6">
      <c r="A8" s="1840" t="s">
        <v>581</v>
      </c>
      <c r="B8" s="1840">
        <f>SUM(I14:I23)</f>
        <v>0</v>
      </c>
      <c r="C8" s="1840" t="str">
        <f>IF(B8=I14,结果表!H112,ROUND(B8*10000/$B$1,0))</f>
        <v>——</v>
      </c>
      <c r="D8" s="1840" t="e">
        <f>ROUND(B8*10000/$B$2,0)</f>
        <v>#DIV/0!</v>
      </c>
      <c r="E8" s="1949"/>
      <c r="F8" s="1950"/>
      <c r="G8" s="1950"/>
      <c r="H8" s="1950"/>
      <c r="I8" s="1950"/>
      <c r="J8" s="1950"/>
      <c r="K8" s="1950"/>
    </row>
    <row r="9" spans="1:11" ht="15.6">
      <c r="A9" s="1840" t="s">
        <v>643</v>
      </c>
      <c r="B9" s="2586"/>
      <c r="C9" s="2587"/>
      <c r="D9" s="2587"/>
      <c r="E9" s="1949"/>
      <c r="F9" s="1950"/>
      <c r="G9" s="1950"/>
      <c r="H9" s="1950"/>
      <c r="I9" s="1950"/>
      <c r="J9" s="1950"/>
      <c r="K9" s="1950"/>
    </row>
    <row r="10" spans="1:11" ht="15.6">
      <c r="A10" s="1840" t="s">
        <v>642</v>
      </c>
      <c r="B10" s="1840">
        <f>IF(E10="",0,ROUND(B1*(E10*365/G10)/10000,0))</f>
        <v>0</v>
      </c>
      <c r="C10" s="1840" t="s">
        <v>3245</v>
      </c>
      <c r="D10" s="1840" t="s">
        <v>3246</v>
      </c>
      <c r="E10" s="3626"/>
      <c r="F10" s="2482" t="s">
        <v>3247</v>
      </c>
      <c r="G10" s="3627"/>
      <c r="H10" s="1950"/>
      <c r="I10" s="1950"/>
      <c r="J10" s="1950"/>
      <c r="K10" s="1950"/>
    </row>
    <row r="11" spans="1:11" ht="15.6">
      <c r="A11" s="1840" t="s">
        <v>658</v>
      </c>
      <c r="B11" s="3625"/>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623">
        <f>结果表!B118</f>
        <v>110.59</v>
      </c>
      <c r="C14" s="3623"/>
      <c r="D14" s="3623">
        <f ca="1">结果表!C104</f>
        <v>212.25540000000001</v>
      </c>
      <c r="E14" s="3623">
        <f ca="1">ROUND(D14*10000/B14,0)</f>
        <v>19193</v>
      </c>
      <c r="F14" s="3623" t="e">
        <f ca="1">ROUND(D14*10000/C14,0)</f>
        <v>#DIV/0!</v>
      </c>
      <c r="G14" s="3623">
        <f ca="1">D14</f>
        <v>212.25540000000001</v>
      </c>
      <c r="H14" s="3623"/>
      <c r="I14" s="3623"/>
      <c r="J14" s="1950"/>
      <c r="K14" s="1950"/>
    </row>
    <row r="15" spans="1:11" ht="15.6">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5.6">
      <c r="A16" s="1845" t="s">
        <v>636</v>
      </c>
      <c r="B16" s="3624"/>
      <c r="C16" s="3624"/>
      <c r="D16" s="3624"/>
      <c r="E16" s="3623" t="e">
        <f t="shared" si="0"/>
        <v>#DIV/0!</v>
      </c>
      <c r="F16" s="3623" t="e">
        <f t="shared" si="1"/>
        <v>#DIV/0!</v>
      </c>
      <c r="G16" s="3625"/>
      <c r="H16" s="3625"/>
      <c r="I16" s="3624"/>
      <c r="J16" s="1950"/>
      <c r="K16" s="1950"/>
    </row>
    <row r="17" spans="1:11" ht="15.6">
      <c r="A17" s="1845" t="s">
        <v>635</v>
      </c>
      <c r="B17" s="3624"/>
      <c r="C17" s="3624"/>
      <c r="D17" s="3624"/>
      <c r="E17" s="3623" t="e">
        <f t="shared" si="0"/>
        <v>#DIV/0!</v>
      </c>
      <c r="F17" s="3623" t="e">
        <f t="shared" si="1"/>
        <v>#DIV/0!</v>
      </c>
      <c r="G17" s="3625"/>
      <c r="H17" s="3625"/>
      <c r="I17" s="3624"/>
      <c r="J17" s="1950"/>
      <c r="K17" s="1950"/>
    </row>
    <row r="18" spans="1:11" ht="15.6">
      <c r="A18" s="1845" t="s">
        <v>634</v>
      </c>
      <c r="B18" s="3624"/>
      <c r="C18" s="3624"/>
      <c r="D18" s="3624"/>
      <c r="E18" s="3623" t="e">
        <f t="shared" si="0"/>
        <v>#DIV/0!</v>
      </c>
      <c r="F18" s="3623" t="e">
        <f t="shared" si="1"/>
        <v>#DIV/0!</v>
      </c>
      <c r="G18" s="3624"/>
      <c r="H18" s="3624"/>
      <c r="I18" s="3624"/>
      <c r="J18" s="1950"/>
      <c r="K18" s="1950"/>
    </row>
    <row r="19" spans="1:11" ht="15.6">
      <c r="A19" s="1845" t="s">
        <v>633</v>
      </c>
      <c r="B19" s="3624"/>
      <c r="C19" s="3624"/>
      <c r="D19" s="3624"/>
      <c r="E19" s="3623" t="e">
        <f t="shared" si="0"/>
        <v>#DIV/0!</v>
      </c>
      <c r="F19" s="3623" t="e">
        <f t="shared" si="1"/>
        <v>#DIV/0!</v>
      </c>
      <c r="G19" s="3624"/>
      <c r="H19" s="3624"/>
      <c r="I19" s="3624"/>
      <c r="J19" s="1950"/>
      <c r="K19" s="1950"/>
    </row>
    <row r="20" spans="1:11" ht="15.6">
      <c r="A20" s="1845" t="s">
        <v>632</v>
      </c>
      <c r="B20" s="3624"/>
      <c r="C20" s="3624"/>
      <c r="D20" s="3624"/>
      <c r="E20" s="3623" t="e">
        <f t="shared" si="0"/>
        <v>#DIV/0!</v>
      </c>
      <c r="F20" s="3623" t="e">
        <f t="shared" si="1"/>
        <v>#DIV/0!</v>
      </c>
      <c r="G20" s="3624"/>
      <c r="H20" s="3624"/>
      <c r="I20" s="3624"/>
      <c r="J20" s="1950"/>
      <c r="K20" s="1950"/>
    </row>
    <row r="21" spans="1:11" ht="15.6">
      <c r="A21" s="1845" t="s">
        <v>631</v>
      </c>
      <c r="B21" s="3624"/>
      <c r="C21" s="3624"/>
      <c r="D21" s="3624"/>
      <c r="E21" s="3623" t="e">
        <f t="shared" si="0"/>
        <v>#DIV/0!</v>
      </c>
      <c r="F21" s="3623" t="e">
        <f t="shared" si="1"/>
        <v>#DIV/0!</v>
      </c>
      <c r="G21" s="3624"/>
      <c r="H21" s="3624"/>
      <c r="I21" s="3624"/>
      <c r="J21" s="1950"/>
      <c r="K21" s="1950"/>
    </row>
    <row r="22" spans="1:11" ht="15.6">
      <c r="A22" s="1845" t="s">
        <v>630</v>
      </c>
      <c r="B22" s="3624"/>
      <c r="C22" s="3624"/>
      <c r="D22" s="3624"/>
      <c r="E22" s="3623" t="e">
        <f t="shared" si="0"/>
        <v>#DIV/0!</v>
      </c>
      <c r="F22" s="3623" t="e">
        <f t="shared" si="1"/>
        <v>#DIV/0!</v>
      </c>
      <c r="G22" s="3624"/>
      <c r="H22" s="3624"/>
      <c r="I22" s="3624"/>
      <c r="J22" s="1950"/>
      <c r="K22" s="1950"/>
    </row>
    <row r="23" spans="1:11" ht="15.6">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H27" sqref="H27"/>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409" t="str">
        <f>项目基本情况!S2</f>
        <v>北京市房地产</v>
      </c>
      <c r="B2" s="4410"/>
      <c r="C2" s="4410"/>
      <c r="D2" s="4410"/>
      <c r="E2" s="4410"/>
      <c r="F2" s="4410"/>
      <c r="G2" s="4410"/>
      <c r="H2" s="4410"/>
      <c r="I2" s="4411"/>
    </row>
    <row r="3" spans="1:12" ht="13.2">
      <c r="A3" s="4413" t="s">
        <v>1242</v>
      </c>
      <c r="B3" s="4414"/>
      <c r="C3" s="4414"/>
      <c r="D3" s="4414"/>
      <c r="E3" s="4414"/>
      <c r="F3" s="4414"/>
      <c r="G3" s="4414"/>
      <c r="H3" s="4414"/>
      <c r="I3" s="4414"/>
    </row>
    <row r="4" spans="1:12" ht="14.4">
      <c r="A4" s="1256" t="s">
        <v>1243</v>
      </c>
      <c r="B4" s="1257" t="s">
        <v>1244</v>
      </c>
      <c r="C4" s="3544" t="s">
        <v>4040</v>
      </c>
      <c r="D4" s="3544" t="s">
        <v>4012</v>
      </c>
      <c r="E4" s="4415" t="s">
        <v>1245</v>
      </c>
      <c r="F4" s="4416"/>
      <c r="G4" s="4416"/>
      <c r="H4" s="4416"/>
      <c r="I4" s="441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0" t="s">
        <v>1246</v>
      </c>
      <c r="B5" s="4412">
        <v>25</v>
      </c>
      <c r="C5" s="4393"/>
      <c r="D5" s="4388"/>
      <c r="E5" s="49" t="s">
        <v>1247</v>
      </c>
      <c r="F5" s="1258"/>
      <c r="G5" s="1258"/>
      <c r="H5" s="1258"/>
      <c r="I5" s="925"/>
    </row>
    <row r="6" spans="1:12" ht="13.2">
      <c r="A6" s="4350"/>
      <c r="B6" s="4412"/>
      <c r="C6" s="4394"/>
      <c r="D6" s="4388"/>
      <c r="E6" s="49" t="s">
        <v>1248</v>
      </c>
      <c r="F6" s="1258"/>
      <c r="G6" s="1258"/>
      <c r="H6" s="1258"/>
      <c r="I6" s="925"/>
    </row>
    <row r="7" spans="1:12" ht="13.2">
      <c r="A7" s="4350"/>
      <c r="B7" s="4412"/>
      <c r="C7" s="4395"/>
      <c r="D7" s="4388"/>
      <c r="E7" s="49" t="s">
        <v>1249</v>
      </c>
      <c r="F7" s="1258"/>
      <c r="G7" s="1258"/>
      <c r="H7" s="1258"/>
      <c r="I7" s="925"/>
    </row>
    <row r="8" spans="1:12" ht="13.2">
      <c r="A8" s="4350" t="s">
        <v>1250</v>
      </c>
      <c r="B8" s="4412">
        <v>15</v>
      </c>
      <c r="C8" s="4393"/>
      <c r="D8" s="4388"/>
      <c r="E8" s="49" t="s">
        <v>1251</v>
      </c>
      <c r="F8" s="1258"/>
      <c r="G8" s="1258"/>
      <c r="H8" s="1258"/>
      <c r="I8" s="925"/>
    </row>
    <row r="9" spans="1:12" ht="13.2">
      <c r="A9" s="4350"/>
      <c r="B9" s="4412"/>
      <c r="C9" s="4395"/>
      <c r="D9" s="4388"/>
      <c r="E9" s="49" t="s">
        <v>1252</v>
      </c>
      <c r="F9" s="1258"/>
      <c r="G9" s="1258"/>
      <c r="H9" s="1258"/>
      <c r="I9" s="925"/>
    </row>
    <row r="10" spans="1:12" ht="13.2">
      <c r="A10" s="4350" t="s">
        <v>1253</v>
      </c>
      <c r="B10" s="4412">
        <v>15</v>
      </c>
      <c r="C10" s="4393"/>
      <c r="D10" s="4388"/>
      <c r="E10" s="49" t="s">
        <v>1254</v>
      </c>
      <c r="F10" s="1258"/>
      <c r="G10" s="1258"/>
      <c r="H10" s="1258"/>
      <c r="I10" s="925"/>
    </row>
    <row r="11" spans="1:12" ht="13.2">
      <c r="A11" s="4350"/>
      <c r="B11" s="4412"/>
      <c r="C11" s="4395"/>
      <c r="D11" s="4388"/>
      <c r="E11" s="49" t="s">
        <v>1255</v>
      </c>
      <c r="F11" s="1258"/>
      <c r="G11" s="1258"/>
      <c r="H11" s="1258"/>
      <c r="I11" s="925"/>
    </row>
    <row r="12" spans="1:12" ht="13.2">
      <c r="A12" s="4350" t="s">
        <v>1256</v>
      </c>
      <c r="B12" s="4412">
        <v>15</v>
      </c>
      <c r="C12" s="4393"/>
      <c r="D12" s="4388"/>
      <c r="E12" s="49" t="s">
        <v>1257</v>
      </c>
      <c r="F12" s="1258"/>
      <c r="G12" s="1258"/>
      <c r="H12" s="1258"/>
      <c r="I12" s="925"/>
    </row>
    <row r="13" spans="1:12" ht="13.2">
      <c r="A13" s="4350"/>
      <c r="B13" s="4412"/>
      <c r="C13" s="4395"/>
      <c r="D13" s="4388"/>
      <c r="E13" s="49" t="s">
        <v>1258</v>
      </c>
      <c r="F13" s="1258"/>
      <c r="G13" s="1258"/>
      <c r="H13" s="1258"/>
      <c r="I13" s="925"/>
    </row>
    <row r="14" spans="1:12" ht="13.2">
      <c r="A14" s="4350" t="s">
        <v>1259</v>
      </c>
      <c r="B14" s="4412">
        <v>30</v>
      </c>
      <c r="C14" s="4393">
        <v>7</v>
      </c>
      <c r="D14" s="4388">
        <v>3</v>
      </c>
      <c r="E14" s="49" t="s">
        <v>1260</v>
      </c>
      <c r="F14" s="1258"/>
      <c r="G14" s="1258"/>
      <c r="H14" s="1258"/>
      <c r="I14" s="925"/>
    </row>
    <row r="15" spans="1:12" ht="13.2">
      <c r="A15" s="4350"/>
      <c r="B15" s="4412"/>
      <c r="C15" s="4394"/>
      <c r="D15" s="4388"/>
      <c r="E15" s="49" t="s">
        <v>1261</v>
      </c>
      <c r="F15" s="1258"/>
      <c r="G15" s="1258"/>
      <c r="H15" s="1258"/>
      <c r="I15" s="925"/>
    </row>
    <row r="16" spans="1:12" ht="13.2">
      <c r="A16" s="4350"/>
      <c r="B16" s="4412"/>
      <c r="C16" s="4395"/>
      <c r="D16" s="4388"/>
      <c r="E16" s="49" t="s">
        <v>1262</v>
      </c>
      <c r="F16" s="1258"/>
      <c r="G16" s="1258"/>
      <c r="H16" s="1258"/>
      <c r="I16" s="925"/>
    </row>
    <row r="17" spans="1:36" ht="14.4">
      <c r="A17" s="1259" t="s">
        <v>1263</v>
      </c>
      <c r="B17" s="3543"/>
      <c r="C17" s="3628">
        <f>SUM(C5:C16)</f>
        <v>7</v>
      </c>
      <c r="D17" s="3628">
        <f>SUM(D5:D16)</f>
        <v>3</v>
      </c>
      <c r="E17" s="47"/>
      <c r="F17" s="47"/>
      <c r="G17" s="47"/>
      <c r="H17" s="47"/>
      <c r="I17" s="47"/>
      <c r="K17" s="186"/>
      <c r="L17" s="186" t="s">
        <v>1264</v>
      </c>
      <c r="M17" s="186" t="s">
        <v>1265</v>
      </c>
    </row>
    <row r="18" spans="1:36" ht="31.95" customHeight="1" thickBot="1">
      <c r="A18" s="1260" t="s">
        <v>1266</v>
      </c>
      <c r="B18" s="1183"/>
      <c r="C18" s="3629">
        <f>ROUND(C17/SUM(C17:D17),2)</f>
        <v>0.7</v>
      </c>
      <c r="D18" s="3629">
        <f>1-C18</f>
        <v>0.30000000000000004</v>
      </c>
      <c r="E18" s="4400" t="s">
        <v>2038</v>
      </c>
      <c r="F18" s="4401"/>
      <c r="G18" s="4401"/>
      <c r="H18" s="4401"/>
      <c r="I18" s="4401"/>
      <c r="K18" s="186" t="s">
        <v>1267</v>
      </c>
      <c r="L18" s="2665">
        <f>IF(C1="",'数据-汇总表'!E3,SUMIF(项目类型,C1,'数据-汇总表'!E17:E26)+SUMIF(项目类型,C1,'数据-汇总表'!I17:I26))</f>
        <v>110.59</v>
      </c>
      <c r="M18" s="2665">
        <f>IF(C1="",'数据-汇总表'!E3,SUMIF(项目类型,C1,'数据-汇总表'!E17:E26))</f>
        <v>110.59</v>
      </c>
    </row>
    <row r="19" spans="1:36" ht="14.4">
      <c r="A19" s="1261" t="s">
        <v>1268</v>
      </c>
      <c r="B19" s="1262" t="s">
        <v>1269</v>
      </c>
      <c r="C19" s="3630">
        <f ca="1">SUMIF(INDIRECT("'"&amp;C4&amp;"'"&amp;"!A:A"),结果表!B19,INDIRECT("'"&amp;C4&amp;"'"&amp;"!B:B"))</f>
        <v>240.5111</v>
      </c>
      <c r="D19" s="3631">
        <f ca="1">SUMIF(INDIRECT("'"&amp;D4&amp;"'"&amp;"!A:A"),结果表!B19,INDIRECT("'"&amp;D4&amp;"'"&amp;"!B:B"))</f>
        <v>146.32759999999999</v>
      </c>
      <c r="E19" s="1261" t="s">
        <v>1270</v>
      </c>
      <c r="F19" s="1262" t="s">
        <v>1269</v>
      </c>
      <c r="G19" s="3636">
        <f ca="1">ROUND(C19*$C$18+D19*$D$18,0)</f>
        <v>212</v>
      </c>
      <c r="H19" s="1263" t="s">
        <v>1271</v>
      </c>
      <c r="I19" s="47">
        <f ca="1">ROUND(C19*$C$18+D19*$D$18,4)</f>
        <v>212.2561</v>
      </c>
      <c r="K19" s="186" t="s">
        <v>1272</v>
      </c>
      <c r="L19" s="2665">
        <f>IF(C1="",'数据-汇总表'!D3,SUMIF(项目类型,C1,'数据-汇总表'!D17:D26)+SUMIF(项目类型,C1,'数据-汇总表'!H17:H27))</f>
        <v>0</v>
      </c>
      <c r="M19" s="2665">
        <f>IF(C1="",'数据-汇总表'!D3,SUMIF(项目类型,C1,'数据-汇总表'!D17:D26))</f>
        <v>0</v>
      </c>
    </row>
    <row r="20" spans="1:36" ht="14.4">
      <c r="A20" s="1264"/>
      <c r="B20" s="25" t="s">
        <v>1273</v>
      </c>
      <c r="C20" s="3632">
        <f ca="1">SUMIF(INDIRECT("'"&amp;C4&amp;"'"&amp;"!A:A"),结果表!B20,INDIRECT("'"&amp;C4&amp;"'"&amp;"!B:B"))</f>
        <v>21748</v>
      </c>
      <c r="D20" s="3633">
        <f ca="1">SUMIF(INDIRECT("'"&amp;D4&amp;"'"&amp;"!A:A"),结果表!B20,INDIRECT("'"&amp;D4&amp;"'"&amp;"!B:B"))</f>
        <v>13232</v>
      </c>
      <c r="E20" s="1264"/>
      <c r="F20" s="25" t="s">
        <v>1273</v>
      </c>
      <c r="G20" s="3637">
        <f ca="1">ROUND(C20*$C$18+D20*$D$18,0)</f>
        <v>19193</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0.64364822494184293</v>
      </c>
      <c r="E22" s="3376"/>
      <c r="F22" s="3378"/>
      <c r="G22" s="3638" t="e">
        <f ca="1">ROUND(G19/('数据-汇总表'!D3/666.67),0)</f>
        <v>#DIV/0!</v>
      </c>
      <c r="H22" s="3377" t="s">
        <v>3634</v>
      </c>
      <c r="I22" s="47"/>
    </row>
    <row r="23" spans="1:36" ht="13.8" thickBot="1">
      <c r="A23" s="464"/>
      <c r="B23" s="464"/>
      <c r="C23" s="464"/>
      <c r="D23" s="464"/>
      <c r="E23" s="47"/>
      <c r="F23" s="47"/>
      <c r="G23" s="47"/>
      <c r="H23" s="47"/>
      <c r="I23" s="47"/>
    </row>
    <row r="24" spans="1:36" ht="14.4">
      <c r="A24" s="4433" t="s">
        <v>1277</v>
      </c>
      <c r="B24" s="1262" t="s">
        <v>1269</v>
      </c>
      <c r="C24" s="3636">
        <f>IF(B30=0,0,D30)</f>
        <v>0</v>
      </c>
      <c r="D24" s="3639"/>
      <c r="E24" s="47"/>
      <c r="F24" s="47"/>
      <c r="G24" s="47"/>
      <c r="H24" s="47"/>
      <c r="I24" s="47"/>
    </row>
    <row r="25" spans="1:36" ht="14.4">
      <c r="A25" s="4434"/>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2">
        <v>0</v>
      </c>
      <c r="C27" s="3642">
        <v>0</v>
      </c>
      <c r="D27" s="3643">
        <f>ROUND(C27*B27/10000,0)</f>
        <v>0</v>
      </c>
      <c r="E27" s="47"/>
      <c r="F27" s="47"/>
      <c r="G27" s="47"/>
      <c r="H27" s="47"/>
      <c r="I27" s="47"/>
    </row>
    <row r="28" spans="1:36" ht="13.8">
      <c r="A28" s="1266"/>
      <c r="B28" s="3642"/>
      <c r="C28" s="3642"/>
      <c r="D28" s="3643"/>
      <c r="E28" s="47"/>
      <c r="F28" s="47"/>
      <c r="G28" s="47"/>
      <c r="H28" s="47"/>
      <c r="I28" s="47"/>
    </row>
    <row r="29" spans="1:36" ht="13.8">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7" t="s">
        <v>1283</v>
      </c>
      <c r="B32" s="1176"/>
      <c r="C32" s="3644">
        <f ca="1">IF(D32="总价",G19-C24,G20-C25)</f>
        <v>19193</v>
      </c>
      <c r="D32" s="1268" t="s">
        <v>4047</v>
      </c>
      <c r="E32" s="47"/>
      <c r="F32" s="47"/>
      <c r="G32" s="47"/>
      <c r="H32" s="47"/>
      <c r="I32" s="47"/>
    </row>
    <row r="33" spans="1:19" ht="14.4">
      <c r="A33" s="516" t="s">
        <v>1284</v>
      </c>
      <c r="B33" s="49"/>
      <c r="C33" s="1269" t="s">
        <v>4048</v>
      </c>
      <c r="D33" s="1270"/>
      <c r="E33" s="1271" t="s">
        <v>1285</v>
      </c>
      <c r="F33" s="1272" t="str">
        <f>IF(D32="楼面单价","取值（单价）","取值（总价）")</f>
        <v>取值（单价）</v>
      </c>
      <c r="G33" s="47"/>
      <c r="H33" s="47"/>
      <c r="I33" s="47"/>
    </row>
    <row r="34" spans="1:19" ht="14.4">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 thickBot="1">
      <c r="A36" s="4405" t="s">
        <v>1290</v>
      </c>
      <c r="B36" s="1279" t="s">
        <v>1291</v>
      </c>
      <c r="C36" s="3649"/>
      <c r="D36" s="1280"/>
      <c r="E36" s="1204"/>
      <c r="F36" s="1281"/>
      <c r="G36" s="47"/>
      <c r="H36" s="47"/>
      <c r="I36" s="47"/>
    </row>
    <row r="37" spans="1:19" ht="15" thickBot="1">
      <c r="A37" s="4406"/>
      <c r="B37" s="1192" t="s">
        <v>1292</v>
      </c>
      <c r="C37" s="3650"/>
      <c r="D37" s="763"/>
      <c r="E37" s="763"/>
      <c r="F37" s="1281"/>
      <c r="G37" s="47"/>
      <c r="H37" s="47"/>
      <c r="I37" s="47"/>
    </row>
    <row r="38" spans="1:19" ht="15" thickBot="1">
      <c r="A38" s="4407"/>
      <c r="B38" s="1282" t="s">
        <v>1293</v>
      </c>
      <c r="C38" s="3651"/>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2"/>
      <c r="C40" s="3653"/>
      <c r="D40" s="3653"/>
      <c r="E40" s="3647"/>
      <c r="F40" s="1281"/>
      <c r="G40" s="47"/>
      <c r="H40" s="47"/>
      <c r="I40" s="47"/>
    </row>
    <row r="41" spans="1:19" ht="13.8">
      <c r="A41" s="1287" t="s">
        <v>1301</v>
      </c>
      <c r="B41" s="3652"/>
      <c r="C41" s="3653"/>
      <c r="D41" s="3653"/>
      <c r="E41" s="3647"/>
      <c r="F41" s="1281"/>
      <c r="G41" s="47"/>
      <c r="H41" s="47"/>
      <c r="I41" s="47"/>
    </row>
    <row r="42" spans="1:19" ht="14.4" thickBot="1">
      <c r="A42" s="1288"/>
      <c r="B42" s="3654"/>
      <c r="C42" s="3655"/>
      <c r="D42" s="3655"/>
      <c r="E42" s="3648"/>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430" t="s">
        <v>1304</v>
      </c>
      <c r="B45" s="4431"/>
      <c r="C45" s="4432"/>
      <c r="D45" s="56">
        <f ca="1">ROUND(H101*F45,0)</f>
        <v>212</v>
      </c>
      <c r="E45" s="57" t="s">
        <v>1305</v>
      </c>
      <c r="F45" s="58">
        <v>1</v>
      </c>
      <c r="G45" s="59" t="s">
        <v>1306</v>
      </c>
      <c r="H45" s="47"/>
      <c r="I45" s="47"/>
      <c r="J45" s="4435" t="s">
        <v>1307</v>
      </c>
      <c r="K45" s="4435"/>
      <c r="L45" s="4435"/>
      <c r="M45" s="4435"/>
      <c r="N45" s="4435"/>
      <c r="O45" s="4435"/>
    </row>
    <row r="46" spans="1:19" ht="14.25" customHeight="1">
      <c r="A46" s="4427" t="s">
        <v>1308</v>
      </c>
      <c r="B46" s="4428"/>
      <c r="C46" s="4428"/>
      <c r="D46" s="4428"/>
      <c r="E46" s="4428"/>
      <c r="F46" s="4428"/>
      <c r="G46" s="4429"/>
      <c r="H46" s="1295"/>
      <c r="I46" s="60"/>
      <c r="J46" s="1848">
        <v>1</v>
      </c>
      <c r="K46" s="4436" t="s">
        <v>1309</v>
      </c>
      <c r="L46" s="4436"/>
      <c r="M46" s="4437"/>
      <c r="N46" s="4437"/>
      <c r="O46" s="4437"/>
    </row>
    <row r="47" spans="1:19" ht="12" customHeight="1">
      <c r="A47" s="61" t="s">
        <v>1310</v>
      </c>
      <c r="B47" s="62"/>
      <c r="C47" s="63"/>
      <c r="D47" s="724" t="s">
        <v>1311</v>
      </c>
      <c r="E47" s="186" t="s">
        <v>1312</v>
      </c>
      <c r="F47" s="64" t="s">
        <v>1313</v>
      </c>
      <c r="G47" s="1863" t="s">
        <v>1314</v>
      </c>
      <c r="H47" s="1864"/>
      <c r="I47" s="60"/>
      <c r="J47" s="1848">
        <v>2</v>
      </c>
      <c r="K47" s="4436" t="s">
        <v>1315</v>
      </c>
      <c r="L47" s="4436"/>
      <c r="M47" s="4438">
        <f>'数据-取费表'!B2</f>
        <v>46051</v>
      </c>
      <c r="N47" s="4438"/>
      <c r="O47" s="4438"/>
    </row>
    <row r="48" spans="1:19" ht="26.4">
      <c r="A48" s="4408" t="s">
        <v>1316</v>
      </c>
      <c r="B48" s="4392"/>
      <c r="C48" s="4392"/>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436" t="s">
        <v>1318</v>
      </c>
      <c r="L48" s="4436"/>
      <c r="M48" s="4439">
        <f ca="1">H101</f>
        <v>212.25540000000001</v>
      </c>
      <c r="N48" s="4439"/>
      <c r="O48" s="4439"/>
      <c r="R48" s="3402" t="s">
        <v>3651</v>
      </c>
      <c r="S48" s="3403"/>
    </row>
    <row r="49" spans="1:35" ht="25.5" customHeight="1">
      <c r="A49" s="3537" t="s">
        <v>1319</v>
      </c>
      <c r="B49" s="4376" t="s">
        <v>1320</v>
      </c>
      <c r="C49" s="4376"/>
      <c r="D49" s="3657">
        <v>0</v>
      </c>
      <c r="E49" s="207" t="s">
        <v>1321</v>
      </c>
      <c r="F49" s="3531" t="s">
        <v>26</v>
      </c>
      <c r="G49" s="4368"/>
      <c r="H49" s="3397" t="s">
        <v>2041</v>
      </c>
      <c r="I49" s="3398"/>
      <c r="J49" s="1848">
        <v>4</v>
      </c>
      <c r="K49" s="4436" t="str">
        <f>IF(项目基本情况!E8="房地产抵押价值","房地产抵押价值","抵押担保权已注销时的房地产抵押价值")</f>
        <v>房地产抵押价值</v>
      </c>
      <c r="L49" s="4436"/>
      <c r="M49" s="4439">
        <f ca="1">IF(项目基本情况!E8="房地产抵押价值",H107,H109)</f>
        <v>212.25540000000001</v>
      </c>
      <c r="N49" s="4439"/>
      <c r="O49" s="4439"/>
      <c r="R49" s="3404" t="s">
        <v>3652</v>
      </c>
      <c r="S49" s="3402" t="s">
        <v>3653</v>
      </c>
    </row>
    <row r="50" spans="1:35" ht="25.5" customHeight="1">
      <c r="A50" s="3538"/>
      <c r="B50" s="4376" t="s">
        <v>1322</v>
      </c>
      <c r="C50" s="4376"/>
      <c r="D50" s="3658"/>
      <c r="E50" s="214"/>
      <c r="F50" s="3531"/>
      <c r="G50" s="4369"/>
      <c r="H50" s="1303" t="s">
        <v>2042</v>
      </c>
      <c r="I50" s="3398"/>
      <c r="J50" s="4435" t="s">
        <v>1323</v>
      </c>
      <c r="K50" s="4435"/>
      <c r="L50" s="4435"/>
      <c r="M50" s="4435"/>
      <c r="N50" s="4435"/>
      <c r="O50" s="4435"/>
      <c r="R50" s="3404" t="s">
        <v>3654</v>
      </c>
      <c r="S50" s="3402" t="s">
        <v>3655</v>
      </c>
    </row>
    <row r="51" spans="1:35" ht="20.399999999999999" customHeight="1">
      <c r="A51" s="3539"/>
      <c r="B51" s="4376" t="s">
        <v>1324</v>
      </c>
      <c r="C51" s="4376"/>
      <c r="D51" s="709"/>
      <c r="E51" s="210"/>
      <c r="F51" s="3531"/>
      <c r="G51" s="4370"/>
      <c r="H51" s="1303" t="s">
        <v>2043</v>
      </c>
      <c r="I51" s="3398"/>
      <c r="J51" s="1849" t="s">
        <v>1325</v>
      </c>
      <c r="K51" s="4436" t="s">
        <v>1326</v>
      </c>
      <c r="L51" s="4436"/>
      <c r="M51" s="1849" t="s">
        <v>1327</v>
      </c>
      <c r="N51" s="1849" t="s">
        <v>1328</v>
      </c>
      <c r="O51" s="1849" t="s">
        <v>1329</v>
      </c>
      <c r="R51" s="3404" t="s">
        <v>3656</v>
      </c>
      <c r="S51" s="3403" t="s">
        <v>3657</v>
      </c>
    </row>
    <row r="52" spans="1:35" ht="24" customHeight="1">
      <c r="A52" s="1700" t="s">
        <v>1330</v>
      </c>
      <c r="B52" s="4376" t="s">
        <v>1331</v>
      </c>
      <c r="C52" s="4376"/>
      <c r="D52" s="709">
        <f ca="1">ROUND(D45*F52/(1+F52),0)</f>
        <v>6</v>
      </c>
      <c r="E52" s="900" t="s">
        <v>1332</v>
      </c>
      <c r="F52" s="1867">
        <v>0.03</v>
      </c>
      <c r="G52" s="895" t="s">
        <v>3699</v>
      </c>
      <c r="H52" s="1861"/>
      <c r="I52" s="1296"/>
      <c r="J52" s="1848">
        <v>1</v>
      </c>
      <c r="K52" s="4365" t="s">
        <v>1333</v>
      </c>
      <c r="L52" s="4365"/>
      <c r="M52" s="3660">
        <f>IF(D48&lt;=0,0,D48)</f>
        <v>0</v>
      </c>
      <c r="N52" s="1848" t="str">
        <f>E48</f>
        <v>销售额×税（费）率</v>
      </c>
      <c r="O52" s="3567">
        <f>F48</f>
        <v>0</v>
      </c>
      <c r="R52" s="3402" t="s">
        <v>3658</v>
      </c>
      <c r="S52" s="3402" t="s">
        <v>3662</v>
      </c>
    </row>
    <row r="53" spans="1:35" ht="12" customHeight="1">
      <c r="A53" s="1700" t="s">
        <v>1334</v>
      </c>
      <c r="B53" s="4377" t="s">
        <v>2198</v>
      </c>
      <c r="C53" s="4378"/>
      <c r="D53" s="709">
        <f ca="1">IF(G53="2016年5月1日之前项目",ROUND(D45*F53/(1+F53),0),H63)</f>
        <v>18</v>
      </c>
      <c r="E53" s="900" t="str">
        <f>IF(G53="2016年5月1日之前项目","全额计税","进销项计算")</f>
        <v>进销项计算</v>
      </c>
      <c r="F53" s="1867">
        <f>IF(G53="2016年5月1日之前项目",5%,9%)</f>
        <v>0.09</v>
      </c>
      <c r="G53" s="3621"/>
      <c r="H53" s="1861"/>
      <c r="I53" s="1296"/>
      <c r="J53" s="1848">
        <v>2</v>
      </c>
      <c r="K53" s="4365" t="s">
        <v>1335</v>
      </c>
      <c r="L53" s="4365"/>
      <c r="M53" s="3660">
        <f t="shared" ref="M53:O54" ca="1" si="0">D55</f>
        <v>0</v>
      </c>
      <c r="N53" s="1848" t="str">
        <f t="shared" si="0"/>
        <v>销售额×税（费）率</v>
      </c>
      <c r="O53" s="3567" t="str">
        <f t="shared" si="0"/>
        <v>免征</v>
      </c>
      <c r="R53" s="3402" t="s">
        <v>3659</v>
      </c>
      <c r="S53" s="3403" t="s">
        <v>3666</v>
      </c>
    </row>
    <row r="54" spans="1:35" ht="12" customHeight="1">
      <c r="A54" s="1700" t="s">
        <v>1336</v>
      </c>
      <c r="B54" s="4377" t="s">
        <v>2199</v>
      </c>
      <c r="C54" s="4378"/>
      <c r="D54" s="709">
        <f ca="1">IF(G54="2016年5月1日之前项目",C68,H63)</f>
        <v>18</v>
      </c>
      <c r="E54" s="3551" t="str">
        <f>IF(G54="2016年5月1日之前项目","差额计税","进销项计算")</f>
        <v>进销项计算</v>
      </c>
      <c r="F54" s="1867">
        <f>IF(G54="2016年5月1日之前项目",5%,9%)</f>
        <v>0.09</v>
      </c>
      <c r="G54" s="3621"/>
      <c r="H54" s="1869"/>
      <c r="I54" s="1296"/>
      <c r="J54" s="1848">
        <v>3</v>
      </c>
      <c r="K54" s="4365" t="s">
        <v>1337</v>
      </c>
      <c r="L54" s="4365"/>
      <c r="M54" s="3660" t="e">
        <f t="shared" ca="1" si="0"/>
        <v>#VALUE!</v>
      </c>
      <c r="N54" s="1848" t="str">
        <f t="shared" si="0"/>
        <v>增值额×税（费）率</v>
      </c>
      <c r="O54" s="3568" t="str">
        <f t="shared" si="0"/>
        <v>免征</v>
      </c>
      <c r="P54" s="47"/>
      <c r="R54" s="3404" t="s">
        <v>3660</v>
      </c>
      <c r="S54" s="3403" t="s">
        <v>3663</v>
      </c>
    </row>
    <row r="55" spans="1:35" ht="24" customHeight="1">
      <c r="A55" s="4391" t="s">
        <v>1338</v>
      </c>
      <c r="B55" s="4392"/>
      <c r="C55" s="4392"/>
      <c r="D55" s="3656">
        <f ca="1">IF(H55="个人住宅",0,ROUND(D45*I55,0))</f>
        <v>0</v>
      </c>
      <c r="E55" s="900" t="s">
        <v>1339</v>
      </c>
      <c r="F55" s="1867" t="str">
        <f>IF(H55="正常",I55,"免征")</f>
        <v>免征</v>
      </c>
      <c r="G55" s="1868"/>
      <c r="H55" s="1866"/>
      <c r="I55" s="65">
        <f>'数据-取费表'!B50</f>
        <v>5.0000000000000001E-4</v>
      </c>
      <c r="J55" s="1848">
        <f>IF(H59="非个人房产","",4)</f>
        <v>4</v>
      </c>
      <c r="K55" s="4365" t="str">
        <f>IF(H59="非个人房产","——","个人所得税")</f>
        <v>个人所得税</v>
      </c>
      <c r="L55" s="4365"/>
      <c r="M55" s="3661">
        <f ca="1">D59</f>
        <v>2</v>
      </c>
      <c r="N55" s="1478" t="str">
        <f>E59</f>
        <v>差额计税</v>
      </c>
      <c r="O55" s="3569">
        <f>F59</f>
        <v>0.01</v>
      </c>
      <c r="R55" s="3404" t="s">
        <v>3661</v>
      </c>
      <c r="S55" s="3403" t="s">
        <v>3664</v>
      </c>
    </row>
    <row r="56" spans="1:35" ht="25.2">
      <c r="A56" s="4391" t="s">
        <v>1340</v>
      </c>
      <c r="B56" s="4392"/>
      <c r="C56" s="4392"/>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29" t="str">
        <f>IF(项目基本情况!K6="上海银行","其他处置费用","")</f>
        <v/>
      </c>
      <c r="L56" s="4330"/>
      <c r="M56" s="3660" t="str">
        <f>IF(项目基本情况!K6="上海银行",M69,"")</f>
        <v/>
      </c>
      <c r="N56" s="4329" t="str">
        <f>IF(项目基本情况!K6="上海银行","包含处置中涉及的律师、诉讼、拍卖、评估等费用","")</f>
        <v/>
      </c>
      <c r="O56" s="4333"/>
      <c r="R56" s="3403"/>
      <c r="S56" s="3403" t="s">
        <v>3665</v>
      </c>
    </row>
    <row r="57" spans="1:35" ht="13.2">
      <c r="A57" s="1700" t="s">
        <v>1319</v>
      </c>
      <c r="B57" s="4377" t="s">
        <v>1343</v>
      </c>
      <c r="C57" s="4378"/>
      <c r="D57" s="3657">
        <v>0</v>
      </c>
      <c r="E57" s="207" t="s">
        <v>1321</v>
      </c>
      <c r="F57" s="186"/>
      <c r="G57" s="1868"/>
      <c r="H57" s="1872"/>
      <c r="I57" s="1297"/>
      <c r="J57" s="4365">
        <f>IF(AND(J55="",J56=""),4,IF(项目基本情况!K6="上海银行",结果表!J56+1,结果表!J55+1))</f>
        <v>5</v>
      </c>
      <c r="K57" s="4365" t="s">
        <v>1344</v>
      </c>
      <c r="L57" s="1850" t="s">
        <v>1345</v>
      </c>
      <c r="M57" s="1851"/>
      <c r="N57" s="3662">
        <f ca="1">SUMIF(M52:M56,"&lt;9e307")</f>
        <v>2</v>
      </c>
      <c r="O57" s="1852"/>
      <c r="P57" s="1952">
        <f ca="1">N57/M49</f>
        <v>9.4226106850520651E-3</v>
      </c>
      <c r="R57" s="4418" t="s">
        <v>3711</v>
      </c>
      <c r="S57" s="4419"/>
    </row>
    <row r="58" spans="1:35" ht="25.2">
      <c r="A58" s="1700" t="s">
        <v>1330</v>
      </c>
      <c r="B58" s="4377" t="s">
        <v>1346</v>
      </c>
      <c r="C58" s="4376"/>
      <c r="D58" s="3656">
        <f ca="1">IF(H58="转让取得",C81,C97)</f>
        <v>95</v>
      </c>
      <c r="E58" s="900" t="s">
        <v>1341</v>
      </c>
      <c r="F58" s="186" t="s">
        <v>26</v>
      </c>
      <c r="G58" s="1868"/>
      <c r="H58" s="1871"/>
      <c r="I58" s="1297"/>
      <c r="J58" s="4365"/>
      <c r="K58" s="4365"/>
      <c r="L58" s="1850" t="s">
        <v>1347</v>
      </c>
      <c r="M58" s="1853"/>
      <c r="N58" s="1854" t="str">
        <f ca="1">NUMBERSTRING(INT(N57*10000),2)&amp;"元整"</f>
        <v>贰万元整</v>
      </c>
      <c r="O58" s="1855"/>
      <c r="R58" s="4420"/>
      <c r="S58" s="4421"/>
    </row>
    <row r="59" spans="1:35" ht="24.6" thickBot="1">
      <c r="A59" s="4366" t="s">
        <v>1348</v>
      </c>
      <c r="B59" s="4367"/>
      <c r="C59" s="4367"/>
      <c r="D59" s="3659">
        <f ca="1">IF(H59="非个人房产","——",IF(H59="个人住宅（满五唯一有凭证）",0,IF(H59="个人其他（无凭证）",ROUND(D45/(1+'数据-取费表'!C43)*F59,0),ROUND(C67*F59,0))))</f>
        <v>2</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363">
        <f>J57+1</f>
        <v>6</v>
      </c>
      <c r="K59" s="4365" t="s">
        <v>1349</v>
      </c>
      <c r="L59" s="1848" t="s">
        <v>1345</v>
      </c>
      <c r="M59" s="1856"/>
      <c r="N59" s="2589">
        <f ca="1">M49-N57</f>
        <v>210.25540000000001</v>
      </c>
      <c r="O59" s="1857"/>
      <c r="R59" s="3402" t="s">
        <v>3667</v>
      </c>
      <c r="S59" s="3402" t="s">
        <v>3668</v>
      </c>
    </row>
    <row r="60" spans="1:35" ht="12" customHeight="1" thickBot="1">
      <c r="A60" s="1298"/>
      <c r="B60" s="464"/>
      <c r="C60" s="464"/>
      <c r="D60" s="464"/>
      <c r="E60" s="1111"/>
      <c r="F60" s="1297"/>
      <c r="G60" s="1297"/>
      <c r="H60" s="60"/>
      <c r="I60" s="47"/>
      <c r="J60" s="4364"/>
      <c r="K60" s="4365"/>
      <c r="L60" s="1850" t="s">
        <v>1347</v>
      </c>
      <c r="M60" s="1853"/>
      <c r="N60" s="1854" t="str">
        <f ca="1">NUMBERSTRING(INT(N59*10000),2)&amp;"元整"</f>
        <v>贰佰壹拾万贰仟伍佰伍拾肆元整</v>
      </c>
      <c r="O60" s="1855"/>
      <c r="R60" s="3402" t="s">
        <v>3669</v>
      </c>
      <c r="S60" s="3402" t="s">
        <v>3710</v>
      </c>
    </row>
    <row r="61" spans="1:35" ht="15" thickBot="1">
      <c r="A61" s="4425" t="s">
        <v>3708</v>
      </c>
      <c r="B61" s="4426"/>
      <c r="C61" s="4426"/>
      <c r="D61" s="4426"/>
      <c r="E61" s="3558"/>
      <c r="F61" s="4402" t="s">
        <v>3709</v>
      </c>
      <c r="G61" s="4403"/>
      <c r="H61" s="4403"/>
      <c r="I61" s="4404"/>
      <c r="J61" s="3540">
        <f>J59+1</f>
        <v>7</v>
      </c>
      <c r="K61" s="4365" t="s">
        <v>1350</v>
      </c>
      <c r="L61" s="4365"/>
      <c r="M61" s="1858"/>
      <c r="N61" s="2590">
        <f ca="1">ROUND(N59*10000/'数据-汇总表'!E3,0)</f>
        <v>19012</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21.6">
      <c r="A63" s="70" t="s">
        <v>328</v>
      </c>
      <c r="B63" s="3561" t="s">
        <v>3716</v>
      </c>
      <c r="C63" s="3663">
        <f ca="1">ROUND(C64+C65,0)</f>
        <v>212</v>
      </c>
      <c r="D63" s="3553"/>
      <c r="E63" s="4422" t="s">
        <v>3713</v>
      </c>
      <c r="F63" s="1700">
        <v>1</v>
      </c>
      <c r="G63" s="2740" t="s">
        <v>3700</v>
      </c>
      <c r="H63" s="3179">
        <f ca="1">H64-H66</f>
        <v>18</v>
      </c>
      <c r="I63" s="2680"/>
      <c r="J63" s="4331" t="s">
        <v>1354</v>
      </c>
      <c r="K63" s="890" t="s">
        <v>1355</v>
      </c>
      <c r="L63" s="3678">
        <f ca="1">IF(M49&gt;10000,M49*0.5%,IF(AND(M49&gt;1000,M49&lt;=10000),M49*1%,IF(AND(M49&gt;100,M49&lt;=1000),M49*3%,IF(AND(M49&gt;10,M49&lt;=100),M49*5%,M49*8%))))</f>
        <v>6.3676620000000002</v>
      </c>
      <c r="M63" s="2665">
        <f ca="1">ROUND(L63,1)</f>
        <v>6.4</v>
      </c>
      <c r="N63" s="1860"/>
      <c r="Z63" s="1255"/>
      <c r="AI63" s="1198"/>
    </row>
    <row r="64" spans="1:35" ht="14.25" customHeight="1">
      <c r="A64" s="67" t="s">
        <v>323</v>
      </c>
      <c r="B64" s="3562" t="s">
        <v>3717</v>
      </c>
      <c r="C64" s="3542">
        <f ca="1">D45</f>
        <v>212</v>
      </c>
      <c r="D64" s="3554"/>
      <c r="E64" s="4423"/>
      <c r="F64" s="1700">
        <v>2</v>
      </c>
      <c r="G64" s="2740" t="s">
        <v>3701</v>
      </c>
      <c r="H64" s="3179">
        <f ca="1">ROUND(H65*I64/(1+I64),0)</f>
        <v>18</v>
      </c>
      <c r="I64" s="3575">
        <v>0.09</v>
      </c>
      <c r="J64" s="4331"/>
      <c r="K64" s="890" t="s">
        <v>1356</v>
      </c>
      <c r="L64" s="3678">
        <f ca="1">IF(M49&gt;2000,M49*0.5%,IF(AND(M49&gt;1000,M49&lt;=2000),M49*0.6%,IF(AND(M49&gt;500,M49&lt;=1000),M49*0.7%,IF(AND(M49&gt;200,M49&lt;=500),M49*0.8%,IF(AND(M49&gt;100,M49&lt;=200),M49*0.9%,IF(AND(M49&gt;50,M49&lt;=100),M49*1%,IF(AND(M49&gt;20,M49&lt;=50),M49*1.5%,IF(AND(M49&gt;10,M49&lt;=20),M49*2%,IF(AND(M49&gt;1,M49&lt;=10),M49*2.5%)))))))))</f>
        <v>1.6980432000000001</v>
      </c>
      <c r="M64" s="2665">
        <f t="shared" ref="M64:M65" ca="1" si="1">ROUND(L64,1)</f>
        <v>1.7</v>
      </c>
      <c r="N64" s="1861" t="s">
        <v>1357</v>
      </c>
      <c r="Z64" s="1255"/>
      <c r="AI64" s="1198"/>
    </row>
    <row r="65" spans="1:35" ht="14.25" customHeight="1">
      <c r="A65" s="67" t="s">
        <v>324</v>
      </c>
      <c r="B65" s="3562" t="s">
        <v>3718</v>
      </c>
      <c r="C65" s="3664"/>
      <c r="D65" s="3555"/>
      <c r="E65" s="4423"/>
      <c r="F65" s="67" t="s">
        <v>323</v>
      </c>
      <c r="G65" s="3576" t="s">
        <v>3704</v>
      </c>
      <c r="H65" s="3179">
        <f ca="1">D45</f>
        <v>212</v>
      </c>
      <c r="I65" s="2680"/>
      <c r="J65" s="4331"/>
      <c r="K65" s="890" t="s">
        <v>1358</v>
      </c>
      <c r="L65" s="3678">
        <f ca="1">IF(M49&gt;1000,M49*0.1%,IF(AND(M49&gt;500,M49&lt;=1000),M49*0.5%,IF(AND(M49&gt;50,M49&lt;=500),M49*1%,IF(AND(M49&gt;1,M49&lt;=50),M49*1.5%))))</f>
        <v>2.1225540000000001</v>
      </c>
      <c r="M65" s="2665">
        <f t="shared" ca="1" si="1"/>
        <v>2.1</v>
      </c>
      <c r="N65" s="1861" t="s">
        <v>1357</v>
      </c>
      <c r="Z65" s="1255"/>
      <c r="AI65" s="1198"/>
    </row>
    <row r="66" spans="1:35" ht="14.25" customHeight="1">
      <c r="A66" s="70" t="s">
        <v>325</v>
      </c>
      <c r="B66" s="3563" t="s">
        <v>3719</v>
      </c>
      <c r="C66" s="3664"/>
      <c r="D66" s="3556"/>
      <c r="E66" s="4423"/>
      <c r="F66" s="2453">
        <v>3</v>
      </c>
      <c r="G66" s="2740" t="s">
        <v>3702</v>
      </c>
      <c r="H66" s="3214">
        <f>ROUND(H67*I67,0)+ROUND(H68*I68,0)</f>
        <v>0</v>
      </c>
      <c r="I66" s="4097"/>
      <c r="J66" s="4331"/>
      <c r="K66" s="890" t="s">
        <v>1359</v>
      </c>
      <c r="L66" s="3678">
        <f ca="1">M49*0.5%</f>
        <v>1.061277</v>
      </c>
      <c r="M66" s="2665">
        <f ca="1">IF(L66&gt;0.5,0.5,ROUND(L66,0))</f>
        <v>0.5</v>
      </c>
      <c r="N66" s="1861" t="s">
        <v>1360</v>
      </c>
      <c r="Z66" s="1255"/>
      <c r="AI66" s="1198"/>
    </row>
    <row r="67" spans="1:35" ht="14.25" customHeight="1">
      <c r="A67" s="70" t="s">
        <v>326</v>
      </c>
      <c r="B67" s="3560" t="s">
        <v>3715</v>
      </c>
      <c r="C67" s="3542">
        <f ca="1">C63-C66</f>
        <v>212</v>
      </c>
      <c r="D67" s="3555"/>
      <c r="E67" s="4423"/>
      <c r="F67" s="67" t="s">
        <v>323</v>
      </c>
      <c r="G67" s="3576" t="s">
        <v>3706</v>
      </c>
      <c r="H67" s="3653"/>
      <c r="I67" s="3575">
        <v>0.09</v>
      </c>
      <c r="J67" s="4331"/>
      <c r="K67" s="890" t="s">
        <v>1361</v>
      </c>
      <c r="L67" s="3678">
        <f ca="1">IF(M49&gt;=10000,(8.25+(M49-10000)*0.01%),IF(AND(M49&gt;=8000,M49&lt;10000),(7.85+(M49-8000)*0.02%),IF(AND(M49&gt;=5000,M49&lt;8000),(6.65+(M49-5000)*0.04%),IF(AND(M49&gt;=2000,M49&lt;5000),(4.25+(PM49-2000)*0.08%),IF(AND(M49&gt;=1000,M49&lt;2000),(2.75+(M49-1000)*0.15%),IF(AND(M49&gt;=100,M49&lt;1000),(0.5+(M49-100)*0.25%),IF(AND(M49&gt;0,M49&lt;100),M49*0.5%)))))))</f>
        <v>0.78063850000000001</v>
      </c>
      <c r="M67" s="2665">
        <f ca="1">ROUND(L67*0.9,1)</f>
        <v>0.7</v>
      </c>
      <c r="N67" s="1860"/>
      <c r="Z67" s="1255"/>
      <c r="AI67" s="1198"/>
    </row>
    <row r="68" spans="1:35" ht="14.25" customHeight="1" thickBot="1">
      <c r="A68" s="72" t="s">
        <v>327</v>
      </c>
      <c r="B68" s="3564" t="s">
        <v>3720</v>
      </c>
      <c r="C68" s="3548">
        <f ca="1">IF(C67&lt;=0,0,ROUND(C67*D68,0))</f>
        <v>11</v>
      </c>
      <c r="D68" s="3557">
        <v>0.05</v>
      </c>
      <c r="E68" s="4424"/>
      <c r="F68" s="3570" t="s">
        <v>324</v>
      </c>
      <c r="G68" s="3577" t="s">
        <v>3707</v>
      </c>
      <c r="H68" s="3655"/>
      <c r="I68" s="3578">
        <v>0.06</v>
      </c>
      <c r="J68" s="4331"/>
      <c r="K68" s="890" t="s">
        <v>1362</v>
      </c>
      <c r="L68" s="3678">
        <f ca="1">IF(M49&gt;10000,M49*0.5%,IF(AND(M49&gt;5000,M49&lt;=10000),M49*1%,IF(AND(M49&gt;1000,M49&lt;=5000),M49*2%,IF(AND(M49&gt;200,M49&lt;=1000),M49*3%,M49*5%))))</f>
        <v>6.3676620000000002</v>
      </c>
      <c r="M68" s="2665">
        <f ca="1">ROUND(L68,1)</f>
        <v>6.4</v>
      </c>
      <c r="N68" s="1860"/>
      <c r="Z68" s="1255"/>
      <c r="AI68" s="1198"/>
    </row>
    <row r="69" spans="1:35" ht="16.5" customHeight="1">
      <c r="A69" s="1299"/>
      <c r="B69" s="1300"/>
      <c r="C69" s="1301"/>
      <c r="D69" s="1302"/>
      <c r="E69" s="1303"/>
      <c r="F69" s="1111"/>
      <c r="G69" s="1111"/>
      <c r="H69" s="1112"/>
      <c r="I69" s="464"/>
      <c r="J69" s="4332"/>
      <c r="K69" s="890" t="s">
        <v>1363</v>
      </c>
      <c r="L69" s="3678"/>
      <c r="M69" s="2665">
        <f ca="1">ROUND(SUM(M63:M68),0)</f>
        <v>18</v>
      </c>
      <c r="N69" s="1862">
        <f ca="1">M69/M49</f>
        <v>8.4803496165468575E-2</v>
      </c>
      <c r="Z69" s="1255"/>
      <c r="AI69" s="1198"/>
    </row>
    <row r="70" spans="1:35" s="463" customFormat="1" ht="14.4" thickBot="1">
      <c r="A70" s="4382" t="s">
        <v>1364</v>
      </c>
      <c r="B70" s="4383"/>
      <c r="C70" s="4383"/>
      <c r="D70" s="4383"/>
      <c r="E70" s="4383"/>
      <c r="F70" s="4383"/>
      <c r="G70" s="4383"/>
      <c r="H70" s="4383"/>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79" t="s">
        <v>1351</v>
      </c>
      <c r="B71" s="4380"/>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5">
        <f ca="1">ROUND(D45/(1+D72),0)</f>
        <v>194</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5">
        <f ca="1">C74+C78</f>
        <v>23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77" t="s">
        <v>1372</v>
      </c>
      <c r="F76" s="4376"/>
      <c r="G76" s="4376"/>
      <c r="H76" s="4381"/>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23</v>
      </c>
      <c r="D78" s="3547">
        <f>'数据-取费表'!B44</f>
        <v>0.12000000000000001</v>
      </c>
      <c r="E78" s="4371" t="s">
        <v>1376</v>
      </c>
      <c r="F78" s="4372"/>
      <c r="G78" s="4372"/>
      <c r="H78" s="4373"/>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5">
        <f ca="1">C72-C73</f>
        <v>171</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7.4347826086956523</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6">
        <f ca="1">ROUND(IF(C79&lt;=0,0,IF(C80&gt;=200%,C79*60%-C73*35%,IF(C80&gt;=100%,C79*50%-C73*15%,IF(C80&gt;=50%,C79*40%-C73*5%,IF(C80&lt;50%,C79*30%,0))))),0)</f>
        <v>95</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82" t="s">
        <v>1380</v>
      </c>
      <c r="B83" s="4383"/>
      <c r="C83" s="4383"/>
      <c r="D83" s="4383"/>
      <c r="E83" s="4383"/>
      <c r="F83" s="4383"/>
      <c r="G83" s="4383"/>
      <c r="H83" s="4383"/>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79" t="s">
        <v>1351</v>
      </c>
      <c r="B84" s="4380"/>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5">
        <f ca="1">ROUND(D45/(1+D85),0)</f>
        <v>194</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5">
        <f ca="1">IF(H88="仅含出让金",C87+C90+C91+C92+C93+C94,C87+C91+C92+C93+C94)</f>
        <v>23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4"/>
      <c r="D90" s="3547"/>
      <c r="E90" s="88" t="str">
        <f>IF(H88="-","土地取得成本中已包含该笔费用"," ")</f>
        <v xml:space="preserve"> </v>
      </c>
      <c r="F90" s="1696"/>
      <c r="G90" s="4334" t="s">
        <v>2036</v>
      </c>
      <c r="H90" s="4335"/>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71" t="s">
        <v>1389</v>
      </c>
      <c r="F91" s="4372"/>
      <c r="G91" s="4372"/>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71" t="s">
        <v>1392</v>
      </c>
      <c r="F92" s="4372"/>
      <c r="G92" s="4372"/>
      <c r="H92" s="4373"/>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23</v>
      </c>
      <c r="D93" s="3547">
        <f>'数据-取费表'!B44</f>
        <v>0.12000000000000001</v>
      </c>
      <c r="E93" s="4396" t="s">
        <v>3697</v>
      </c>
      <c r="F93" s="4372"/>
      <c r="G93" s="4372"/>
      <c r="H93" s="4373"/>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397" t="s">
        <v>1396</v>
      </c>
      <c r="F94" s="4398"/>
      <c r="G94" s="4398"/>
      <c r="H94" s="4399"/>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5">
        <f ca="1">ROUND(C85-C86,0)</f>
        <v>171</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7.4347826086956523</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6">
        <f ca="1">ROUND(IF(C95&lt;=0,0,IF(C96&gt;=200%,C95*60%-C86*35%,IF(C96&gt;=100%,C95*50%-C86*15%,IF(C96&gt;=50%,C95*40%-C86*5%,IF(C96&lt;50%,C95*30%,0))))),0)</f>
        <v>95</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1" t="s">
        <v>1398</v>
      </c>
      <c r="B100" s="4322"/>
      <c r="C100" s="4322"/>
      <c r="D100" s="4336"/>
      <c r="E100" s="4322" t="s">
        <v>1399</v>
      </c>
      <c r="F100" s="4322"/>
      <c r="G100" s="4322"/>
      <c r="H100" s="4336"/>
      <c r="I100" s="47"/>
    </row>
    <row r="101" spans="1:35" ht="18.75" customHeight="1">
      <c r="A101" s="4342" t="s">
        <v>1400</v>
      </c>
      <c r="B101" s="4343"/>
      <c r="C101" s="1877" t="str">
        <f>C4</f>
        <v>比较法-办公</v>
      </c>
      <c r="D101" s="1878" t="str">
        <f>D4</f>
        <v>收益法 (元)</v>
      </c>
      <c r="E101" s="4327" t="s">
        <v>1401</v>
      </c>
      <c r="F101" s="4328"/>
      <c r="G101" s="1312" t="s">
        <v>1402</v>
      </c>
      <c r="H101" s="3673">
        <f ca="1">H118</f>
        <v>212.25540000000001</v>
      </c>
      <c r="I101" s="47"/>
    </row>
    <row r="102" spans="1:35" ht="18.75" customHeight="1">
      <c r="A102" s="4344" t="s">
        <v>1403</v>
      </c>
      <c r="B102" s="1876" t="s">
        <v>1402</v>
      </c>
      <c r="C102" s="3669">
        <f ca="1">C19</f>
        <v>240.5111</v>
      </c>
      <c r="D102" s="3670">
        <f ca="1">D19</f>
        <v>146.32759999999999</v>
      </c>
      <c r="E102" s="4327"/>
      <c r="F102" s="4328"/>
      <c r="G102" s="1312" t="s">
        <v>1404</v>
      </c>
      <c r="H102" s="2767">
        <f ca="1">I118</f>
        <v>19193</v>
      </c>
      <c r="I102" s="47"/>
    </row>
    <row r="103" spans="1:35" ht="42.75" customHeight="1">
      <c r="A103" s="4344"/>
      <c r="B103" s="1876" t="s">
        <v>1404</v>
      </c>
      <c r="C103" s="3671">
        <f ca="1">C20</f>
        <v>21748</v>
      </c>
      <c r="D103" s="3672">
        <f ca="1">D20</f>
        <v>13232</v>
      </c>
      <c r="E103" s="4389" t="s">
        <v>1405</v>
      </c>
      <c r="F103" s="4390"/>
      <c r="G103" s="1313" t="s">
        <v>1406</v>
      </c>
      <c r="H103" s="3673">
        <f>IF(D36="正常操作",H104+H105+H106,H105+H106)</f>
        <v>0</v>
      </c>
      <c r="I103" s="47"/>
    </row>
    <row r="104" spans="1:35" ht="18.75" customHeight="1">
      <c r="A104" s="4344" t="s">
        <v>1407</v>
      </c>
      <c r="B104" s="1879" t="s">
        <v>1402</v>
      </c>
      <c r="C104" s="4353">
        <f ca="1">H118</f>
        <v>212.25540000000001</v>
      </c>
      <c r="D104" s="4354"/>
      <c r="E104" s="1192" t="s">
        <v>1408</v>
      </c>
      <c r="F104" s="1189"/>
      <c r="G104" s="1313" t="s">
        <v>1406</v>
      </c>
      <c r="H104" s="3674">
        <f>IF(D36="同一抵押权人同一抵押物续贷",C36&amp;"（续贷，未扣减，详见特别提示）",C36)</f>
        <v>0</v>
      </c>
      <c r="I104" s="47"/>
    </row>
    <row r="105" spans="1:35" ht="18.75" customHeight="1" thickBot="1">
      <c r="A105" s="4374"/>
      <c r="B105" s="1880" t="s">
        <v>1404</v>
      </c>
      <c r="C105" s="4355">
        <f ca="1">I118</f>
        <v>19193</v>
      </c>
      <c r="D105" s="4356"/>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45" t="str">
        <f>IF(项目基本情况!E8="已注销","——","3.房地产抵押价值")</f>
        <v>3.房地产抵押价值</v>
      </c>
      <c r="F107" s="4328"/>
      <c r="G107" s="1312" t="s">
        <v>1402</v>
      </c>
      <c r="H107" s="3673">
        <f ca="1">IF(E107="——","——",H101-H103)</f>
        <v>212.25540000000001</v>
      </c>
      <c r="I107" s="47"/>
    </row>
    <row r="108" spans="1:35" ht="18.75" customHeight="1">
      <c r="A108" s="47"/>
      <c r="B108" s="47"/>
      <c r="C108" s="47"/>
      <c r="D108" s="47"/>
      <c r="E108" s="4345"/>
      <c r="F108" s="4328"/>
      <c r="G108" s="1312" t="s">
        <v>1404</v>
      </c>
      <c r="H108" s="2767">
        <f ca="1">IF(H107=H101,H102,ROUND(H107*10000/'数据-汇总表'!E3,0))</f>
        <v>19193</v>
      </c>
      <c r="I108" s="47"/>
    </row>
    <row r="109" spans="1:35" ht="18.75" customHeight="1">
      <c r="A109" s="47"/>
      <c r="B109" s="47"/>
      <c r="C109" s="47"/>
      <c r="D109" s="47"/>
      <c r="E109" s="4345" t="str">
        <f>IF(项目基本情况!E8="已注销及未注销","4.抵押担保权已注销时的房地产抵押价值",IF(项目基本情况!E8="已注销","3.抵押担保权已注销时的房地产抵押价值","——"))</f>
        <v>——</v>
      </c>
      <c r="F109" s="4328"/>
      <c r="G109" s="1312" t="s">
        <v>1402</v>
      </c>
      <c r="H109" s="2762" t="str">
        <f>IF(E109="——","——",H101-H105-H106)</f>
        <v>——</v>
      </c>
      <c r="I109" s="47"/>
    </row>
    <row r="110" spans="1:35" ht="18.75" customHeight="1">
      <c r="A110" s="47"/>
      <c r="B110" s="47"/>
      <c r="C110" s="47"/>
      <c r="D110" s="47"/>
      <c r="E110" s="4345"/>
      <c r="F110" s="4328"/>
      <c r="G110" s="1312" t="s">
        <v>1404</v>
      </c>
      <c r="H110" s="2767" t="str">
        <f>IF(H109="——","——",ROUND(H109*10000/'数据-汇总表'!E3,0))</f>
        <v>——</v>
      </c>
      <c r="I110" s="47"/>
    </row>
    <row r="111" spans="1:35" ht="18.75" customHeight="1">
      <c r="A111" s="47"/>
      <c r="B111" s="47"/>
      <c r="C111" s="47"/>
      <c r="D111" s="47"/>
      <c r="E111" s="4346" t="str">
        <f>IF(项目基本情况!E9="抵押净值",IF(OR(项目基本情况!E8="已注销",项目基本情况!E8="房地产抵押价值"),"4.抵押净值","5.抵押净值"),"——")</f>
        <v>——</v>
      </c>
      <c r="F111" s="4347"/>
      <c r="G111" s="1312" t="s">
        <v>1402</v>
      </c>
      <c r="H111" s="3673" t="str">
        <f>IF(E111="——","——",N59)</f>
        <v>——</v>
      </c>
      <c r="I111" s="47"/>
    </row>
    <row r="112" spans="1:35" ht="18.75" customHeight="1" thickBot="1">
      <c r="A112" s="47"/>
      <c r="B112" s="47"/>
      <c r="C112" s="47"/>
      <c r="D112" s="47"/>
      <c r="E112" s="4348"/>
      <c r="F112" s="4349"/>
      <c r="G112" s="1315" t="s">
        <v>1404</v>
      </c>
      <c r="H112" s="3635" t="str">
        <f>IF(E111="——","——",N61)</f>
        <v>——</v>
      </c>
      <c r="I112" s="47"/>
    </row>
    <row r="113" spans="1:27" ht="18.75" customHeight="1">
      <c r="A113" s="47"/>
      <c r="B113" s="47"/>
      <c r="C113" s="47"/>
      <c r="D113" s="47"/>
      <c r="E113" s="4375" t="s">
        <v>1410</v>
      </c>
      <c r="F113" s="4375"/>
      <c r="G113" s="4375"/>
      <c r="H113" s="4375"/>
      <c r="I113" s="47"/>
    </row>
    <row r="114" spans="1:27" ht="3.75" customHeight="1">
      <c r="A114" s="464"/>
      <c r="B114" s="464"/>
      <c r="C114" s="464"/>
      <c r="D114" s="464"/>
      <c r="E114" s="1298"/>
      <c r="F114" s="1298"/>
      <c r="G114" s="1298"/>
      <c r="H114" s="1298"/>
      <c r="I114" s="464"/>
    </row>
    <row r="115" spans="1:27" ht="18.75" customHeight="1">
      <c r="A115" s="4385" t="s">
        <v>1412</v>
      </c>
      <c r="B115" s="4386"/>
      <c r="C115" s="4386"/>
      <c r="D115" s="4386"/>
      <c r="E115" s="4386"/>
      <c r="F115" s="4386"/>
      <c r="G115" s="4386"/>
      <c r="H115" s="4386"/>
      <c r="I115" s="4387"/>
    </row>
    <row r="116" spans="1:27" ht="27" customHeight="1">
      <c r="A116" s="4350" t="s">
        <v>1413</v>
      </c>
      <c r="B116" s="4351" t="s">
        <v>1414</v>
      </c>
      <c r="C116" s="4351" t="s">
        <v>1415</v>
      </c>
      <c r="D116" s="4338" t="s">
        <v>1416</v>
      </c>
      <c r="E116" s="4339"/>
      <c r="F116" s="4384"/>
      <c r="G116" s="4384"/>
      <c r="H116" s="4350" t="s">
        <v>1417</v>
      </c>
      <c r="I116" s="4350"/>
      <c r="K116" s="3033"/>
      <c r="L116" s="3034" t="s">
        <v>3487</v>
      </c>
      <c r="M116" s="3034" t="s">
        <v>3488</v>
      </c>
      <c r="N116" s="3034" t="s">
        <v>3489</v>
      </c>
    </row>
    <row r="117" spans="1:27" ht="18.75" customHeight="1">
      <c r="A117" s="4350"/>
      <c r="B117" s="4352"/>
      <c r="C117" s="4352"/>
      <c r="D117" s="1698" t="s">
        <v>1418</v>
      </c>
      <c r="E117" s="1698" t="s">
        <v>1419</v>
      </c>
      <c r="F117" s="1698" t="s">
        <v>1418</v>
      </c>
      <c r="G117" s="1698" t="s">
        <v>1420</v>
      </c>
      <c r="H117" s="1698" t="s">
        <v>1418</v>
      </c>
      <c r="I117" s="1698" t="s">
        <v>1420</v>
      </c>
      <c r="K117" s="3034" t="s">
        <v>3485</v>
      </c>
      <c r="L117" s="3676">
        <f>C34</f>
        <v>0</v>
      </c>
      <c r="M117" s="3677">
        <f>C35</f>
        <v>0</v>
      </c>
      <c r="N117" s="3677">
        <f ca="1">C32</f>
        <v>19193</v>
      </c>
    </row>
    <row r="118" spans="1:27" ht="24.75" customHeight="1">
      <c r="A118" s="1881" t="str">
        <f>项目基本情况!S2</f>
        <v>北京市房地产</v>
      </c>
      <c r="B118" s="2597">
        <f>M18</f>
        <v>110.59</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212.25540000000001</v>
      </c>
      <c r="I118" s="679">
        <f ca="1">ROUND(IF(D32="楼面单价",C32,N117*10000/B118),0)</f>
        <v>19193</v>
      </c>
      <c r="K118" s="3033"/>
      <c r="L118" s="3033"/>
      <c r="M118" s="3033"/>
      <c r="N118" s="3033"/>
    </row>
    <row r="119" spans="1:27" ht="18.75" customHeight="1">
      <c r="A119" s="4350" t="s">
        <v>1421</v>
      </c>
      <c r="B119" s="4350"/>
      <c r="C119" s="4350"/>
      <c r="D119" s="4340" t="str">
        <f>NUMBERSTRING(INT(D118*10000),2)&amp;"元整"</f>
        <v>零元整</v>
      </c>
      <c r="E119" s="4341"/>
      <c r="F119" s="4340" t="str">
        <f>NUMBERSTRING(INT(F118*10000),2)&amp;"元整"</f>
        <v>零元整</v>
      </c>
      <c r="G119" s="4341"/>
      <c r="H119" s="4340" t="str">
        <f ca="1">NUMBERSTRING(INT(H118*10000),2)&amp;"元整"</f>
        <v>贰佰壹拾贰万贰仟伍佰伍拾肆元整</v>
      </c>
      <c r="I119" s="4341"/>
      <c r="K119" s="3034" t="s">
        <v>3486</v>
      </c>
      <c r="L119" s="3677">
        <f>C34</f>
        <v>0</v>
      </c>
      <c r="M119" s="3677">
        <f>C35</f>
        <v>0</v>
      </c>
      <c r="N119" s="3677">
        <f ca="1">C32</f>
        <v>19193</v>
      </c>
    </row>
    <row r="120" spans="1:27" ht="18.75" customHeight="1">
      <c r="A120" s="4359" t="str">
        <f>IF(项目基本情况!B9="房地产市场价值","",MID(E103,3,LEN(E103)-2))</f>
        <v>估价师知悉的法定优先受偿款</v>
      </c>
      <c r="B120" s="4360"/>
      <c r="C120" s="4360"/>
      <c r="D120" s="4360"/>
      <c r="E120" s="4360"/>
      <c r="F120" s="4360"/>
      <c r="G120" s="4361"/>
      <c r="H120" s="4440">
        <f>H103</f>
        <v>0</v>
      </c>
      <c r="I120" s="4441"/>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0" t="s">
        <v>1421</v>
      </c>
      <c r="B121" s="4362"/>
      <c r="C121" s="4362"/>
      <c r="D121" s="4362"/>
      <c r="E121" s="4362"/>
      <c r="F121" s="4362"/>
      <c r="G121" s="4341"/>
      <c r="H121" s="4442" t="str">
        <f>IF(H120=0,"零元整",NUMBERSTRING(INT(H120*10000),2)&amp;"元整")</f>
        <v>零元整</v>
      </c>
      <c r="I121" s="4443"/>
      <c r="AA121" s="493"/>
    </row>
    <row r="122" spans="1:27" ht="18.75" customHeight="1">
      <c r="A122" s="4359" t="str">
        <f>IF(项目基本情况!B9="房地产市场价值","",MID(E107,3,LEN(E107)-2))</f>
        <v>房地产抵押价值</v>
      </c>
      <c r="B122" s="4360"/>
      <c r="C122" s="4360"/>
      <c r="D122" s="4360"/>
      <c r="E122" s="4360"/>
      <c r="F122" s="4360"/>
      <c r="G122" s="4361"/>
      <c r="H122" s="4357">
        <f ca="1">H107</f>
        <v>212.25540000000001</v>
      </c>
      <c r="I122" s="4358"/>
      <c r="AA122" s="493"/>
    </row>
    <row r="123" spans="1:27" ht="18.75" customHeight="1">
      <c r="A123" s="4340" t="s">
        <v>1421</v>
      </c>
      <c r="B123" s="4362"/>
      <c r="C123" s="4362"/>
      <c r="D123" s="4362"/>
      <c r="E123" s="4362"/>
      <c r="F123" s="4362"/>
      <c r="G123" s="4341"/>
      <c r="H123" s="4340" t="str">
        <f ca="1">NUMBERSTRING(INT(H122*10000),2)&amp;"元整"</f>
        <v>贰佰壹拾贰万贰仟伍佰伍拾肆元整</v>
      </c>
      <c r="I123" s="4341"/>
      <c r="AA123" s="493"/>
    </row>
    <row r="124" spans="1:27" ht="18.75" customHeight="1">
      <c r="A124" s="4359" t="str">
        <f>IF(项目基本情况!B9="房地产市场价值","",MID(E109,3,LEN(E109)-2))</f>
        <v/>
      </c>
      <c r="B124" s="4360"/>
      <c r="C124" s="4360"/>
      <c r="D124" s="4360"/>
      <c r="E124" s="4360"/>
      <c r="F124" s="4360"/>
      <c r="G124" s="4361"/>
      <c r="H124" s="4357" t="str">
        <f>H109</f>
        <v>——</v>
      </c>
      <c r="I124" s="4358"/>
      <c r="AA124" s="493"/>
    </row>
    <row r="125" spans="1:27" ht="18.75" customHeight="1">
      <c r="A125" s="4340" t="s">
        <v>1421</v>
      </c>
      <c r="B125" s="4362"/>
      <c r="C125" s="4362"/>
      <c r="D125" s="4362"/>
      <c r="E125" s="4362"/>
      <c r="F125" s="4362"/>
      <c r="G125" s="4341"/>
      <c r="H125" s="4340" t="e">
        <f>NUMBERSTRING(INT(H124*10000),2)&amp;"元整"</f>
        <v>#VALUE!</v>
      </c>
      <c r="I125" s="4341"/>
      <c r="AA125" s="493"/>
    </row>
    <row r="126" spans="1:27" ht="18.75" customHeight="1">
      <c r="A126" s="4359" t="str">
        <f>IF(项目基本情况!B9="房地产市场价值","",MID(E111,3,LEN(E111)-2))</f>
        <v/>
      </c>
      <c r="B126" s="4360"/>
      <c r="C126" s="4360"/>
      <c r="D126" s="4360"/>
      <c r="E126" s="4360"/>
      <c r="F126" s="4360"/>
      <c r="G126" s="4361"/>
      <c r="H126" s="4357" t="str">
        <f>H111</f>
        <v>——</v>
      </c>
      <c r="I126" s="4358"/>
      <c r="AA126" s="493"/>
    </row>
    <row r="127" spans="1:27" ht="18.75" customHeight="1">
      <c r="A127" s="4340" t="s">
        <v>1421</v>
      </c>
      <c r="B127" s="4362"/>
      <c r="C127" s="4362"/>
      <c r="D127" s="4362"/>
      <c r="E127" s="4362"/>
      <c r="F127" s="4362"/>
      <c r="G127" s="4341"/>
      <c r="H127" s="4340" t="e">
        <f>NUMBERSTRING(INT(H126*10000),2)&amp;"元整"</f>
        <v>#VALUE!</v>
      </c>
      <c r="I127" s="4341"/>
      <c r="AA127" s="493"/>
    </row>
    <row r="128" spans="1:27" ht="21.75" customHeight="1">
      <c r="A128" s="4337" t="s">
        <v>1422</v>
      </c>
      <c r="B128" s="4337"/>
      <c r="C128" s="4337"/>
      <c r="D128" s="4337"/>
      <c r="E128" s="4337"/>
      <c r="F128" s="4337"/>
      <c r="G128" s="4337"/>
      <c r="H128" s="4337"/>
      <c r="I128" s="4337"/>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9"/>
      <c r="C1" s="3325"/>
      <c r="D1" s="93"/>
      <c r="E1" s="93"/>
      <c r="F1" s="93"/>
      <c r="G1" s="756">
        <f>MATCH(B1,'数据-取费表'!A6:A16,0)+5</f>
        <v>7</v>
      </c>
    </row>
    <row r="2" spans="1:9" s="95" customFormat="1" ht="15.6">
      <c r="A2" s="96" t="s">
        <v>1431</v>
      </c>
      <c r="B2" s="2522">
        <f ca="1">IF(C1="含税",E2+C33,E2+C32)</f>
        <v>53</v>
      </c>
      <c r="C2" s="94" t="s">
        <v>1432</v>
      </c>
      <c r="D2" s="1336" t="s">
        <v>41</v>
      </c>
      <c r="E2" s="3412">
        <f ca="1">IF(D2="——",0,SUMIF(INDIRECT("'"&amp;G2&amp;"'"&amp;"!A:A"),"承租人权益价值",INDIRECT("'"&amp;G2&amp;"'"&amp;"!c:c")))</f>
        <v>0</v>
      </c>
      <c r="F2" s="1337" t="s">
        <v>1432</v>
      </c>
      <c r="G2" s="1338"/>
    </row>
    <row r="3" spans="1:9" s="95" customFormat="1" ht="16.2" thickBot="1">
      <c r="A3" s="98" t="s">
        <v>1433</v>
      </c>
      <c r="B3" s="2523">
        <f ca="1">ROUND(B2*10000/(IF(B1="",'数据-汇总表'!E3,INDIRECT("'数据-取费表'!k"&amp;$G$1))),0)</f>
        <v>4792</v>
      </c>
      <c r="C3" s="94" t="s">
        <v>1434</v>
      </c>
      <c r="D3" s="94"/>
      <c r="E3" s="2510"/>
      <c r="F3" s="94"/>
      <c r="G3" s="94"/>
    </row>
    <row r="4" spans="1:9" s="95" customFormat="1" ht="16.2" thickBot="1">
      <c r="A4" s="2567" t="s">
        <v>3333</v>
      </c>
      <c r="B4" s="2568" t="s">
        <v>3334</v>
      </c>
      <c r="C4" s="2507" t="s">
        <v>3963</v>
      </c>
      <c r="D4" s="2543" t="s">
        <v>3339</v>
      </c>
      <c r="E4" s="2544" t="s">
        <v>3340</v>
      </c>
      <c r="F4" s="2544" t="s">
        <v>3341</v>
      </c>
      <c r="G4" s="2508" t="s">
        <v>3335</v>
      </c>
    </row>
    <row r="5" spans="1:9" s="103" customFormat="1" ht="15.6">
      <c r="A5" s="2545" t="s">
        <v>3332</v>
      </c>
      <c r="B5" s="2546" t="s">
        <v>3336</v>
      </c>
      <c r="C5" s="2520">
        <f ca="1">ROUND((C6+C9+C21+C24+C25+C28)/(1-F22-C26-C29),0)</f>
        <v>66</v>
      </c>
      <c r="D5" s="2547"/>
      <c r="E5" s="2547"/>
      <c r="F5" s="2547"/>
      <c r="G5" s="2699" t="s">
        <v>3478</v>
      </c>
    </row>
    <row r="6" spans="1:9" s="2533" customFormat="1" ht="14.4">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4.4">
      <c r="A9" s="2554" t="s">
        <v>336</v>
      </c>
      <c r="B9" s="2573" t="s">
        <v>3290</v>
      </c>
      <c r="C9" s="2534">
        <f ca="1">C10+C11+C12+C13+C19+C20</f>
        <v>53</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45</v>
      </c>
      <c r="D10" s="2551"/>
      <c r="E10" s="144"/>
      <c r="F10" s="2559">
        <f ca="1">IF('数据-取费表'!B24=0,1,IF(B1="",'数据-取费表'!N16,INDIRECT("'数据-取费表'!n"&amp;$G$1)))</f>
        <v>1</v>
      </c>
      <c r="G10" s="156" t="s">
        <v>1469</v>
      </c>
    </row>
    <row r="11" spans="1:9" s="109" customFormat="1">
      <c r="A11" s="2574" t="s">
        <v>349</v>
      </c>
      <c r="B11" s="2575" t="s">
        <v>3327</v>
      </c>
      <c r="C11" s="2521">
        <f ca="1">ROUND(C10*F11,0)</f>
        <v>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5</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2</v>
      </c>
      <c r="D16" s="2561">
        <f ca="1">IF(B1="",'数据-汇总表'!E6,IF(INDIRECT("'数据-取费表'!c"&amp;$G$1)="住宅",INDIRECT("'数据-取费表'!s"&amp;$G$1),INDIRECT("'数据-取费表'!k"&amp;$G$1)+INDIRECT("'数据-取费表'!s"&amp;$G$1)))</f>
        <v>110.59</v>
      </c>
      <c r="E16" s="2561">
        <f>'数据-取费表'!B28</f>
        <v>200</v>
      </c>
      <c r="F16" s="2553"/>
      <c r="G16" s="121"/>
    </row>
    <row r="17" spans="1:7" s="109" customFormat="1">
      <c r="A17" s="2505" t="s">
        <v>3293</v>
      </c>
      <c r="B17" s="2579" t="s">
        <v>3298</v>
      </c>
      <c r="C17" s="2521">
        <f ca="1">IF(G17="已包含在土地取得成本中","0",ROUND(D17*E17/10000,0))</f>
        <v>1</v>
      </c>
      <c r="D17" s="2562">
        <f ca="1">D15+D16</f>
        <v>110.59</v>
      </c>
      <c r="E17" s="2562">
        <f>'数据-取费表'!B31</f>
        <v>130</v>
      </c>
      <c r="F17" s="2529"/>
      <c r="G17" s="1339"/>
    </row>
    <row r="18" spans="1:7" s="109" customFormat="1">
      <c r="A18" s="2580" t="s">
        <v>3294</v>
      </c>
      <c r="B18" s="2579" t="s">
        <v>1474</v>
      </c>
      <c r="C18" s="2521">
        <f ca="1">ROUND(E18*D18*F10/10000,0)</f>
        <v>4</v>
      </c>
      <c r="D18" s="2521">
        <f ca="1">D17</f>
        <v>110.59</v>
      </c>
      <c r="E18" s="2521">
        <f>'数据-取费表'!B35</f>
        <v>350</v>
      </c>
      <c r="F18" s="2532"/>
      <c r="G18" s="156" t="s">
        <v>1475</v>
      </c>
    </row>
    <row r="19" spans="1:7" s="109" customFormat="1">
      <c r="A19" s="2574" t="s">
        <v>352</v>
      </c>
      <c r="B19" s="2575" t="s">
        <v>3330</v>
      </c>
      <c r="C19" s="2521">
        <f ca="1">ROUND(C10*F19,0)</f>
        <v>0</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4.4">
      <c r="A21" s="2512" t="s">
        <v>3344</v>
      </c>
      <c r="B21" s="2571" t="s">
        <v>3345</v>
      </c>
      <c r="C21" s="2534">
        <f ca="1">ROUND((C6+C9)*F21,0)</f>
        <v>1</v>
      </c>
      <c r="D21" s="2535"/>
      <c r="E21" s="2535"/>
      <c r="F21" s="2539">
        <f>'数据-取费表'!B38</f>
        <v>0.02</v>
      </c>
      <c r="G21" s="2536" t="s">
        <v>3346</v>
      </c>
    </row>
    <row r="22" spans="1:7" s="2533" customFormat="1" ht="14.4">
      <c r="A22" s="2512" t="s">
        <v>3347</v>
      </c>
      <c r="B22" s="2571" t="s">
        <v>3348</v>
      </c>
      <c r="C22" s="2537" t="str">
        <f>F22&amp;"V"</f>
        <v>0.02V</v>
      </c>
      <c r="D22" s="296"/>
      <c r="E22" s="2535"/>
      <c r="F22" s="2539">
        <f>'数据-取费表'!B39</f>
        <v>0.02</v>
      </c>
      <c r="G22" s="3532" t="s">
        <v>3685</v>
      </c>
    </row>
    <row r="23" spans="1:7" s="2533" customFormat="1" ht="14.4">
      <c r="A23" s="2512" t="s">
        <v>3349</v>
      </c>
      <c r="B23" s="2573" t="s">
        <v>3299</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v>
      </c>
      <c r="D25" s="133"/>
      <c r="E25" s="133"/>
      <c r="F25" s="2528"/>
      <c r="G25" s="135" t="s">
        <v>1455</v>
      </c>
    </row>
    <row r="26" spans="1:7" s="109" customFormat="1">
      <c r="A26" s="2581" t="s">
        <v>348</v>
      </c>
      <c r="B26" s="2579" t="s">
        <v>1456</v>
      </c>
      <c r="C26" s="2524">
        <f ca="1">ROUND(IF('数据-取费表'!B22&lt;=1,F22*F23*'数据-取费表'!B23/2,F22*(POWER((1+F23),'数据-取费表'!B23/2)-1)),4)</f>
        <v>5.9999999999999995E-4</v>
      </c>
      <c r="D26" s="133"/>
      <c r="E26" s="136"/>
      <c r="F26" s="2528"/>
      <c r="G26" s="138"/>
    </row>
    <row r="27" spans="1:7" s="2533" customFormat="1" ht="14.4">
      <c r="A27" s="2512" t="s">
        <v>3350</v>
      </c>
      <c r="B27" s="2573" t="s">
        <v>3301</v>
      </c>
      <c r="C27" s="2540" t="str">
        <f ca="1">C28&amp;"+"&amp;C29&amp;"V"</f>
        <v>8+0.003V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8</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4.4">
      <c r="A30" s="2512" t="s">
        <v>3352</v>
      </c>
      <c r="B30" s="2571" t="s">
        <v>3353</v>
      </c>
      <c r="C30" s="2534">
        <v>0</v>
      </c>
      <c r="D30" s="296"/>
      <c r="E30" s="2514"/>
      <c r="F30" s="2539"/>
      <c r="G30" s="2542" t="s">
        <v>3302</v>
      </c>
    </row>
    <row r="31" spans="1:7" s="109" customFormat="1" ht="15.6">
      <c r="A31" s="2582">
        <v>2</v>
      </c>
      <c r="B31" s="2583" t="s">
        <v>3303</v>
      </c>
      <c r="C31" s="2525">
        <f ca="1">C57</f>
        <v>13</v>
      </c>
      <c r="D31" s="2516"/>
      <c r="E31" s="2516"/>
      <c r="F31" s="2530">
        <f>IF('数据-取费表'!B24=0,'数据-取费表'!N16,1)</f>
        <v>0.8</v>
      </c>
      <c r="G31" s="2517" t="s">
        <v>3821</v>
      </c>
    </row>
    <row r="32" spans="1:7" s="109" customFormat="1" ht="15.6">
      <c r="A32" s="2504" t="s">
        <v>3304</v>
      </c>
      <c r="B32" s="2503" t="s">
        <v>3305</v>
      </c>
      <c r="C32" s="2525">
        <f ca="1">C5-C31</f>
        <v>53</v>
      </c>
      <c r="D32" s="2516"/>
      <c r="E32" s="2516"/>
      <c r="F32" s="2515"/>
      <c r="G32" s="2518" t="s">
        <v>3337</v>
      </c>
    </row>
    <row r="33" spans="1:7" s="109" customFormat="1" ht="16.2" thickBot="1">
      <c r="A33" s="2584">
        <v>4</v>
      </c>
      <c r="B33" s="2585" t="s">
        <v>3338</v>
      </c>
      <c r="C33" s="2526">
        <f ca="1">ROUND(C32*(1+F33),0)</f>
        <v>58</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 thickBot="1">
      <c r="A38" s="2771" t="s">
        <v>3306</v>
      </c>
      <c r="B38" s="2772"/>
      <c r="C38" s="2772"/>
      <c r="D38" s="2772"/>
      <c r="E38" s="2772"/>
      <c r="F38" s="2772"/>
      <c r="G38" s="2773"/>
    </row>
    <row r="39" spans="1:7" ht="15" thickBot="1">
      <c r="A39" s="2774" t="s">
        <v>3333</v>
      </c>
      <c r="B39" s="2775" t="s">
        <v>3334</v>
      </c>
      <c r="C39" s="2776" t="s">
        <v>3963</v>
      </c>
      <c r="D39" s="2777" t="s">
        <v>3458</v>
      </c>
      <c r="E39" s="2778" t="s">
        <v>3459</v>
      </c>
      <c r="F39" s="2778" t="s">
        <v>3460</v>
      </c>
      <c r="G39" s="2779" t="s">
        <v>3335</v>
      </c>
    </row>
    <row r="40" spans="1:7" ht="14.4">
      <c r="A40" s="2631" t="s">
        <v>3461</v>
      </c>
      <c r="B40" s="2781" t="s">
        <v>3307</v>
      </c>
      <c r="C40" s="2782">
        <f ca="1">SUM(C41:C46)</f>
        <v>52</v>
      </c>
      <c r="D40" s="2780"/>
      <c r="E40" s="2780"/>
      <c r="F40" s="2780"/>
      <c r="G40" s="3986"/>
    </row>
    <row r="41" spans="1:7" ht="15.6">
      <c r="A41" s="2566" t="s">
        <v>3308</v>
      </c>
      <c r="B41" s="2630" t="str">
        <f t="shared" ref="B41:C43" si="0">B10</f>
        <v xml:space="preserve">  建安费用</v>
      </c>
      <c r="C41" s="2501">
        <f t="shared" ca="1" si="0"/>
        <v>45</v>
      </c>
      <c r="D41" s="2496"/>
      <c r="E41" s="2496"/>
      <c r="F41" s="2497"/>
      <c r="G41" s="3987"/>
    </row>
    <row r="42" spans="1:7" ht="15.6">
      <c r="A42" s="2566" t="s">
        <v>3309</v>
      </c>
      <c r="B42" s="2630" t="str">
        <f t="shared" si="0"/>
        <v xml:space="preserve">  前期费用</v>
      </c>
      <c r="C42" s="2501">
        <f t="shared" ca="1" si="0"/>
        <v>3</v>
      </c>
      <c r="D42" s="2496"/>
      <c r="E42" s="2496"/>
      <c r="F42" s="2497"/>
      <c r="G42" s="3987"/>
    </row>
    <row r="43" spans="1:7" ht="15.6">
      <c r="A43" s="2566" t="s">
        <v>3375</v>
      </c>
      <c r="B43" s="2570" t="str">
        <f t="shared" si="0"/>
        <v xml:space="preserve">  公共配套设施费用</v>
      </c>
      <c r="C43" s="2501">
        <f t="shared" ca="1" si="0"/>
        <v>0</v>
      </c>
      <c r="D43" s="2496"/>
      <c r="E43" s="2496"/>
      <c r="F43" s="2497"/>
      <c r="G43" s="3987"/>
    </row>
    <row r="44" spans="1:7" ht="15.6">
      <c r="A44" s="2566" t="s">
        <v>3291</v>
      </c>
      <c r="B44" s="2570" t="str">
        <f>B18</f>
        <v>红线内市政费用</v>
      </c>
      <c r="C44" s="2501">
        <f ca="1">C18</f>
        <v>4</v>
      </c>
      <c r="D44" s="2496"/>
      <c r="E44" s="2496"/>
      <c r="F44" s="2497"/>
      <c r="G44" s="3987"/>
    </row>
    <row r="45" spans="1:7" ht="15.6">
      <c r="A45" s="2581" t="s">
        <v>3310</v>
      </c>
      <c r="B45" s="2576" t="str">
        <f>B19</f>
        <v xml:space="preserve">  其他工程费</v>
      </c>
      <c r="C45" s="2506">
        <f ca="1">C19</f>
        <v>0</v>
      </c>
      <c r="D45" s="2629"/>
      <c r="E45" s="2629"/>
      <c r="F45" s="2509"/>
      <c r="G45" s="3988"/>
    </row>
    <row r="46" spans="1:7" ht="15.6">
      <c r="A46" s="2581" t="s">
        <v>3374</v>
      </c>
      <c r="B46" s="2576" t="s">
        <v>3311</v>
      </c>
      <c r="C46" s="2506">
        <f ca="1">C20</f>
        <v>0</v>
      </c>
      <c r="D46" s="2629"/>
      <c r="E46" s="2629"/>
      <c r="F46" s="2509"/>
      <c r="G46" s="3988"/>
    </row>
    <row r="47" spans="1:7" ht="14.4">
      <c r="A47" s="2631" t="s">
        <v>3462</v>
      </c>
      <c r="B47" s="2632" t="s">
        <v>3463</v>
      </c>
      <c r="C47" s="2633">
        <f ca="1">ROUND(C40*F47,0)</f>
        <v>1</v>
      </c>
      <c r="D47" s="2634"/>
      <c r="E47" s="2634"/>
      <c r="F47" s="2635">
        <f>F21</f>
        <v>0.02</v>
      </c>
      <c r="G47" s="2636" t="s">
        <v>3464</v>
      </c>
    </row>
    <row r="48" spans="1:7" ht="14.4">
      <c r="A48" s="2631" t="s">
        <v>3465</v>
      </c>
      <c r="B48" s="2632" t="s">
        <v>3466</v>
      </c>
      <c r="C48" s="2637" t="str">
        <f>F48&amp;"V建1"</f>
        <v>0.02V建1</v>
      </c>
      <c r="D48" s="2634"/>
      <c r="E48" s="2634"/>
      <c r="F48" s="2635">
        <f>F22</f>
        <v>0.02</v>
      </c>
      <c r="G48" s="2636" t="s">
        <v>3467</v>
      </c>
    </row>
    <row r="49" spans="1:7" ht="14.4">
      <c r="A49" s="2631" t="s">
        <v>3468</v>
      </c>
      <c r="B49" s="2638" t="s">
        <v>3373</v>
      </c>
      <c r="C49" s="2534" t="str">
        <f ca="1">C50&amp;"+"&amp;C51&amp;"V建1"</f>
        <v>2+0.0006V建1</v>
      </c>
      <c r="D49" s="296"/>
      <c r="E49" s="296"/>
      <c r="F49" s="2647">
        <f ca="1">F23</f>
        <v>3.1300000000000001E-2</v>
      </c>
      <c r="G49" s="3989" t="str">
        <f>IF('数据-取费表'!B22&lt;=1,"单利计息","复利计息")</f>
        <v>复利计息</v>
      </c>
    </row>
    <row r="50" spans="1:7">
      <c r="A50" s="2566" t="s">
        <v>3308</v>
      </c>
      <c r="B50" s="2569" t="s">
        <v>3377</v>
      </c>
      <c r="C50" s="2650">
        <f ca="1">ROUND(IF('数据-取费表'!B22&lt;=1,(C40+C47)*F49*'数据-取费表'!B22/2,(C40+C47)*(POWER((1+F49),'数据-取费表'!B22/2)-1)),0)</f>
        <v>2</v>
      </c>
      <c r="D50" s="1012"/>
      <c r="E50" s="1012"/>
      <c r="F50" s="995"/>
      <c r="G50" s="4444" t="s">
        <v>3324</v>
      </c>
    </row>
    <row r="51" spans="1:7">
      <c r="A51" s="2566" t="s">
        <v>3309</v>
      </c>
      <c r="B51" s="2570" t="s">
        <v>3314</v>
      </c>
      <c r="C51" s="2651">
        <f ca="1">ROUND(IF('数据-取费表'!B22&lt;=1,F48*F23*'数据-取费表'!B22/2,F48*(POWER((1+F23),'数据-取费表'!B22/2)-1)),4)</f>
        <v>5.9999999999999995E-4</v>
      </c>
      <c r="D51" s="1012"/>
      <c r="E51" s="1012"/>
      <c r="F51" s="995"/>
      <c r="G51" s="4445"/>
    </row>
    <row r="52" spans="1:7" ht="14.4">
      <c r="A52" s="2631" t="s">
        <v>3469</v>
      </c>
      <c r="B52" s="2640" t="s">
        <v>3315</v>
      </c>
      <c r="C52" s="2641" t="str">
        <f ca="1">C53&amp;"+"&amp;C54&amp;"V建1"</f>
        <v>8+0.003V建1</v>
      </c>
      <c r="D52" s="2642"/>
      <c r="E52" s="2634"/>
      <c r="F52" s="2643">
        <f ca="1">F27</f>
        <v>0.15</v>
      </c>
      <c r="G52" s="2644" t="s">
        <v>3470</v>
      </c>
    </row>
    <row r="53" spans="1:7">
      <c r="A53" s="2566" t="s">
        <v>3312</v>
      </c>
      <c r="B53" s="2569" t="s">
        <v>3316</v>
      </c>
      <c r="C53" s="2501">
        <f ca="1">ROUND((C40+C47)*F27,0)</f>
        <v>8</v>
      </c>
      <c r="D53" s="2502"/>
      <c r="E53" s="2498"/>
      <c r="F53" s="2499"/>
      <c r="G53" s="2500"/>
    </row>
    <row r="54" spans="1:7">
      <c r="A54" s="2566" t="s">
        <v>3313</v>
      </c>
      <c r="B54" s="2569" t="s">
        <v>3317</v>
      </c>
      <c r="C54" s="2565">
        <f ca="1">ROUND(F48*F27,4)</f>
        <v>3.0000000000000001E-3</v>
      </c>
      <c r="D54" s="2502"/>
      <c r="E54" s="2498"/>
      <c r="F54" s="2499"/>
      <c r="G54" s="2500"/>
    </row>
    <row r="55" spans="1:7" ht="14.4">
      <c r="A55" s="2512" t="s">
        <v>3471</v>
      </c>
      <c r="B55" s="2649" t="s">
        <v>3472</v>
      </c>
      <c r="C55" s="3990">
        <v>0</v>
      </c>
      <c r="D55" s="2538"/>
      <c r="E55" s="296"/>
      <c r="F55" s="2639"/>
      <c r="G55" s="2646" t="s">
        <v>3320</v>
      </c>
    </row>
    <row r="56" spans="1:7" ht="16.8">
      <c r="A56" s="2512" t="s">
        <v>3477</v>
      </c>
      <c r="B56" s="2645" t="s">
        <v>3473</v>
      </c>
      <c r="C56" s="2534">
        <f ca="1">ROUND((C40+C47+C50+C53)/(1-F48-C51-C54),0)</f>
        <v>65</v>
      </c>
      <c r="D56" s="296"/>
      <c r="E56" s="296"/>
      <c r="F56" s="2647"/>
      <c r="G56" s="2646" t="s">
        <v>3321</v>
      </c>
    </row>
    <row r="57" spans="1:7" ht="14.4">
      <c r="A57" s="2512" t="s">
        <v>3439</v>
      </c>
      <c r="B57" s="2648" t="s">
        <v>3318</v>
      </c>
      <c r="C57" s="2534">
        <f ca="1">ROUND(C56*(1-F57),0)</f>
        <v>13</v>
      </c>
      <c r="D57" s="296"/>
      <c r="E57" s="296"/>
      <c r="F57" s="2647">
        <f>F31</f>
        <v>0.8</v>
      </c>
      <c r="G57" s="2646" t="s">
        <v>3322</v>
      </c>
    </row>
    <row r="58" spans="1:7" ht="16.8">
      <c r="A58" s="2512" t="s">
        <v>3474</v>
      </c>
      <c r="B58" s="2645" t="s">
        <v>3475</v>
      </c>
      <c r="C58" s="2534">
        <f ca="1">C56-C57</f>
        <v>52</v>
      </c>
      <c r="D58" s="296"/>
      <c r="E58" s="296"/>
      <c r="F58" s="2647"/>
      <c r="G58" s="2646" t="s">
        <v>3323</v>
      </c>
    </row>
    <row r="59" spans="1:7" ht="15" thickBot="1">
      <c r="A59" s="3991" t="s">
        <v>3376</v>
      </c>
      <c r="B59" s="3992" t="s">
        <v>3319</v>
      </c>
      <c r="C59" s="3993">
        <f ca="1">ROUND(C58*(1+F59),0)</f>
        <v>57</v>
      </c>
      <c r="D59" s="3994"/>
      <c r="E59" s="3994"/>
      <c r="F59" s="3995">
        <f>F33</f>
        <v>0.09</v>
      </c>
      <c r="G59" s="3996" t="s">
        <v>3476</v>
      </c>
    </row>
    <row r="60" spans="1:7" ht="15.6">
      <c r="A60" s="2494"/>
      <c r="B60" s="2495"/>
    </row>
    <row r="62" spans="1:7" ht="21" customHeight="1">
      <c r="B62" s="2564" t="s">
        <v>1501</v>
      </c>
      <c r="C62" s="166"/>
    </row>
    <row r="63" spans="1:7" ht="21" customHeight="1">
      <c r="B63" s="55" t="s">
        <v>787</v>
      </c>
      <c r="C63" s="4062">
        <f ca="1">1-C64</f>
        <v>1.9000000000000017E-2</v>
      </c>
    </row>
    <row r="64" spans="1:7" ht="21" customHeight="1">
      <c r="B64" s="55" t="s">
        <v>788</v>
      </c>
      <c r="C64" s="4063">
        <f ca="1">ROUND(C58/C32,3)</f>
        <v>0.98099999999999998</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2" t="str">
        <f>项目基本情况!B1</f>
        <v>北京市房地产抵押价值预评估</v>
      </c>
      <c r="C37" s="4232"/>
      <c r="D37" s="4232"/>
      <c r="E37" s="4232"/>
      <c r="F37" s="4232"/>
      <c r="G37" s="4232"/>
      <c r="H37" s="4232"/>
      <c r="I37" s="4232"/>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9"/>
      <c r="C1" s="3325"/>
      <c r="D1" s="1342" t="s">
        <v>1502</v>
      </c>
      <c r="E1" s="93"/>
      <c r="F1" s="93"/>
      <c r="G1" s="756">
        <f>MATCH(B1,'数据-取费表'!A6:A16,0)+5</f>
        <v>7</v>
      </c>
      <c r="H1" s="3020" t="str">
        <f>IF(ISERROR(FIND("住宅",B1)),"非住宅","住宅")</f>
        <v>非住宅</v>
      </c>
    </row>
    <row r="2" spans="1:10" s="95" customFormat="1" ht="15.6">
      <c r="A2" s="96" t="s">
        <v>1431</v>
      </c>
      <c r="B2" s="3679">
        <f ca="1">ROUND(D3/10000,4)</f>
        <v>53.4923</v>
      </c>
      <c r="C2" s="94" t="s">
        <v>1432</v>
      </c>
      <c r="D2" s="1336" t="s">
        <v>41</v>
      </c>
      <c r="E2" s="2509">
        <f ca="1">IF(D2="——",0,SUMIF(INDIRECT("'"&amp;G2&amp;"'"&amp;"!A:A"),"承租人权益价值",INDIRECT("'"&amp;G2&amp;"'"&amp;"!c:c")))</f>
        <v>0</v>
      </c>
      <c r="F2" s="1337" t="s">
        <v>1432</v>
      </c>
      <c r="G2" s="1338"/>
    </row>
    <row r="3" spans="1:10" s="95" customFormat="1" ht="16.2" thickBot="1">
      <c r="A3" s="98" t="s">
        <v>672</v>
      </c>
      <c r="B3" s="2523">
        <f ca="1">ROUND(D3/(IF(B1="",'数据-汇总表'!E3,INDIRECT("'数据-取费表'!k"&amp;$G$1))),0)</f>
        <v>4837</v>
      </c>
      <c r="C3" s="94" t="s">
        <v>1434</v>
      </c>
      <c r="D3" s="94">
        <f ca="1">IF(C1="含税",E2+C33,E2+C32)</f>
        <v>534923</v>
      </c>
      <c r="E3" s="2510"/>
      <c r="F3" s="94"/>
      <c r="G3" s="94"/>
    </row>
    <row r="4" spans="1:10" s="95" customFormat="1" ht="16.2" thickBot="1">
      <c r="A4" s="2567" t="s">
        <v>3333</v>
      </c>
      <c r="B4" s="2568" t="s">
        <v>3334</v>
      </c>
      <c r="C4" s="2507" t="s">
        <v>3963</v>
      </c>
      <c r="D4" s="2543" t="s">
        <v>3339</v>
      </c>
      <c r="E4" s="2544" t="s">
        <v>3340</v>
      </c>
      <c r="F4" s="2544" t="s">
        <v>3341</v>
      </c>
      <c r="G4" s="2508" t="s">
        <v>3335</v>
      </c>
    </row>
    <row r="5" spans="1:10" s="103" customFormat="1" ht="15.6">
      <c r="A5" s="2545" t="s">
        <v>3332</v>
      </c>
      <c r="B5" s="2546" t="s">
        <v>3336</v>
      </c>
      <c r="C5" s="2520">
        <f ca="1">ROUND((C6+C9+C21+C24+C25+C28)/(1-F22-C26-C29),0)</f>
        <v>664218</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538242</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453419</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27205</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53084</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22118</v>
      </c>
      <c r="D16" s="2561">
        <f ca="1">IF(B1="",'数据-汇总表'!E6,IF(INDIRECT("'数据-取费表'!c"&amp;$G$1)="住宅",INDIRECT("'数据-取费表'!s"&amp;$G$1),INDIRECT("'数据-取费表'!k"&amp;$G$1)+INDIRECT("'数据-取费表'!s"&amp;$G$1)))</f>
        <v>110.59</v>
      </c>
      <c r="E16" s="2561">
        <f>'数据-取费表'!B28</f>
        <v>200</v>
      </c>
      <c r="F16" s="2553"/>
      <c r="G16" s="121"/>
      <c r="J16" s="95"/>
    </row>
    <row r="17" spans="1:10" s="109" customFormat="1" ht="15">
      <c r="A17" s="2505" t="s">
        <v>3293</v>
      </c>
      <c r="B17" s="2579" t="s">
        <v>3298</v>
      </c>
      <c r="C17" s="2521">
        <f ca="1">IF(G17="已包含在土地取得成本中","0",ROUND(D17*E17,0))</f>
        <v>14377</v>
      </c>
      <c r="D17" s="2562">
        <f ca="1">D15+D16</f>
        <v>110.59</v>
      </c>
      <c r="E17" s="2562">
        <f>'数据-取费表'!B31</f>
        <v>130</v>
      </c>
      <c r="F17" s="2529"/>
      <c r="G17" s="1339"/>
      <c r="J17" s="95"/>
    </row>
    <row r="18" spans="1:10" s="109" customFormat="1" ht="15">
      <c r="A18" s="2580" t="s">
        <v>3294</v>
      </c>
      <c r="B18" s="2579" t="s">
        <v>1474</v>
      </c>
      <c r="C18" s="2521">
        <f ca="1">ROUND(E18*D18*F10,0)</f>
        <v>38707</v>
      </c>
      <c r="D18" s="2521">
        <f ca="1">D17</f>
        <v>110.59</v>
      </c>
      <c r="E18" s="2521">
        <f>'数据-取费表'!B35</f>
        <v>350</v>
      </c>
      <c r="F18" s="2532"/>
      <c r="G18" s="156" t="s">
        <v>1475</v>
      </c>
      <c r="J18" s="95"/>
    </row>
    <row r="19" spans="1:10" s="109" customFormat="1" ht="15">
      <c r="A19" s="2574" t="s">
        <v>352</v>
      </c>
      <c r="B19" s="2575" t="s">
        <v>3330</v>
      </c>
      <c r="C19" s="2521">
        <f ca="1">ROUND(C10*F19,0)</f>
        <v>4534</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10765</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17184+0.0006V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17184</v>
      </c>
      <c r="D25" s="133"/>
      <c r="E25" s="133"/>
      <c r="F25" s="2528"/>
      <c r="G25" s="3914" t="s">
        <v>3820</v>
      </c>
      <c r="J25" s="95"/>
    </row>
    <row r="26" spans="1:10" s="109" customFormat="1" ht="15">
      <c r="A26" s="2581" t="s">
        <v>348</v>
      </c>
      <c r="B26" s="2579" t="s">
        <v>1456</v>
      </c>
      <c r="C26" s="2524">
        <f ca="1">ROUND(IF('数据-取费表'!B22&lt;=1,F22*F23*'数据-取费表'!B23/2,F22*(POWER((1+F23),'数据-取费表'!B23/2)-1)),4)</f>
        <v>5.9999999999999995E-4</v>
      </c>
      <c r="D26" s="133"/>
      <c r="E26" s="136"/>
      <c r="F26" s="2528"/>
      <c r="G26" s="138"/>
      <c r="J26" s="95"/>
    </row>
    <row r="27" spans="1:10" s="2533" customFormat="1" ht="15">
      <c r="A27" s="2512" t="s">
        <v>3350</v>
      </c>
      <c r="B27" s="2573" t="s">
        <v>3301</v>
      </c>
      <c r="C27" s="2540" t="str">
        <f ca="1">C28&amp;"+"&amp;C29&amp;"V"</f>
        <v>82351+0.003V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82351</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6">
      <c r="A31" s="2582">
        <v>2</v>
      </c>
      <c r="B31" s="2583" t="s">
        <v>3303</v>
      </c>
      <c r="C31" s="2525">
        <f ca="1">C57</f>
        <v>129295</v>
      </c>
      <c r="D31" s="2516"/>
      <c r="E31" s="2516"/>
      <c r="F31" s="2530">
        <f>IF('数据-取费表'!B24=0,'数据-取费表'!N16,1)</f>
        <v>0.8</v>
      </c>
      <c r="G31" s="2517" t="s">
        <v>3819</v>
      </c>
      <c r="J31" s="95"/>
    </row>
    <row r="32" spans="1:10" s="109" customFormat="1" ht="15.6">
      <c r="A32" s="2504" t="s">
        <v>3304</v>
      </c>
      <c r="B32" s="2503" t="s">
        <v>3305</v>
      </c>
      <c r="C32" s="2525">
        <f ca="1">C5-C31</f>
        <v>534923</v>
      </c>
      <c r="D32" s="2516"/>
      <c r="E32" s="2516"/>
      <c r="F32" s="2515"/>
      <c r="G32" s="2518" t="s">
        <v>3337</v>
      </c>
      <c r="J32" s="95"/>
    </row>
    <row r="33" spans="1:10" s="109" customFormat="1" ht="16.2" thickBot="1">
      <c r="A33" s="2584">
        <v>4</v>
      </c>
      <c r="B33" s="2585" t="s">
        <v>3338</v>
      </c>
      <c r="C33" s="2526">
        <f ca="1">ROUND(C32*(1+F33),0)</f>
        <v>583066</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 thickBot="1">
      <c r="A38" s="2771" t="s">
        <v>3306</v>
      </c>
      <c r="B38" s="2772"/>
      <c r="C38" s="2772"/>
      <c r="D38" s="2772"/>
      <c r="E38" s="2772"/>
      <c r="F38" s="2772"/>
      <c r="G38" s="2773"/>
    </row>
    <row r="39" spans="1:10" ht="15" thickBot="1">
      <c r="A39" s="4113" t="s">
        <v>3333</v>
      </c>
      <c r="B39" s="2774" t="s">
        <v>3334</v>
      </c>
      <c r="C39" s="2776" t="s">
        <v>3963</v>
      </c>
      <c r="D39" s="2777" t="s">
        <v>3458</v>
      </c>
      <c r="E39" s="2778" t="s">
        <v>3459</v>
      </c>
      <c r="F39" s="2778" t="s">
        <v>3460</v>
      </c>
      <c r="G39" s="2779" t="s">
        <v>3335</v>
      </c>
    </row>
    <row r="40" spans="1:10" ht="14.4">
      <c r="A40" s="2632" t="s">
        <v>3461</v>
      </c>
      <c r="B40" s="4118" t="s">
        <v>3307</v>
      </c>
      <c r="C40" s="2782">
        <f ca="1">SUM(C41:C46)</f>
        <v>523865</v>
      </c>
      <c r="D40" s="2780"/>
      <c r="E40" s="2780"/>
      <c r="F40" s="2780"/>
      <c r="G40" s="3986"/>
    </row>
    <row r="41" spans="1:10" ht="15.6">
      <c r="A41" s="4114" t="s">
        <v>3308</v>
      </c>
      <c r="B41" s="4119" t="str">
        <f t="shared" ref="B41:C43" si="0">B10</f>
        <v xml:space="preserve">  建安费用</v>
      </c>
      <c r="C41" s="2501">
        <f t="shared" ca="1" si="0"/>
        <v>453419</v>
      </c>
      <c r="D41" s="2496"/>
      <c r="E41" s="2496"/>
      <c r="F41" s="2497"/>
      <c r="G41" s="3987"/>
    </row>
    <row r="42" spans="1:10" ht="15.6">
      <c r="A42" s="4114" t="s">
        <v>3309</v>
      </c>
      <c r="B42" s="4119" t="str">
        <f t="shared" si="0"/>
        <v xml:space="preserve">  前期费用</v>
      </c>
      <c r="C42" s="2501">
        <f t="shared" ca="1" si="0"/>
        <v>27205</v>
      </c>
      <c r="D42" s="2496"/>
      <c r="E42" s="2496"/>
      <c r="F42" s="2497"/>
      <c r="G42" s="3987"/>
    </row>
    <row r="43" spans="1:10" ht="15.6">
      <c r="A43" s="4114" t="s">
        <v>3375</v>
      </c>
      <c r="B43" s="4120" t="str">
        <f t="shared" si="0"/>
        <v xml:space="preserve">  公共配套设施费用</v>
      </c>
      <c r="C43" s="2501">
        <f t="shared" ca="1" si="0"/>
        <v>0</v>
      </c>
      <c r="D43" s="2496"/>
      <c r="E43" s="2496"/>
      <c r="F43" s="2497"/>
      <c r="G43" s="3987"/>
    </row>
    <row r="44" spans="1:10" ht="15.6">
      <c r="A44" s="4114" t="s">
        <v>3291</v>
      </c>
      <c r="B44" s="4120" t="str">
        <f>B18</f>
        <v>红线内市政费用</v>
      </c>
      <c r="C44" s="2501">
        <f ca="1">C18</f>
        <v>38707</v>
      </c>
      <c r="D44" s="2496"/>
      <c r="E44" s="2496"/>
      <c r="F44" s="2497"/>
      <c r="G44" s="3987"/>
    </row>
    <row r="45" spans="1:10" ht="15.6">
      <c r="A45" s="4115" t="s">
        <v>3310</v>
      </c>
      <c r="B45" s="4121" t="str">
        <f>B19</f>
        <v xml:space="preserve">  其他工程费</v>
      </c>
      <c r="C45" s="2506">
        <f ca="1">C19</f>
        <v>4534</v>
      </c>
      <c r="D45" s="2629"/>
      <c r="E45" s="2629"/>
      <c r="F45" s="2509"/>
      <c r="G45" s="3988"/>
    </row>
    <row r="46" spans="1:10" ht="15.6">
      <c r="A46" s="4115" t="s">
        <v>3374</v>
      </c>
      <c r="B46" s="4121" t="s">
        <v>3311</v>
      </c>
      <c r="C46" s="2506">
        <f ca="1">C20</f>
        <v>0</v>
      </c>
      <c r="D46" s="2629"/>
      <c r="E46" s="2629"/>
      <c r="F46" s="2509"/>
      <c r="G46" s="3988"/>
    </row>
    <row r="47" spans="1:10" ht="14.4">
      <c r="A47" s="4116" t="s">
        <v>3462</v>
      </c>
      <c r="B47" s="4116" t="s">
        <v>3463</v>
      </c>
      <c r="C47" s="2633">
        <f ca="1">ROUND(C40*F47,0)</f>
        <v>10477</v>
      </c>
      <c r="D47" s="2634"/>
      <c r="E47" s="2634"/>
      <c r="F47" s="2635">
        <f>F21</f>
        <v>0.02</v>
      </c>
      <c r="G47" s="2636" t="s">
        <v>3464</v>
      </c>
    </row>
    <row r="48" spans="1:10" ht="14.4">
      <c r="A48" s="4116" t="s">
        <v>3465</v>
      </c>
      <c r="B48" s="4116" t="s">
        <v>3466</v>
      </c>
      <c r="C48" s="2637" t="str">
        <f>F48&amp;"V建1"</f>
        <v>0.02V建1</v>
      </c>
      <c r="D48" s="2634"/>
      <c r="E48" s="2634"/>
      <c r="F48" s="2635">
        <f>F22</f>
        <v>0.02</v>
      </c>
      <c r="G48" s="2636" t="s">
        <v>3467</v>
      </c>
    </row>
    <row r="49" spans="1:7" ht="14.4">
      <c r="A49" s="4116" t="s">
        <v>3468</v>
      </c>
      <c r="B49" s="4122" t="s">
        <v>3373</v>
      </c>
      <c r="C49" s="2534" t="str">
        <f ca="1">C50&amp;"+"&amp;C51&amp;"V建1"</f>
        <v>16725+0.0006V建1</v>
      </c>
      <c r="D49" s="296"/>
      <c r="E49" s="296"/>
      <c r="F49" s="2639">
        <f ca="1">F23</f>
        <v>3.1300000000000001E-2</v>
      </c>
      <c r="G49" s="3989" t="str">
        <f>IF('数据-取费表'!B22&lt;=1,"单利计息","复利计息")</f>
        <v>复利计息</v>
      </c>
    </row>
    <row r="50" spans="1:7">
      <c r="A50" s="4114" t="s">
        <v>3308</v>
      </c>
      <c r="B50" s="4123" t="s">
        <v>3377</v>
      </c>
      <c r="C50" s="2650">
        <f ca="1">ROUND(IF('数据-取费表'!B22&lt;=1,(C40+C47)*F49*'数据-取费表'!B22/2,(C40+C47)*(POWER((1+F49),'数据-取费表'!B22/2)-1)),0)</f>
        <v>16725</v>
      </c>
      <c r="D50" s="1012"/>
      <c r="E50" s="1012"/>
      <c r="F50" s="995"/>
      <c r="G50" s="4444" t="s">
        <v>3324</v>
      </c>
    </row>
    <row r="51" spans="1:7">
      <c r="A51" s="4114" t="s">
        <v>3309</v>
      </c>
      <c r="B51" s="4120" t="s">
        <v>3314</v>
      </c>
      <c r="C51" s="2651">
        <f ca="1">ROUND(IF('数据-取费表'!B22&lt;=1,F48*F23*'数据-取费表'!B22/2,F48*(POWER((1+F23),'数据-取费表'!B22/2)-1)),4)</f>
        <v>5.9999999999999995E-4</v>
      </c>
      <c r="D51" s="1012"/>
      <c r="E51" s="1012"/>
      <c r="F51" s="995"/>
      <c r="G51" s="4445"/>
    </row>
    <row r="52" spans="1:7" ht="14.4">
      <c r="A52" s="4116" t="s">
        <v>3469</v>
      </c>
      <c r="B52" s="2771" t="s">
        <v>3315</v>
      </c>
      <c r="C52" s="2641" t="str">
        <f ca="1">C53&amp;"+"&amp;C54&amp;"V建1"</f>
        <v>80151+0.003V建1</v>
      </c>
      <c r="D52" s="2642"/>
      <c r="E52" s="2634"/>
      <c r="F52" s="2643">
        <f ca="1">F27</f>
        <v>0.15</v>
      </c>
      <c r="G52" s="2644" t="s">
        <v>3470</v>
      </c>
    </row>
    <row r="53" spans="1:7">
      <c r="A53" s="4114" t="s">
        <v>3308</v>
      </c>
      <c r="B53" s="4123" t="s">
        <v>3316</v>
      </c>
      <c r="C53" s="2501">
        <f ca="1">ROUND((C40+C47)*F27,0)</f>
        <v>80151</v>
      </c>
      <c r="D53" s="2502"/>
      <c r="E53" s="2498"/>
      <c r="F53" s="2499"/>
      <c r="G53" s="2500"/>
    </row>
    <row r="54" spans="1:7">
      <c r="A54" s="4114" t="s">
        <v>3309</v>
      </c>
      <c r="B54" s="4123" t="s">
        <v>3317</v>
      </c>
      <c r="C54" s="2565">
        <f ca="1">ROUND(F48*F27,4)</f>
        <v>3.0000000000000001E-3</v>
      </c>
      <c r="D54" s="2502"/>
      <c r="E54" s="2498"/>
      <c r="F54" s="2499"/>
      <c r="G54" s="2500"/>
    </row>
    <row r="55" spans="1:7" ht="14.4">
      <c r="A55" s="4117" t="s">
        <v>3471</v>
      </c>
      <c r="B55" s="2512" t="s">
        <v>3472</v>
      </c>
      <c r="C55" s="3990">
        <v>0</v>
      </c>
      <c r="D55" s="2538"/>
      <c r="E55" s="296"/>
      <c r="F55" s="2639"/>
      <c r="G55" s="2646" t="s">
        <v>3320</v>
      </c>
    </row>
    <row r="56" spans="1:7" ht="16.8">
      <c r="A56" s="4117" t="s">
        <v>3477</v>
      </c>
      <c r="B56" s="4117" t="s">
        <v>3473</v>
      </c>
      <c r="C56" s="2534">
        <f ca="1">ROUND((C40+C47+C50+C53)/(1-F48-C51-C54),0)</f>
        <v>646475</v>
      </c>
      <c r="D56" s="296"/>
      <c r="E56" s="296"/>
      <c r="F56" s="2647"/>
      <c r="G56" s="2646" t="s">
        <v>3321</v>
      </c>
    </row>
    <row r="57" spans="1:7" ht="14.4">
      <c r="A57" s="4117" t="s">
        <v>3439</v>
      </c>
      <c r="B57" s="4124" t="s">
        <v>3303</v>
      </c>
      <c r="C57" s="2534">
        <f ca="1">ROUND(C56*(1-F57),0)</f>
        <v>129295</v>
      </c>
      <c r="D57" s="296"/>
      <c r="E57" s="296"/>
      <c r="F57" s="2647">
        <f>F31</f>
        <v>0.8</v>
      </c>
      <c r="G57" s="2646" t="s">
        <v>3322</v>
      </c>
    </row>
    <row r="58" spans="1:7" ht="16.8">
      <c r="A58" s="4117" t="s">
        <v>3474</v>
      </c>
      <c r="B58" s="4117" t="s">
        <v>3475</v>
      </c>
      <c r="C58" s="2534">
        <f ca="1">C56-C57</f>
        <v>517180</v>
      </c>
      <c r="D58" s="296"/>
      <c r="E58" s="296"/>
      <c r="F58" s="2647"/>
      <c r="G58" s="2646" t="s">
        <v>3323</v>
      </c>
    </row>
    <row r="59" spans="1:7" ht="15" thickBot="1">
      <c r="A59" s="2645" t="s">
        <v>3376</v>
      </c>
      <c r="B59" s="4125" t="s">
        <v>3319</v>
      </c>
      <c r="C59" s="3993">
        <f ca="1">ROUND(C58*(1+F59),0)</f>
        <v>563726</v>
      </c>
      <c r="D59" s="3994"/>
      <c r="E59" s="3994"/>
      <c r="F59" s="3995">
        <f>F33</f>
        <v>0.09</v>
      </c>
      <c r="G59" s="3996" t="s">
        <v>3476</v>
      </c>
    </row>
    <row r="60" spans="1:7" ht="15.6">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2672.1084999999998</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241623</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20652728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22118</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22118</v>
      </c>
      <c r="D10" s="538">
        <f ca="1">IF(B1="",'数据-汇总表'!E6,IF(INDIRECT("'数据-取费表'!c"&amp;$G$1)="住宅",INDIRECT("'数据-取费表'!s"&amp;$G$1),INDIRECT("'数据-取费表'!k"&amp;$G$1)+INDIRECT("'数据-取费表'!s"&amp;$G$1)))</f>
        <v>110.59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14377</v>
      </c>
      <c r="D19" s="107">
        <f ca="1">D9+D10</f>
        <v>110.59</v>
      </c>
      <c r="E19" s="106">
        <f>'数据-取费表'!B31</f>
        <v>130</v>
      </c>
      <c r="F19" s="126"/>
      <c r="G19" s="1339"/>
    </row>
    <row r="20" spans="1:7" s="109" customFormat="1" ht="13.5" customHeight="1">
      <c r="A20" s="150" t="s">
        <v>1513</v>
      </c>
      <c r="B20" s="105" t="s">
        <v>1514</v>
      </c>
      <c r="C20" s="127">
        <f ca="1">ROUND((C5+C19)*F20,0)</f>
        <v>413342</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1326946</v>
      </c>
      <c r="D22" s="130">
        <f ca="1">C26</f>
        <v>5.9999999999999995E-4</v>
      </c>
      <c r="E22" s="131" t="s">
        <v>1518</v>
      </c>
      <c r="F22" s="132">
        <f ca="1">'数据-取费表'!B41</f>
        <v>3.1300000000000001E-2</v>
      </c>
      <c r="G22" s="129" t="str">
        <f>IF('数据-取费表'!B22&lt;=1,"单利计息","复利计息")</f>
        <v>复利计息</v>
      </c>
    </row>
    <row r="23" spans="1:7" s="109" customFormat="1" ht="13.5" customHeight="1">
      <c r="A23" s="513" t="s">
        <v>1441</v>
      </c>
      <c r="B23" s="110" t="s">
        <v>1522</v>
      </c>
      <c r="C23" s="133">
        <f ca="1">ROUND(IF('数据-取费表'!B22&lt;=1,C5*F22*'数据-取费表'!B22,C5*(POWER((1+F22),'数据-取费表'!B22)-1)),0)</f>
        <v>1313094</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914</v>
      </c>
      <c r="D24" s="133"/>
      <c r="E24" s="133"/>
      <c r="F24" s="134"/>
      <c r="G24" s="135" t="s">
        <v>1525</v>
      </c>
    </row>
    <row r="25" spans="1:7" s="109" customFormat="1" ht="24">
      <c r="A25" s="513" t="s">
        <v>1445</v>
      </c>
      <c r="B25" s="110" t="s">
        <v>1526</v>
      </c>
      <c r="C25" s="133">
        <f ca="1">ROUND(IF('数据-取费表'!B22&lt;=1,C20*F22*'数据-取费表'!B22/2,C20*(POWER((1+F22),'数据-取费表'!B22/2)-1)),0)</f>
        <v>12938</v>
      </c>
      <c r="D25" s="133"/>
      <c r="E25" s="136"/>
      <c r="F25" s="134"/>
      <c r="G25" s="137" t="s">
        <v>1527</v>
      </c>
    </row>
    <row r="26" spans="1:7" s="109" customFormat="1">
      <c r="A26" s="513" t="s">
        <v>348</v>
      </c>
      <c r="B26" s="110" t="s">
        <v>1456</v>
      </c>
      <c r="C26" s="133">
        <f ca="1">ROUND(IF('数据-取费表'!B22&lt;=1,F21*F22*'数据-取费表'!B22/2,F21*(POWER((1+F22),'数据-取费表'!B22/2)-1)),4)</f>
        <v>5.9999999999999995E-4</v>
      </c>
      <c r="D26" s="133"/>
      <c r="E26" s="136"/>
      <c r="F26" s="134"/>
      <c r="G26" s="138"/>
    </row>
    <row r="27" spans="1:7" s="109" customFormat="1" ht="26.4">
      <c r="A27" s="150" t="s">
        <v>1457</v>
      </c>
      <c r="B27" s="139" t="s">
        <v>1458</v>
      </c>
      <c r="C27" s="140">
        <f ca="1">C28</f>
        <v>3162067</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3162067</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26203587</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523865</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453419</v>
      </c>
      <c r="D34" s="112"/>
      <c r="E34" s="115"/>
      <c r="F34" s="152"/>
      <c r="G34" s="114"/>
    </row>
    <row r="35" spans="1:7" ht="13.5" customHeight="1">
      <c r="A35" s="513" t="s">
        <v>349</v>
      </c>
      <c r="B35" s="110" t="s">
        <v>1470</v>
      </c>
      <c r="C35" s="115">
        <f ca="1">ROUND(C34*F35,0)</f>
        <v>27205</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38707</v>
      </c>
      <c r="D37" s="112">
        <f ca="1">D19</f>
        <v>110.59</v>
      </c>
      <c r="E37" s="144">
        <f>'数据-取费表'!B35</f>
        <v>350</v>
      </c>
      <c r="F37" s="154"/>
      <c r="G37" s="156"/>
    </row>
    <row r="38" spans="1:7" ht="13.5" customHeight="1">
      <c r="A38" s="513" t="s">
        <v>352</v>
      </c>
      <c r="B38" s="110" t="s">
        <v>1476</v>
      </c>
      <c r="C38" s="115">
        <f ca="1">ROUND(C34*F38,0)</f>
        <v>4534</v>
      </c>
      <c r="D38" s="115"/>
      <c r="E38" s="115"/>
      <c r="F38" s="154">
        <f>'数据-取费表'!B36</f>
        <v>0.01</v>
      </c>
      <c r="G38" s="114" t="s">
        <v>1471</v>
      </c>
    </row>
    <row r="39" spans="1:7" s="109" customFormat="1" ht="13.5" customHeight="1">
      <c r="A39" s="150" t="s">
        <v>1477</v>
      </c>
      <c r="B39" s="105" t="s">
        <v>1478</v>
      </c>
      <c r="C39" s="127">
        <f ca="1">ROUND(C33*F20,0)</f>
        <v>10477</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16725</v>
      </c>
      <c r="D41" s="130">
        <f ca="1">C44</f>
        <v>5.9999999999999995E-4</v>
      </c>
      <c r="E41" s="131" t="s">
        <v>1482</v>
      </c>
      <c r="F41" s="132">
        <f ca="1">F22</f>
        <v>3.1300000000000001E-2</v>
      </c>
      <c r="G41" s="129" t="str">
        <f>IF('数据-取费表'!B22&lt;=1,"单利计息","复利计息")</f>
        <v>复利计息</v>
      </c>
    </row>
    <row r="42" spans="1:7" ht="13.5" customHeight="1">
      <c r="A42" s="513" t="s">
        <v>344</v>
      </c>
      <c r="B42" s="110" t="s">
        <v>1486</v>
      </c>
      <c r="C42" s="133">
        <f ca="1">ROUND(IF('数据-取费表'!B22&lt;=1,C33*F22*'数据-取费表'!B20/2,C33*(POWER((1+F22),'数据-取费表'!B20/2)-1)),0)</f>
        <v>16397</v>
      </c>
      <c r="D42" s="133"/>
      <c r="E42" s="133"/>
      <c r="F42" s="134"/>
      <c r="G42" s="4444" t="s">
        <v>1530</v>
      </c>
    </row>
    <row r="43" spans="1:7" ht="13.5" customHeight="1">
      <c r="A43" s="513" t="s">
        <v>345</v>
      </c>
      <c r="B43" s="110" t="s">
        <v>1487</v>
      </c>
      <c r="C43" s="133">
        <f ca="1">ROUND(IF('数据-取费表'!B22&lt;=1,C39*F22*'数据-取费表'!B20/2,C39*(POWER((1+F22),'数据-取费表'!B20/2)-1)),0)</f>
        <v>328</v>
      </c>
      <c r="D43" s="133"/>
      <c r="E43" s="133"/>
      <c r="F43" s="134"/>
      <c r="G43" s="4446"/>
    </row>
    <row r="44" spans="1:7" ht="13.5" customHeight="1">
      <c r="A44" s="513" t="s">
        <v>346</v>
      </c>
      <c r="B44" s="110" t="s">
        <v>1488</v>
      </c>
      <c r="C44" s="133">
        <f ca="1">ROUND(IF('数据-取费表'!B22&lt;=1,C40*F22*'数据-取费表'!B20/2,C40*(POWER((1+F22),'数据-取费表'!B20/2)-1)),4)</f>
        <v>5.9999999999999995E-4</v>
      </c>
      <c r="D44" s="133"/>
      <c r="E44" s="133"/>
      <c r="F44" s="134"/>
      <c r="G44" s="4445"/>
    </row>
    <row r="45" spans="1:7" s="109" customFormat="1" ht="13.5" customHeight="1">
      <c r="A45" s="150" t="s">
        <v>1489</v>
      </c>
      <c r="B45" s="139" t="s">
        <v>1458</v>
      </c>
      <c r="C45" s="140">
        <f ca="1">C46</f>
        <v>80151</v>
      </c>
      <c r="D45" s="130">
        <f ca="1">C47</f>
        <v>3.0000000000000001E-3</v>
      </c>
      <c r="E45" s="131" t="s">
        <v>1482</v>
      </c>
      <c r="F45" s="141">
        <f ca="1">F27</f>
        <v>0.15</v>
      </c>
      <c r="G45" s="142" t="s">
        <v>1490</v>
      </c>
    </row>
    <row r="46" spans="1:7" s="109" customFormat="1" ht="13.5" customHeight="1">
      <c r="A46" s="513" t="s">
        <v>344</v>
      </c>
      <c r="B46" s="143" t="s">
        <v>1491</v>
      </c>
      <c r="C46" s="144">
        <f ca="1">ROUND((C33+C39)*F27,0)</f>
        <v>80151</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646872</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517498</v>
      </c>
      <c r="D51" s="127"/>
      <c r="E51" s="127"/>
      <c r="F51" s="159"/>
      <c r="G51" s="129" t="s">
        <v>1499</v>
      </c>
    </row>
    <row r="52" spans="1:7" s="103" customFormat="1" ht="16.8" thickBot="1">
      <c r="A52" s="160" t="s">
        <v>1500</v>
      </c>
      <c r="B52" s="161"/>
      <c r="C52" s="162">
        <f ca="1">C31+C51</f>
        <v>26721085</v>
      </c>
      <c r="D52" s="161"/>
      <c r="E52" s="161"/>
      <c r="F52" s="161"/>
      <c r="G52" s="163"/>
    </row>
    <row r="55" spans="1:7" ht="15">
      <c r="B55" s="165" t="s">
        <v>1501</v>
      </c>
      <c r="C55" s="166"/>
    </row>
    <row r="56" spans="1:7">
      <c r="B56" s="168" t="s">
        <v>787</v>
      </c>
      <c r="C56" s="170">
        <f ca="1">1-C57</f>
        <v>0.98099999999999998</v>
      </c>
    </row>
    <row r="57" spans="1:7">
      <c r="B57" s="168" t="s">
        <v>788</v>
      </c>
      <c r="C57" s="169">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G65" sqref="G6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6" t="s">
        <v>391</v>
      </c>
      <c r="B7" s="4449" t="s">
        <v>3803</v>
      </c>
      <c r="C7" s="4451">
        <f ca="1">ROUND(F6*F7*F8/10000,2)</f>
        <v>0</v>
      </c>
      <c r="D7" s="4452" t="s">
        <v>3479</v>
      </c>
      <c r="E7" s="714" t="s">
        <v>682</v>
      </c>
      <c r="F7" s="2762">
        <f ca="1">IF(INDIRECT("'数据-取费表'!ah"&amp;$G$1)="",INDIRECT("'数据-取费表'!k"&amp;$G$1),INDIRECT("'数据-取费表'!ah"&amp;$G$1))</f>
        <v>0</v>
      </c>
      <c r="G7" s="936"/>
      <c r="H7" s="4456" t="s">
        <v>391</v>
      </c>
      <c r="I7" s="4449" t="s">
        <v>3803</v>
      </c>
      <c r="J7" s="4458">
        <f ca="1">ROUND(M6*M8*M7/10000,2)</f>
        <v>0</v>
      </c>
      <c r="K7" s="4452" t="s">
        <v>3479</v>
      </c>
      <c r="L7" s="186" t="s">
        <v>682</v>
      </c>
      <c r="M7" s="2762">
        <f ca="1">F7</f>
        <v>0</v>
      </c>
    </row>
    <row r="8" spans="1:37" ht="18" customHeight="1">
      <c r="A8" s="4457"/>
      <c r="B8" s="4450"/>
      <c r="C8" s="4451"/>
      <c r="D8" s="4452"/>
      <c r="E8" s="186" t="str">
        <f ca="1">IF(F8=1,"年",IF(F8=12,"月","天"))</f>
        <v>天</v>
      </c>
      <c r="F8" s="3414">
        <f ca="1">INDIRECT("'数据-取费表'!ai"&amp;$G$1)</f>
        <v>0</v>
      </c>
      <c r="G8" s="936"/>
      <c r="H8" s="4457"/>
      <c r="I8" s="4450"/>
      <c r="J8" s="4458"/>
      <c r="K8" s="4452"/>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7">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8"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8"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0.200000000000003"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6.2"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8" thickBot="1">
      <c r="A59" s="3874" t="s">
        <v>3409</v>
      </c>
      <c r="B59" s="4453" t="s">
        <v>3803</v>
      </c>
      <c r="C59" s="4454">
        <f ca="1">ROUND(F58*F60*F59/10000,2)</f>
        <v>0</v>
      </c>
      <c r="D59" s="4452"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8" thickBot="1">
      <c r="A60" s="3875"/>
      <c r="B60" s="4453"/>
      <c r="C60" s="4455"/>
      <c r="D60" s="4452"/>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8"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36.6"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47" t="s">
        <v>822</v>
      </c>
      <c r="L62" s="4448"/>
      <c r="O62" s="4041" t="s">
        <v>403</v>
      </c>
      <c r="P62" s="4045" t="s">
        <v>3928</v>
      </c>
      <c r="Q62" s="4044" t="e">
        <f ca="1">ROUND((Q56+Q57)*(1+F31),0)</f>
        <v>#DIV/0!</v>
      </c>
      <c r="R62" s="4043" t="s">
        <v>3929</v>
      </c>
    </row>
    <row r="63" spans="1:18" s="936" customFormat="1" ht="13.8"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8"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37.200000000000003"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6"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6"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6"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2"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8"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8"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8"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8"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6.2" thickBot="1">
      <c r="A75" s="3872"/>
      <c r="B75" s="632"/>
      <c r="C75" s="3864"/>
      <c r="D75" s="3866"/>
      <c r="E75" s="626" t="s">
        <v>768</v>
      </c>
      <c r="F75" s="2768">
        <f ca="1">F22</f>
        <v>0</v>
      </c>
      <c r="O75" s="4041" t="s">
        <v>398</v>
      </c>
      <c r="P75" s="4042" t="s">
        <v>3925</v>
      </c>
      <c r="Q75" s="4046" t="e">
        <f ca="1">L69</f>
        <v>#DIV/0!</v>
      </c>
      <c r="R75" s="4043" t="s">
        <v>3927</v>
      </c>
    </row>
    <row r="76" spans="1:18" s="936" customFormat="1" ht="13.8" thickBot="1">
      <c r="A76" s="3871" t="s">
        <v>777</v>
      </c>
      <c r="B76" s="625" t="s">
        <v>727</v>
      </c>
      <c r="C76" s="3863">
        <f ca="1">ROUND(F76*F77,2)</f>
        <v>0</v>
      </c>
      <c r="D76" s="3865" t="s">
        <v>3448</v>
      </c>
      <c r="E76" s="3878" t="s">
        <v>3811</v>
      </c>
      <c r="F76" s="3880">
        <f ca="1">C53</f>
        <v>0</v>
      </c>
      <c r="O76" s="968"/>
      <c r="P76" s="969"/>
      <c r="Q76" s="3430"/>
      <c r="R76" s="970"/>
    </row>
    <row r="77" spans="1:18" s="936" customFormat="1" ht="17.399999999999999" thickBot="1">
      <c r="A77" s="3873"/>
      <c r="B77" s="632"/>
      <c r="C77" s="3864"/>
      <c r="D77" s="3866"/>
      <c r="E77" s="626" t="s">
        <v>729</v>
      </c>
      <c r="F77" s="2768">
        <f ca="1">F24</f>
        <v>0</v>
      </c>
      <c r="O77" s="977" t="s">
        <v>399</v>
      </c>
      <c r="P77" s="969" t="s">
        <v>834</v>
      </c>
      <c r="Q77" s="3434">
        <f ca="1">L60</f>
        <v>0</v>
      </c>
      <c r="R77" s="970" t="s">
        <v>854</v>
      </c>
    </row>
    <row r="78" spans="1:18" s="936" customFormat="1" ht="13.8" thickBot="1">
      <c r="A78" s="3873" t="s">
        <v>778</v>
      </c>
      <c r="B78" s="626" t="s">
        <v>713</v>
      </c>
      <c r="C78" s="4090">
        <f ca="1">ROUND(C57*F78,2)</f>
        <v>0</v>
      </c>
      <c r="D78" s="640" t="s">
        <v>3877</v>
      </c>
      <c r="E78" s="626" t="s">
        <v>697</v>
      </c>
      <c r="F78" s="2768">
        <f ca="1">F26</f>
        <v>0</v>
      </c>
      <c r="O78" s="977"/>
      <c r="P78" s="969"/>
      <c r="Q78" s="3434"/>
      <c r="R78" s="970"/>
    </row>
    <row r="79" spans="1:18" s="936" customFormat="1" ht="24.6"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8"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8" thickBot="1">
      <c r="A81" s="3203"/>
      <c r="B81" s="628"/>
      <c r="C81" s="4096"/>
      <c r="D81" s="4033" t="s">
        <v>3907</v>
      </c>
      <c r="E81" s="634" t="s">
        <v>3906</v>
      </c>
      <c r="F81" s="2769">
        <f ca="1">F29</f>
        <v>0</v>
      </c>
      <c r="O81" s="977" t="s">
        <v>406</v>
      </c>
      <c r="P81" s="1015" t="s">
        <v>857</v>
      </c>
      <c r="Q81" s="3434">
        <f ca="1">C52</f>
        <v>0</v>
      </c>
      <c r="R81" s="970" t="s">
        <v>803</v>
      </c>
    </row>
    <row r="82" spans="1:18" s="936" customFormat="1" ht="13.8" thickBot="1">
      <c r="A82" s="3204"/>
      <c r="B82" s="2784"/>
      <c r="C82" s="2784"/>
      <c r="D82" s="4034"/>
      <c r="E82" s="634" t="s">
        <v>3908</v>
      </c>
      <c r="F82" s="2763"/>
      <c r="O82" s="977" t="s">
        <v>407</v>
      </c>
      <c r="P82" s="1015" t="s">
        <v>858</v>
      </c>
      <c r="Q82" s="3431">
        <f ca="1">C88</f>
        <v>0</v>
      </c>
      <c r="R82" s="970"/>
    </row>
    <row r="83" spans="1:18" s="936" customFormat="1" ht="13.8"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2"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8" thickBot="1">
      <c r="A85" s="936"/>
      <c r="B85" s="494"/>
      <c r="C85" s="494"/>
      <c r="D85" s="936"/>
      <c r="E85" s="936"/>
      <c r="F85" s="936"/>
      <c r="O85" s="977" t="s">
        <v>409</v>
      </c>
      <c r="P85" s="969" t="str">
        <f>K68</f>
        <v>建筑物剩余耐用年限下的土地年期修正系数Kn</v>
      </c>
      <c r="Q85" s="4047" t="e">
        <f ca="1">L68</f>
        <v>#DIV/0!</v>
      </c>
      <c r="R85" s="970" t="s">
        <v>841</v>
      </c>
    </row>
    <row r="86" spans="1:18" ht="25.8"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37" zoomScaleNormal="70" zoomScaleSheetLayoutView="100" workbookViewId="0">
      <selection activeCell="C27" sqref="C27"/>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2" t="s">
        <v>1720</v>
      </c>
      <c r="C1" s="813" t="s">
        <v>1572</v>
      </c>
      <c r="D1" s="814" t="s">
        <v>19</v>
      </c>
      <c r="E1" s="2475" t="s">
        <v>4041</v>
      </c>
      <c r="F1" s="1354" t="s">
        <v>4042</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240.5111</v>
      </c>
      <c r="C2" s="2785" t="s">
        <v>4036</v>
      </c>
      <c r="D2" s="229">
        <f>IF(E1="项目模式",IF(E2="——",ROUND(C50*D3/10000,0),ROUND(C50*D3/10000,0)-F2),IF(E1="单套模式",IF(E2="——",ROUND(C50*D3/10000,4),ROUND(C50*D3/10000,4)-F2)))</f>
        <v>240.5111</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21748</v>
      </c>
      <c r="C3" s="234" t="s">
        <v>1678</v>
      </c>
      <c r="D3" s="2881">
        <f>IF(D1="",'数据-汇总表'!E3,SUMIF('数据-汇总表'!$C19:$C33,D1,'数据-汇总表'!$E19:$E33))</f>
        <v>110.59</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4.4">
      <c r="A4" s="235" t="s">
        <v>1679</v>
      </c>
      <c r="B4" s="236"/>
      <c r="C4" s="4479" t="s">
        <v>1680</v>
      </c>
      <c r="D4" s="4480"/>
      <c r="E4" s="4481" t="s">
        <v>1681</v>
      </c>
      <c r="F4" s="4482"/>
      <c r="G4" s="4479" t="s">
        <v>1682</v>
      </c>
      <c r="H4" s="4480"/>
      <c r="I4" s="4479" t="s">
        <v>1683</v>
      </c>
      <c r="J4" s="4480"/>
      <c r="K4" s="393" t="s">
        <v>1684</v>
      </c>
      <c r="L4" s="1974"/>
      <c r="M4" s="1975"/>
      <c r="N4" s="1975"/>
      <c r="O4" s="1975"/>
      <c r="P4" s="4483" t="s">
        <v>1685</v>
      </c>
      <c r="Q4" s="4484"/>
      <c r="R4" s="4464" t="s">
        <v>1681</v>
      </c>
      <c r="S4" s="4465"/>
      <c r="T4" s="4464" t="s">
        <v>1682</v>
      </c>
      <c r="U4" s="4465"/>
      <c r="V4" s="4491" t="s">
        <v>1683</v>
      </c>
      <c r="W4" s="4491"/>
      <c r="X4" s="1413"/>
      <c r="Y4" s="4495" t="s">
        <v>1685</v>
      </c>
      <c r="Z4" s="4496"/>
      <c r="AA4" s="4459" t="s">
        <v>1681</v>
      </c>
      <c r="AB4" s="4459" t="s">
        <v>1682</v>
      </c>
      <c r="AC4" s="4476" t="s">
        <v>1683</v>
      </c>
    </row>
    <row r="5" spans="1:29">
      <c r="A5" s="238"/>
      <c r="B5" s="239"/>
      <c r="C5" s="4468" t="s">
        <v>4043</v>
      </c>
      <c r="D5" s="4469"/>
      <c r="E5" s="4468" t="s">
        <v>4043</v>
      </c>
      <c r="F5" s="4469"/>
      <c r="G5" s="4468" t="s">
        <v>4043</v>
      </c>
      <c r="H5" s="4469"/>
      <c r="I5" s="4468" t="s">
        <v>4043</v>
      </c>
      <c r="J5" s="4469"/>
      <c r="K5" s="393"/>
      <c r="L5" s="1974"/>
      <c r="M5" s="1975"/>
      <c r="N5" s="1975"/>
      <c r="O5" s="1975"/>
      <c r="P5" s="4485"/>
      <c r="Q5" s="4486"/>
      <c r="R5" s="4466"/>
      <c r="S5" s="4467"/>
      <c r="T5" s="4466"/>
      <c r="U5" s="4467"/>
      <c r="V5" s="4492"/>
      <c r="W5" s="4492"/>
      <c r="X5" s="910"/>
      <c r="Y5" s="4497"/>
      <c r="Z5" s="4498"/>
      <c r="AA5" s="4460"/>
      <c r="AB5" s="4460"/>
      <c r="AC5" s="4477"/>
    </row>
    <row r="6" spans="1:29" ht="15" thickBot="1">
      <c r="A6" s="240"/>
      <c r="B6" s="241"/>
      <c r="C6" s="4470" t="s">
        <v>1587</v>
      </c>
      <c r="D6" s="4471"/>
      <c r="E6" s="4472" t="s">
        <v>1587</v>
      </c>
      <c r="F6" s="4473"/>
      <c r="G6" s="4470" t="s">
        <v>1587</v>
      </c>
      <c r="H6" s="4471"/>
      <c r="I6" s="4470" t="s">
        <v>1587</v>
      </c>
      <c r="J6" s="4471"/>
      <c r="K6" s="393" t="s">
        <v>1588</v>
      </c>
      <c r="L6" s="1974"/>
      <c r="M6" s="1975"/>
      <c r="N6" s="1975"/>
      <c r="O6" s="1975"/>
      <c r="P6" s="4487"/>
      <c r="Q6" s="4488"/>
      <c r="R6" s="4466"/>
      <c r="S6" s="4467"/>
      <c r="T6" s="4489"/>
      <c r="U6" s="4490"/>
      <c r="V6" s="4492"/>
      <c r="W6" s="4492"/>
      <c r="X6" s="910"/>
      <c r="Y6" s="4499"/>
      <c r="Z6" s="4500"/>
      <c r="AA6" s="4461"/>
      <c r="AB6" s="4461"/>
      <c r="AC6" s="4478"/>
    </row>
    <row r="7" spans="1:29" s="46" customFormat="1" ht="1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493" t="s">
        <v>1590</v>
      </c>
      <c r="Q7" s="4501"/>
      <c r="R7" s="3637" t="s">
        <v>13</v>
      </c>
      <c r="S7" s="3157">
        <f t="shared" ref="S7:S15" si="0">F7</f>
        <v>100</v>
      </c>
      <c r="T7" s="3637" t="s">
        <v>13</v>
      </c>
      <c r="U7" s="3157">
        <f t="shared" ref="U7:U15" si="1">H7</f>
        <v>100</v>
      </c>
      <c r="V7" s="3637" t="s">
        <v>13</v>
      </c>
      <c r="W7" s="3157">
        <f t="shared" ref="W7:W15" si="2">J7</f>
        <v>100</v>
      </c>
      <c r="X7" s="482"/>
      <c r="Y7" s="4462" t="s">
        <v>1590</v>
      </c>
      <c r="Z7" s="4463"/>
      <c r="AA7" s="28">
        <f>D7/F7</f>
        <v>1</v>
      </c>
      <c r="AB7" s="28">
        <f>D7/H7</f>
        <v>1</v>
      </c>
      <c r="AC7" s="545">
        <f>D7/J7</f>
        <v>1</v>
      </c>
    </row>
    <row r="8" spans="1:29" s="46" customFormat="1" ht="15" thickBot="1">
      <c r="A8" s="242" t="s">
        <v>1591</v>
      </c>
      <c r="B8" s="243"/>
      <c r="C8" s="246" t="s">
        <v>4035</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493" t="s">
        <v>1593</v>
      </c>
      <c r="Q8" s="4494"/>
      <c r="R8" s="3637" t="s">
        <v>13</v>
      </c>
      <c r="S8" s="3157">
        <f t="shared" si="0"/>
        <v>102</v>
      </c>
      <c r="T8" s="3637" t="s">
        <v>13</v>
      </c>
      <c r="U8" s="3157">
        <f t="shared" si="1"/>
        <v>102</v>
      </c>
      <c r="V8" s="3637" t="s">
        <v>13</v>
      </c>
      <c r="W8" s="3157">
        <f t="shared" si="2"/>
        <v>102</v>
      </c>
      <c r="X8" s="482"/>
      <c r="Y8" s="4462" t="s">
        <v>1593</v>
      </c>
      <c r="Z8" s="4463"/>
      <c r="AA8" s="28">
        <f t="shared" ref="AA8:AA47" si="3">D8/F8</f>
        <v>0.98039215686274506</v>
      </c>
      <c r="AB8" s="28">
        <f t="shared" ref="AB8:AB47" si="4">D8/H8</f>
        <v>0.98039215686274506</v>
      </c>
      <c r="AC8" s="545">
        <f t="shared" ref="AC8:AC47" si="5">D8/J8</f>
        <v>0.98039215686274506</v>
      </c>
    </row>
    <row r="9" spans="1:29" s="46" customFormat="1" ht="14.4">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74" t="s">
        <v>1596</v>
      </c>
      <c r="Q9" s="1698" t="str">
        <f t="shared" ref="Q9:Q15" si="6">B9</f>
        <v>用途</v>
      </c>
      <c r="R9" s="3637" t="s">
        <v>13</v>
      </c>
      <c r="S9" s="3157">
        <f t="shared" si="0"/>
        <v>100</v>
      </c>
      <c r="T9" s="3637" t="s">
        <v>13</v>
      </c>
      <c r="U9" s="3157">
        <f t="shared" si="1"/>
        <v>100</v>
      </c>
      <c r="V9" s="3637" t="s">
        <v>13</v>
      </c>
      <c r="W9" s="3157">
        <f t="shared" si="2"/>
        <v>100</v>
      </c>
      <c r="X9" s="482"/>
      <c r="Y9" s="4475" t="s">
        <v>1597</v>
      </c>
      <c r="Z9" s="28" t="str">
        <f t="shared" ref="Z9:Z15" si="7">Q9</f>
        <v>用途</v>
      </c>
      <c r="AA9" s="28">
        <f t="shared" si="3"/>
        <v>1</v>
      </c>
      <c r="AB9" s="28">
        <f t="shared" si="4"/>
        <v>1</v>
      </c>
      <c r="AC9" s="545">
        <f t="shared" si="5"/>
        <v>1</v>
      </c>
    </row>
    <row r="10" spans="1:29" s="253" customFormat="1" ht="28.8">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74"/>
      <c r="Q10" s="1698" t="str">
        <f t="shared" si="6"/>
        <v>土地使用年限（年）</v>
      </c>
      <c r="R10" s="3637" t="s">
        <v>13</v>
      </c>
      <c r="S10" s="3157">
        <f t="shared" si="0"/>
        <v>100</v>
      </c>
      <c r="T10" s="3637" t="s">
        <v>13</v>
      </c>
      <c r="U10" s="3157">
        <f t="shared" si="1"/>
        <v>100</v>
      </c>
      <c r="V10" s="3637" t="s">
        <v>13</v>
      </c>
      <c r="W10" s="3157">
        <f t="shared" si="2"/>
        <v>100</v>
      </c>
      <c r="X10" s="482"/>
      <c r="Y10" s="4475"/>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74"/>
      <c r="Q11" s="1698" t="str">
        <f t="shared" si="6"/>
        <v>容积率</v>
      </c>
      <c r="R11" s="3637" t="s">
        <v>13</v>
      </c>
      <c r="S11" s="3157">
        <f t="shared" si="0"/>
        <v>100</v>
      </c>
      <c r="T11" s="3637" t="s">
        <v>13</v>
      </c>
      <c r="U11" s="3157">
        <f t="shared" si="1"/>
        <v>100</v>
      </c>
      <c r="V11" s="3637" t="s">
        <v>13</v>
      </c>
      <c r="W11" s="3157">
        <f t="shared" si="2"/>
        <v>100</v>
      </c>
      <c r="X11" s="482"/>
      <c r="Y11" s="4475"/>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74"/>
      <c r="Q12" s="1698">
        <f t="shared" si="6"/>
        <v>111</v>
      </c>
      <c r="R12" s="3637" t="s">
        <v>13</v>
      </c>
      <c r="S12" s="3157">
        <f t="shared" si="0"/>
        <v>100</v>
      </c>
      <c r="T12" s="3637" t="s">
        <v>13</v>
      </c>
      <c r="U12" s="3157">
        <f t="shared" si="1"/>
        <v>100</v>
      </c>
      <c r="V12" s="3637" t="s">
        <v>13</v>
      </c>
      <c r="W12" s="3157">
        <f t="shared" si="2"/>
        <v>100</v>
      </c>
      <c r="X12" s="482"/>
      <c r="Y12" s="4475"/>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74"/>
      <c r="Q13" s="1698">
        <f t="shared" si="6"/>
        <v>111</v>
      </c>
      <c r="R13" s="3637" t="s">
        <v>13</v>
      </c>
      <c r="S13" s="3157">
        <f t="shared" si="0"/>
        <v>100</v>
      </c>
      <c r="T13" s="3637" t="s">
        <v>13</v>
      </c>
      <c r="U13" s="3157">
        <f t="shared" si="1"/>
        <v>100</v>
      </c>
      <c r="V13" s="3637" t="s">
        <v>13</v>
      </c>
      <c r="W13" s="3157">
        <f t="shared" si="2"/>
        <v>100</v>
      </c>
      <c r="X13" s="482"/>
      <c r="Y13" s="4475"/>
      <c r="Z13" s="28">
        <f t="shared" si="7"/>
        <v>111</v>
      </c>
      <c r="AA13" s="28">
        <f t="shared" si="3"/>
        <v>1</v>
      </c>
      <c r="AB13" s="28">
        <f t="shared" si="4"/>
        <v>1</v>
      </c>
      <c r="AC13" s="545">
        <f t="shared" si="5"/>
        <v>1</v>
      </c>
    </row>
    <row r="14" spans="1:29" ht="15.6"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74"/>
      <c r="Q14" s="1698">
        <f t="shared" si="6"/>
        <v>111</v>
      </c>
      <c r="R14" s="3637" t="s">
        <v>13</v>
      </c>
      <c r="S14" s="3157">
        <f t="shared" si="0"/>
        <v>100</v>
      </c>
      <c r="T14" s="3637" t="s">
        <v>13</v>
      </c>
      <c r="U14" s="3157">
        <f t="shared" si="1"/>
        <v>100</v>
      </c>
      <c r="V14" s="3637" t="s">
        <v>13</v>
      </c>
      <c r="W14" s="3157">
        <f t="shared" si="2"/>
        <v>100</v>
      </c>
      <c r="X14" s="482"/>
      <c r="Y14" s="4475"/>
      <c r="Z14" s="28">
        <f t="shared" si="7"/>
        <v>111</v>
      </c>
      <c r="AA14" s="28">
        <f t="shared" si="3"/>
        <v>1</v>
      </c>
      <c r="AB14" s="28">
        <f t="shared" si="4"/>
        <v>1</v>
      </c>
      <c r="AC14" s="545">
        <f t="shared" si="5"/>
        <v>1</v>
      </c>
    </row>
    <row r="15" spans="1:29" ht="69">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502" t="s">
        <v>1601</v>
      </c>
      <c r="Q15" s="1507" t="str">
        <f t="shared" si="6"/>
        <v>办公集聚程度</v>
      </c>
      <c r="R15" s="3739" t="s">
        <v>13</v>
      </c>
      <c r="S15" s="3158">
        <f t="shared" si="0"/>
        <v>100</v>
      </c>
      <c r="T15" s="3739" t="s">
        <v>13</v>
      </c>
      <c r="U15" s="3158">
        <f t="shared" si="1"/>
        <v>100</v>
      </c>
      <c r="V15" s="3739" t="s">
        <v>13</v>
      </c>
      <c r="W15" s="3158">
        <f t="shared" si="2"/>
        <v>100</v>
      </c>
      <c r="X15" s="910"/>
      <c r="Y15" s="4504"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503"/>
      <c r="Q16" s="1507"/>
      <c r="R16" s="3739"/>
      <c r="S16" s="3158"/>
      <c r="T16" s="3739"/>
      <c r="U16" s="3158"/>
      <c r="V16" s="3739"/>
      <c r="W16" s="3158"/>
      <c r="X16" s="910"/>
      <c r="Y16" s="4505"/>
      <c r="Z16" s="908"/>
      <c r="AA16" s="908">
        <v>1</v>
      </c>
      <c r="AB16" s="908">
        <v>1</v>
      </c>
      <c r="AC16" s="1416">
        <v>1</v>
      </c>
    </row>
    <row r="17" spans="1:29" ht="82.8">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503"/>
      <c r="Q17" s="1507" t="str">
        <f>B17</f>
        <v>交通便捷度</v>
      </c>
      <c r="R17" s="3739" t="s">
        <v>13</v>
      </c>
      <c r="S17" s="3158">
        <f>F17</f>
        <v>100</v>
      </c>
      <c r="T17" s="3739" t="s">
        <v>13</v>
      </c>
      <c r="U17" s="3158">
        <f>H17</f>
        <v>100</v>
      </c>
      <c r="V17" s="3739" t="s">
        <v>13</v>
      </c>
      <c r="W17" s="3158">
        <f>J17</f>
        <v>100</v>
      </c>
      <c r="X17" s="910"/>
      <c r="Y17" s="4505"/>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503"/>
      <c r="Q18" s="1507"/>
      <c r="R18" s="3739"/>
      <c r="S18" s="3158"/>
      <c r="T18" s="3739"/>
      <c r="U18" s="3158"/>
      <c r="V18" s="3739"/>
      <c r="W18" s="3158"/>
      <c r="X18" s="910"/>
      <c r="Y18" s="4505"/>
      <c r="Z18" s="908"/>
      <c r="AA18" s="908">
        <v>1</v>
      </c>
      <c r="AB18" s="908">
        <v>1</v>
      </c>
      <c r="AC18" s="1416">
        <v>1</v>
      </c>
    </row>
    <row r="19" spans="1:29" ht="41.4">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503"/>
      <c r="Q19" s="1507" t="str">
        <f>B19</f>
        <v>公共配套设施</v>
      </c>
      <c r="R19" s="3739" t="s">
        <v>13</v>
      </c>
      <c r="S19" s="3158">
        <f>F19</f>
        <v>100</v>
      </c>
      <c r="T19" s="3739" t="s">
        <v>13</v>
      </c>
      <c r="U19" s="3158">
        <f>H19</f>
        <v>100</v>
      </c>
      <c r="V19" s="3739" t="s">
        <v>13</v>
      </c>
      <c r="W19" s="3158">
        <f>J19</f>
        <v>100</v>
      </c>
      <c r="X19" s="910"/>
      <c r="Y19" s="4505"/>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503"/>
      <c r="Q20" s="1507"/>
      <c r="R20" s="3739"/>
      <c r="S20" s="3158"/>
      <c r="T20" s="3739"/>
      <c r="U20" s="3158"/>
      <c r="V20" s="3739"/>
      <c r="W20" s="3158"/>
      <c r="X20" s="910"/>
      <c r="Y20" s="4505"/>
      <c r="Z20" s="908"/>
      <c r="AA20" s="908">
        <v>1</v>
      </c>
      <c r="AB20" s="908">
        <v>1</v>
      </c>
      <c r="AC20" s="1416">
        <v>1</v>
      </c>
    </row>
    <row r="21" spans="1:29" ht="27.6">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503"/>
      <c r="Q21" s="1507" t="str">
        <f>B21</f>
        <v>基础设施水平</v>
      </c>
      <c r="R21" s="3739" t="s">
        <v>13</v>
      </c>
      <c r="S21" s="3158">
        <f>F21</f>
        <v>100</v>
      </c>
      <c r="T21" s="3739" t="s">
        <v>13</v>
      </c>
      <c r="U21" s="3158">
        <f>H21</f>
        <v>100</v>
      </c>
      <c r="V21" s="3739" t="s">
        <v>13</v>
      </c>
      <c r="W21" s="3158">
        <f>J21</f>
        <v>100</v>
      </c>
      <c r="X21" s="910"/>
      <c r="Y21" s="4505"/>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503"/>
      <c r="Q22" s="1507"/>
      <c r="R22" s="3739"/>
      <c r="S22" s="3158"/>
      <c r="T22" s="3739"/>
      <c r="U22" s="3158"/>
      <c r="V22" s="3739"/>
      <c r="W22" s="3158"/>
      <c r="X22" s="910"/>
      <c r="Y22" s="4505"/>
      <c r="Z22" s="908"/>
      <c r="AA22" s="908">
        <v>1</v>
      </c>
      <c r="AB22" s="908">
        <v>1</v>
      </c>
      <c r="AC22" s="1416">
        <v>1</v>
      </c>
    </row>
    <row r="23" spans="1:29" ht="55.2">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03"/>
      <c r="Q23" s="1507" t="str">
        <f>B23</f>
        <v>环境质量</v>
      </c>
      <c r="R23" s="3739" t="s">
        <v>13</v>
      </c>
      <c r="S23" s="3158">
        <f>F23</f>
        <v>100</v>
      </c>
      <c r="T23" s="3739" t="s">
        <v>13</v>
      </c>
      <c r="U23" s="3158">
        <f>H23</f>
        <v>100</v>
      </c>
      <c r="V23" s="3739" t="s">
        <v>13</v>
      </c>
      <c r="W23" s="3158">
        <f>J23</f>
        <v>100</v>
      </c>
      <c r="X23" s="910"/>
      <c r="Y23" s="4505"/>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503"/>
      <c r="Q24" s="1507"/>
      <c r="R24" s="3739"/>
      <c r="S24" s="3158"/>
      <c r="T24" s="3739"/>
      <c r="U24" s="3158"/>
      <c r="V24" s="3739"/>
      <c r="W24" s="3158"/>
      <c r="X24" s="910"/>
      <c r="Y24" s="4505"/>
      <c r="Z24" s="908"/>
      <c r="AA24" s="908">
        <v>1</v>
      </c>
      <c r="AB24" s="908">
        <v>1</v>
      </c>
      <c r="AC24" s="1416">
        <v>1</v>
      </c>
    </row>
    <row r="25" spans="1:29" ht="28.8">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503"/>
      <c r="Q25" s="1507" t="str">
        <f>B25</f>
        <v>毗邻道路的类型与等级</v>
      </c>
      <c r="R25" s="3739" t="s">
        <v>13</v>
      </c>
      <c r="S25" s="3158">
        <f>F25</f>
        <v>100</v>
      </c>
      <c r="T25" s="3739" t="s">
        <v>13</v>
      </c>
      <c r="U25" s="3158">
        <f>H25</f>
        <v>100</v>
      </c>
      <c r="V25" s="3739" t="s">
        <v>13</v>
      </c>
      <c r="W25" s="3158">
        <f>J25</f>
        <v>100</v>
      </c>
      <c r="X25" s="910"/>
      <c r="Y25" s="4505"/>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503"/>
      <c r="Q26" s="1507"/>
      <c r="R26" s="3739"/>
      <c r="S26" s="3158"/>
      <c r="T26" s="3739"/>
      <c r="U26" s="3158"/>
      <c r="V26" s="3739"/>
      <c r="W26" s="3158"/>
      <c r="X26" s="910"/>
      <c r="Y26" s="4505"/>
      <c r="Z26" s="908"/>
      <c r="AA26" s="908">
        <v>1</v>
      </c>
      <c r="AB26" s="908">
        <v>1</v>
      </c>
      <c r="AC26" s="1416">
        <v>1</v>
      </c>
    </row>
    <row r="27" spans="1:29" ht="15">
      <c r="A27" s="254"/>
      <c r="B27" s="406" t="s">
        <v>1693</v>
      </c>
      <c r="C27" s="408" t="s">
        <v>4018</v>
      </c>
      <c r="D27" s="2903">
        <v>100</v>
      </c>
      <c r="E27" s="398" t="s">
        <v>4018</v>
      </c>
      <c r="F27" s="3755">
        <f>SUMIF(89:89,E27,90:90)-SUMIF(89:89,C27,90:90)+100</f>
        <v>100</v>
      </c>
      <c r="G27" s="408" t="s">
        <v>4016</v>
      </c>
      <c r="H27" s="3755">
        <f>SUMIF(89:89,G27,90:90)-SUMIF(89:89,C27,90:90)+100</f>
        <v>102</v>
      </c>
      <c r="I27" s="398" t="s">
        <v>4018</v>
      </c>
      <c r="J27" s="3755">
        <f>SUMIF(89:89,I27,90:90)-SUMIF(89:89,C27,90:90)+100</f>
        <v>100</v>
      </c>
      <c r="K27" s="394">
        <v>2</v>
      </c>
      <c r="L27" s="1980"/>
      <c r="M27" s="1975"/>
      <c r="N27" s="1975"/>
      <c r="O27" s="1975"/>
      <c r="P27" s="4503"/>
      <c r="Q27" s="1507" t="str">
        <f t="shared" ref="Q27:Q47" si="11">B27</f>
        <v>楼层</v>
      </c>
      <c r="R27" s="3739" t="s">
        <v>13</v>
      </c>
      <c r="S27" s="3158">
        <f>F27</f>
        <v>100</v>
      </c>
      <c r="T27" s="3739" t="s">
        <v>13</v>
      </c>
      <c r="U27" s="3158">
        <f>H27</f>
        <v>102</v>
      </c>
      <c r="V27" s="3739" t="s">
        <v>13</v>
      </c>
      <c r="W27" s="3158">
        <f>J27</f>
        <v>100</v>
      </c>
      <c r="X27" s="910"/>
      <c r="Y27" s="4505"/>
      <c r="Z27" s="908" t="str">
        <f>Q27</f>
        <v>楼层</v>
      </c>
      <c r="AA27" s="908">
        <f t="shared" si="3"/>
        <v>1</v>
      </c>
      <c r="AB27" s="908">
        <f t="shared" si="4"/>
        <v>0.98039215686274506</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03"/>
      <c r="Q28" s="1698" t="str">
        <f t="shared" si="11"/>
        <v>朝向</v>
      </c>
      <c r="R28" s="3637" t="s">
        <v>13</v>
      </c>
      <c r="S28" s="3157">
        <f>F28</f>
        <v>100</v>
      </c>
      <c r="T28" s="3637" t="s">
        <v>13</v>
      </c>
      <c r="U28" s="3157">
        <f>H28</f>
        <v>100</v>
      </c>
      <c r="V28" s="3637" t="s">
        <v>13</v>
      </c>
      <c r="W28" s="3157">
        <f>J28</f>
        <v>100</v>
      </c>
      <c r="X28" s="482"/>
      <c r="Y28" s="4505"/>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503"/>
      <c r="Q29" s="1507">
        <f t="shared" si="11"/>
        <v>111</v>
      </c>
      <c r="R29" s="3739" t="s">
        <v>13</v>
      </c>
      <c r="S29" s="3158">
        <f t="shared" ref="S29:S47" si="12">F29</f>
        <v>100</v>
      </c>
      <c r="T29" s="3739" t="s">
        <v>13</v>
      </c>
      <c r="U29" s="3158">
        <f t="shared" ref="U29:U47" si="13">H29</f>
        <v>100</v>
      </c>
      <c r="V29" s="3739" t="s">
        <v>13</v>
      </c>
      <c r="W29" s="3158">
        <f t="shared" ref="W29:W47" si="14">J29</f>
        <v>100</v>
      </c>
      <c r="X29" s="910"/>
      <c r="Y29" s="4505"/>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503"/>
      <c r="Q30" s="1507">
        <f t="shared" si="11"/>
        <v>111</v>
      </c>
      <c r="R30" s="3739" t="s">
        <v>13</v>
      </c>
      <c r="S30" s="3158">
        <f t="shared" si="12"/>
        <v>100</v>
      </c>
      <c r="T30" s="3739" t="s">
        <v>13</v>
      </c>
      <c r="U30" s="3158">
        <f t="shared" si="13"/>
        <v>100</v>
      </c>
      <c r="V30" s="3739" t="s">
        <v>13</v>
      </c>
      <c r="W30" s="3158">
        <f t="shared" si="14"/>
        <v>100</v>
      </c>
      <c r="X30" s="910"/>
      <c r="Y30" s="4505"/>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503"/>
      <c r="Q31" s="1507">
        <f t="shared" si="11"/>
        <v>111</v>
      </c>
      <c r="R31" s="3739" t="s">
        <v>13</v>
      </c>
      <c r="S31" s="3158">
        <f t="shared" si="12"/>
        <v>100</v>
      </c>
      <c r="T31" s="3739" t="s">
        <v>13</v>
      </c>
      <c r="U31" s="3158">
        <f t="shared" si="13"/>
        <v>100</v>
      </c>
      <c r="V31" s="3739" t="s">
        <v>13</v>
      </c>
      <c r="W31" s="3158">
        <f t="shared" si="14"/>
        <v>100</v>
      </c>
      <c r="X31" s="910"/>
      <c r="Y31" s="4505"/>
      <c r="Z31" s="908">
        <f t="shared" si="15"/>
        <v>111</v>
      </c>
      <c r="AA31" s="908">
        <f t="shared" si="3"/>
        <v>1</v>
      </c>
      <c r="AB31" s="908">
        <f t="shared" si="4"/>
        <v>1</v>
      </c>
      <c r="AC31" s="1416">
        <f t="shared" si="5"/>
        <v>1</v>
      </c>
    </row>
    <row r="32" spans="1:29" ht="15.6"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503"/>
      <c r="Q32" s="1507">
        <f t="shared" si="11"/>
        <v>111</v>
      </c>
      <c r="R32" s="3739" t="s">
        <v>13</v>
      </c>
      <c r="S32" s="3158">
        <f t="shared" si="12"/>
        <v>100</v>
      </c>
      <c r="T32" s="3739" t="s">
        <v>13</v>
      </c>
      <c r="U32" s="3158">
        <f t="shared" si="13"/>
        <v>100</v>
      </c>
      <c r="V32" s="3739" t="s">
        <v>13</v>
      </c>
      <c r="W32" s="3158">
        <f t="shared" si="14"/>
        <v>100</v>
      </c>
      <c r="X32" s="910"/>
      <c r="Y32" s="4505"/>
      <c r="Z32" s="908">
        <f t="shared" si="15"/>
        <v>111</v>
      </c>
      <c r="AA32" s="908">
        <f t="shared" si="3"/>
        <v>1</v>
      </c>
      <c r="AB32" s="908">
        <f t="shared" si="4"/>
        <v>1</v>
      </c>
      <c r="AC32" s="1416">
        <f t="shared" si="5"/>
        <v>1</v>
      </c>
    </row>
    <row r="33" spans="1:29" ht="15">
      <c r="A33" s="262" t="s">
        <v>1604</v>
      </c>
      <c r="B33" s="34" t="s">
        <v>1727</v>
      </c>
      <c r="C33" s="1420" t="s">
        <v>4021</v>
      </c>
      <c r="D33" s="2910">
        <v>100</v>
      </c>
      <c r="E33" s="1420" t="s">
        <v>4021</v>
      </c>
      <c r="F33" s="909">
        <f>SUMIF(101:101,E33,102:102)-SUMIF(101:101,C33,102:102)+100</f>
        <v>100</v>
      </c>
      <c r="G33" s="1420" t="s">
        <v>4021</v>
      </c>
      <c r="H33" s="3755">
        <f>SUMIF(101:101,G33,102:102)-SUMIF(101:101,C33,102:102)+100</f>
        <v>100</v>
      </c>
      <c r="I33" s="1420" t="s">
        <v>4021</v>
      </c>
      <c r="J33" s="3758">
        <f>SUMIF(101:101,I33,102:102)-SUMIF(101:101,C33,102:102)+100</f>
        <v>100</v>
      </c>
      <c r="K33" s="394"/>
      <c r="L33" s="1980"/>
      <c r="M33" s="1975"/>
      <c r="N33" s="1975"/>
      <c r="O33" s="1975"/>
      <c r="P33" s="4506" t="s">
        <v>1606</v>
      </c>
      <c r="Q33" s="1507" t="str">
        <f t="shared" si="11"/>
        <v>建筑类型</v>
      </c>
      <c r="R33" s="3739" t="s">
        <v>13</v>
      </c>
      <c r="S33" s="3158">
        <f t="shared" si="12"/>
        <v>100</v>
      </c>
      <c r="T33" s="3739" t="s">
        <v>13</v>
      </c>
      <c r="U33" s="3158">
        <f t="shared" si="13"/>
        <v>100</v>
      </c>
      <c r="V33" s="3739" t="s">
        <v>13</v>
      </c>
      <c r="W33" s="3158">
        <f t="shared" si="14"/>
        <v>100</v>
      </c>
      <c r="X33" s="910"/>
      <c r="Y33" s="4509"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110.59</v>
      </c>
      <c r="D34" s="2901">
        <v>100</v>
      </c>
      <c r="E34" s="278">
        <v>163.78</v>
      </c>
      <c r="F34" s="252">
        <f>LOOKUP(E34,104:104,105:105)-LOOKUP(C34,104:104,105:105)+100</f>
        <v>100</v>
      </c>
      <c r="G34" s="278">
        <v>67.36</v>
      </c>
      <c r="H34" s="422">
        <f>LOOKUP(G34,104:104,105:105)-LOOKUP(C34,104:104,105:105)+100</f>
        <v>100</v>
      </c>
      <c r="I34" s="278">
        <v>109.52</v>
      </c>
      <c r="J34" s="422">
        <f>LOOKUP(I34,104:104,105:105)-LOOKUP(C34,104:104,105:105)+100</f>
        <v>100</v>
      </c>
      <c r="K34" s="395"/>
      <c r="L34" s="1979"/>
      <c r="M34" s="1981"/>
      <c r="N34" s="1981"/>
      <c r="O34" s="1981"/>
      <c r="P34" s="4507"/>
      <c r="Q34" s="2865" t="str">
        <f t="shared" si="11"/>
        <v>项目建筑规模</v>
      </c>
      <c r="R34" s="3740" t="s">
        <v>13</v>
      </c>
      <c r="S34" s="3159">
        <f t="shared" si="12"/>
        <v>100</v>
      </c>
      <c r="T34" s="3740" t="s">
        <v>13</v>
      </c>
      <c r="U34" s="3159">
        <f t="shared" si="13"/>
        <v>100</v>
      </c>
      <c r="V34" s="3740" t="s">
        <v>13</v>
      </c>
      <c r="W34" s="3159">
        <f t="shared" si="14"/>
        <v>100</v>
      </c>
      <c r="X34" s="484"/>
      <c r="Y34" s="4509"/>
      <c r="Z34" s="485" t="str">
        <f t="shared" si="15"/>
        <v>项目建筑规模</v>
      </c>
      <c r="AA34" s="908">
        <f t="shared" si="3"/>
        <v>1</v>
      </c>
      <c r="AB34" s="908">
        <f t="shared" si="4"/>
        <v>1</v>
      </c>
      <c r="AC34" s="1416">
        <f t="shared" si="5"/>
        <v>1</v>
      </c>
    </row>
    <row r="35" spans="1:29" ht="15">
      <c r="A35" s="280"/>
      <c r="B35" s="252" t="s">
        <v>1608</v>
      </c>
      <c r="C35" s="275" t="s">
        <v>4023</v>
      </c>
      <c r="D35" s="2903">
        <v>100</v>
      </c>
      <c r="E35" s="275" t="s">
        <v>4023</v>
      </c>
      <c r="F35" s="909">
        <f>SUMIF(106:106,E35,107:107)-SUMIF(106:106,C35,107:107)+100</f>
        <v>100</v>
      </c>
      <c r="G35" s="275" t="s">
        <v>4023</v>
      </c>
      <c r="H35" s="3755">
        <f>SUMIF(106:106,G35,107:107)-SUMIF(106:106,C35,107:107)+100</f>
        <v>100</v>
      </c>
      <c r="I35" s="275" t="s">
        <v>4023</v>
      </c>
      <c r="J35" s="3755">
        <f>SUMIF(106:106,I35,107:107)-SUMIF(106:106,C35,107:107)+100</f>
        <v>100</v>
      </c>
      <c r="K35" s="394"/>
      <c r="L35" s="1980"/>
      <c r="M35" s="1975"/>
      <c r="N35" s="1975"/>
      <c r="O35" s="1975"/>
      <c r="P35" s="4507"/>
      <c r="Q35" s="1507" t="str">
        <f t="shared" si="11"/>
        <v>建筑结构</v>
      </c>
      <c r="R35" s="3739" t="s">
        <v>13</v>
      </c>
      <c r="S35" s="3158">
        <f t="shared" si="12"/>
        <v>100</v>
      </c>
      <c r="T35" s="3739" t="s">
        <v>13</v>
      </c>
      <c r="U35" s="3158">
        <f t="shared" si="13"/>
        <v>100</v>
      </c>
      <c r="V35" s="3739" t="s">
        <v>13</v>
      </c>
      <c r="W35" s="3158">
        <f t="shared" si="14"/>
        <v>100</v>
      </c>
      <c r="X35" s="910"/>
      <c r="Y35" s="4509"/>
      <c r="Z35" s="908" t="str">
        <f t="shared" si="15"/>
        <v>建筑结构</v>
      </c>
      <c r="AA35" s="908">
        <f t="shared" si="3"/>
        <v>1</v>
      </c>
      <c r="AB35" s="908">
        <f t="shared" si="4"/>
        <v>1</v>
      </c>
      <c r="AC35" s="1416">
        <f t="shared" si="5"/>
        <v>1</v>
      </c>
    </row>
    <row r="36" spans="1:29" ht="15">
      <c r="A36" s="280"/>
      <c r="B36" s="252" t="s">
        <v>1695</v>
      </c>
      <c r="C36" s="275" t="s">
        <v>4025</v>
      </c>
      <c r="D36" s="2903">
        <v>100</v>
      </c>
      <c r="E36" s="275" t="s">
        <v>4025</v>
      </c>
      <c r="F36" s="909">
        <f>SUMIF(108:108,E36,109:109)-SUMIF(108:108,C36,109:109)+100</f>
        <v>100</v>
      </c>
      <c r="G36" s="275" t="s">
        <v>4025</v>
      </c>
      <c r="H36" s="3755">
        <f>SUMIF(108:108,G36,109:109)-SUMIF(108:108,C36,109:109)+100</f>
        <v>100</v>
      </c>
      <c r="I36" s="275" t="s">
        <v>4025</v>
      </c>
      <c r="J36" s="3755">
        <f>SUMIF(108:108,I36,109:109)-SUMIF(108:108,C36,109:109)+100</f>
        <v>100</v>
      </c>
      <c r="K36" s="394"/>
      <c r="L36" s="1980"/>
      <c r="M36" s="1975"/>
      <c r="N36" s="1975"/>
      <c r="O36" s="1975"/>
      <c r="P36" s="4507"/>
      <c r="Q36" s="1507" t="str">
        <f t="shared" si="11"/>
        <v>公共部分装修</v>
      </c>
      <c r="R36" s="3739" t="s">
        <v>13</v>
      </c>
      <c r="S36" s="3158">
        <f t="shared" si="12"/>
        <v>100</v>
      </c>
      <c r="T36" s="3739" t="s">
        <v>13</v>
      </c>
      <c r="U36" s="3158">
        <f t="shared" si="13"/>
        <v>100</v>
      </c>
      <c r="V36" s="3739" t="s">
        <v>13</v>
      </c>
      <c r="W36" s="3158">
        <f t="shared" si="14"/>
        <v>100</v>
      </c>
      <c r="X36" s="910"/>
      <c r="Y36" s="4509"/>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661">
        <f>C37</f>
        <v>0.8</v>
      </c>
      <c r="F37" s="909">
        <f>LOOKUP(E37,111:111,112:112)-LOOKUP(C37,111:111,112:112)+100</f>
        <v>100</v>
      </c>
      <c r="G37" s="4661">
        <f>E37</f>
        <v>0.8</v>
      </c>
      <c r="H37" s="909">
        <f>LOOKUP(G37,111:111,112:112)-LOOKUP(C37,111:111,112:112)+100</f>
        <v>100</v>
      </c>
      <c r="I37" s="4661">
        <f>G37</f>
        <v>0.8</v>
      </c>
      <c r="J37" s="3755">
        <f>LOOKUP(I37,111:111,112:112)-LOOKUP(C37,111:111,112:112)+100</f>
        <v>100</v>
      </c>
      <c r="K37" s="394"/>
      <c r="L37" s="1980"/>
      <c r="M37" s="1975"/>
      <c r="N37" s="1975"/>
      <c r="O37" s="1975"/>
      <c r="P37" s="4507"/>
      <c r="Q37" s="1507" t="str">
        <f t="shared" si="11"/>
        <v>成新度</v>
      </c>
      <c r="R37" s="3739" t="s">
        <v>13</v>
      </c>
      <c r="S37" s="3158">
        <f t="shared" si="12"/>
        <v>100</v>
      </c>
      <c r="T37" s="3739" t="s">
        <v>13</v>
      </c>
      <c r="U37" s="3158">
        <f t="shared" si="13"/>
        <v>100</v>
      </c>
      <c r="V37" s="3739" t="s">
        <v>13</v>
      </c>
      <c r="W37" s="3158">
        <f t="shared" si="14"/>
        <v>100</v>
      </c>
      <c r="X37" s="910"/>
      <c r="Y37" s="4509"/>
      <c r="Z37" s="908" t="str">
        <f t="shared" si="15"/>
        <v>成新度</v>
      </c>
      <c r="AA37" s="908">
        <f t="shared" si="3"/>
        <v>1</v>
      </c>
      <c r="AB37" s="908">
        <f t="shared" si="4"/>
        <v>1</v>
      </c>
      <c r="AC37" s="1416">
        <f t="shared" si="5"/>
        <v>1</v>
      </c>
    </row>
    <row r="38" spans="1:29" s="46" customFormat="1" ht="15">
      <c r="A38" s="281"/>
      <c r="B38" s="252" t="s">
        <v>1728</v>
      </c>
      <c r="C38" s="275" t="s">
        <v>4027</v>
      </c>
      <c r="D38" s="2901">
        <v>100</v>
      </c>
      <c r="E38" s="275" t="s">
        <v>4027</v>
      </c>
      <c r="F38" s="909">
        <f>SUMIF(113:113,E38,114:114)-SUMIF(113:113,C38,114:114)+100</f>
        <v>100</v>
      </c>
      <c r="G38" s="275" t="s">
        <v>4027</v>
      </c>
      <c r="H38" s="3755">
        <f>SUMIF(113:113,G38,114:114)-SUMIF(113:113,C38,114:114)+100</f>
        <v>100</v>
      </c>
      <c r="I38" s="275" t="s">
        <v>4027</v>
      </c>
      <c r="J38" s="3755">
        <f>SUMIF(113:113,I38,114:114)-SUMIF(113:113,C38,114:114)+100</f>
        <v>100</v>
      </c>
      <c r="K38" s="394"/>
      <c r="L38" s="1976"/>
      <c r="M38" s="1929"/>
      <c r="N38" s="1929"/>
      <c r="O38" s="1929"/>
      <c r="P38" s="4507"/>
      <c r="Q38" s="1698" t="str">
        <f t="shared" si="11"/>
        <v>写字楼等级</v>
      </c>
      <c r="R38" s="3637" t="s">
        <v>13</v>
      </c>
      <c r="S38" s="3157">
        <f t="shared" si="12"/>
        <v>100</v>
      </c>
      <c r="T38" s="3637" t="s">
        <v>13</v>
      </c>
      <c r="U38" s="3157">
        <f t="shared" si="13"/>
        <v>100</v>
      </c>
      <c r="V38" s="3637" t="s">
        <v>13</v>
      </c>
      <c r="W38" s="3157">
        <f t="shared" si="14"/>
        <v>100</v>
      </c>
      <c r="X38" s="482"/>
      <c r="Y38" s="4509"/>
      <c r="Z38" s="28" t="str">
        <f t="shared" si="15"/>
        <v>写字楼等级</v>
      </c>
      <c r="AA38" s="28">
        <f t="shared" si="3"/>
        <v>1</v>
      </c>
      <c r="AB38" s="28">
        <f t="shared" si="4"/>
        <v>1</v>
      </c>
      <c r="AC38" s="545">
        <f t="shared" si="5"/>
        <v>1</v>
      </c>
    </row>
    <row r="39" spans="1:29" ht="15">
      <c r="A39" s="280"/>
      <c r="B39" s="252" t="s">
        <v>1729</v>
      </c>
      <c r="C39" s="275" t="s">
        <v>4029</v>
      </c>
      <c r="D39" s="2903">
        <v>100</v>
      </c>
      <c r="E39" s="275" t="s">
        <v>4029</v>
      </c>
      <c r="F39" s="909">
        <f>SUMIF(115:115,E39,116:116)-SUMIF(115:115,C39,116:116)+100</f>
        <v>100</v>
      </c>
      <c r="G39" s="275" t="s">
        <v>4029</v>
      </c>
      <c r="H39" s="3755">
        <f>SUMIF(115:115,G39,116:116)-SUMIF(115:115,C39,116:116)+100</f>
        <v>100</v>
      </c>
      <c r="I39" s="275" t="s">
        <v>4029</v>
      </c>
      <c r="J39" s="3755">
        <f>SUMIF(115:115,I39,116:116)-SUMIF(115:115,C39,116:116)+100</f>
        <v>100</v>
      </c>
      <c r="K39" s="394"/>
      <c r="L39" s="1980"/>
      <c r="M39" s="1975"/>
      <c r="N39" s="1975"/>
      <c r="O39" s="1975"/>
      <c r="P39" s="4507" t="s">
        <v>1606</v>
      </c>
      <c r="Q39" s="1507" t="str">
        <f t="shared" si="11"/>
        <v>物业管理</v>
      </c>
      <c r="R39" s="3739" t="s">
        <v>13</v>
      </c>
      <c r="S39" s="3158">
        <f t="shared" si="12"/>
        <v>100</v>
      </c>
      <c r="T39" s="3739" t="s">
        <v>13</v>
      </c>
      <c r="U39" s="3158">
        <f t="shared" si="13"/>
        <v>100</v>
      </c>
      <c r="V39" s="3739" t="s">
        <v>13</v>
      </c>
      <c r="W39" s="3158">
        <f t="shared" si="14"/>
        <v>100</v>
      </c>
      <c r="X39" s="910"/>
      <c r="Y39" s="4509"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507"/>
      <c r="Q40" s="1507" t="str">
        <f t="shared" si="11"/>
        <v>市政基础设施</v>
      </c>
      <c r="R40" s="3739" t="s">
        <v>13</v>
      </c>
      <c r="S40" s="3158">
        <f t="shared" si="12"/>
        <v>100</v>
      </c>
      <c r="T40" s="3739" t="s">
        <v>13</v>
      </c>
      <c r="U40" s="3158">
        <f t="shared" si="13"/>
        <v>100</v>
      </c>
      <c r="V40" s="3739" t="s">
        <v>13</v>
      </c>
      <c r="W40" s="3158">
        <f t="shared" si="14"/>
        <v>100</v>
      </c>
      <c r="X40" s="910"/>
      <c r="Y40" s="4509"/>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507"/>
      <c r="Q41" s="1507" t="str">
        <f t="shared" si="11"/>
        <v>层高</v>
      </c>
      <c r="R41" s="3739" t="s">
        <v>13</v>
      </c>
      <c r="S41" s="3158">
        <f t="shared" si="12"/>
        <v>100</v>
      </c>
      <c r="T41" s="3739" t="s">
        <v>13</v>
      </c>
      <c r="U41" s="3158">
        <f t="shared" si="13"/>
        <v>100</v>
      </c>
      <c r="V41" s="3739" t="s">
        <v>13</v>
      </c>
      <c r="W41" s="3158">
        <f t="shared" si="14"/>
        <v>100</v>
      </c>
      <c r="X41" s="910"/>
      <c r="Y41" s="4509"/>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507"/>
      <c r="Q42" s="2865" t="str">
        <f t="shared" si="11"/>
        <v>单套建筑面积</v>
      </c>
      <c r="R42" s="3740" t="s">
        <v>13</v>
      </c>
      <c r="S42" s="3159">
        <f t="shared" si="12"/>
        <v>100</v>
      </c>
      <c r="T42" s="3740" t="s">
        <v>13</v>
      </c>
      <c r="U42" s="3159">
        <f t="shared" si="13"/>
        <v>100</v>
      </c>
      <c r="V42" s="3740" t="s">
        <v>13</v>
      </c>
      <c r="W42" s="3159">
        <f t="shared" si="14"/>
        <v>100</v>
      </c>
      <c r="X42" s="484"/>
      <c r="Y42" s="4509"/>
      <c r="Z42" s="485" t="str">
        <f t="shared" si="15"/>
        <v>单套建筑面积</v>
      </c>
      <c r="AA42" s="908">
        <f t="shared" si="3"/>
        <v>1</v>
      </c>
      <c r="AB42" s="908">
        <f t="shared" si="4"/>
        <v>1</v>
      </c>
      <c r="AC42" s="1416">
        <f t="shared" si="5"/>
        <v>1</v>
      </c>
    </row>
    <row r="43" spans="1:29" ht="15">
      <c r="A43" s="280"/>
      <c r="B43" s="252" t="s">
        <v>1702</v>
      </c>
      <c r="C43" s="275" t="s">
        <v>4032</v>
      </c>
      <c r="D43" s="2903">
        <v>100</v>
      </c>
      <c r="E43" s="275" t="s">
        <v>4032</v>
      </c>
      <c r="F43" s="909">
        <f>SUMIF(123:123,E43,124:124)-SUMIF(123:123,C43,124:124)+100</f>
        <v>100</v>
      </c>
      <c r="G43" s="275" t="s">
        <v>4032</v>
      </c>
      <c r="H43" s="3755">
        <f>SUMIF(123:123,G43,124:124)-SUMIF(123:123,C43,124:124)+100</f>
        <v>100</v>
      </c>
      <c r="I43" s="275" t="s">
        <v>4032</v>
      </c>
      <c r="J43" s="3755">
        <f>SUMIF(123:123,I43,124:124)-SUMIF(123:123,C43,124:124)+100</f>
        <v>100</v>
      </c>
      <c r="K43" s="394">
        <v>2</v>
      </c>
      <c r="L43" s="1980"/>
      <c r="M43" s="1975"/>
      <c r="N43" s="1975"/>
      <c r="O43" s="1975"/>
      <c r="P43" s="4507"/>
      <c r="Q43" s="1507" t="str">
        <f t="shared" si="11"/>
        <v>内部装修</v>
      </c>
      <c r="R43" s="3739" t="s">
        <v>13</v>
      </c>
      <c r="S43" s="3158">
        <f t="shared" si="12"/>
        <v>100</v>
      </c>
      <c r="T43" s="3739" t="s">
        <v>13</v>
      </c>
      <c r="U43" s="3158">
        <f t="shared" si="13"/>
        <v>100</v>
      </c>
      <c r="V43" s="3739" t="s">
        <v>13</v>
      </c>
      <c r="W43" s="3158">
        <f t="shared" si="14"/>
        <v>100</v>
      </c>
      <c r="X43" s="910"/>
      <c r="Y43" s="4509"/>
      <c r="Z43" s="908" t="str">
        <f t="shared" si="15"/>
        <v>内部装修</v>
      </c>
      <c r="AA43" s="908">
        <f t="shared" si="3"/>
        <v>1</v>
      </c>
      <c r="AB43" s="908">
        <f t="shared" si="4"/>
        <v>1</v>
      </c>
      <c r="AC43" s="1416">
        <f t="shared" si="5"/>
        <v>1</v>
      </c>
    </row>
    <row r="44" spans="1:29" ht="28.8">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507"/>
      <c r="Q44" s="1507" t="str">
        <f t="shared" si="11"/>
        <v>内部装修维护情况</v>
      </c>
      <c r="R44" s="3739" t="s">
        <v>13</v>
      </c>
      <c r="S44" s="3158">
        <f t="shared" si="12"/>
        <v>100</v>
      </c>
      <c r="T44" s="3739" t="s">
        <v>13</v>
      </c>
      <c r="U44" s="3158">
        <f t="shared" si="13"/>
        <v>100</v>
      </c>
      <c r="V44" s="3739" t="s">
        <v>13</v>
      </c>
      <c r="W44" s="3158">
        <f t="shared" si="14"/>
        <v>100</v>
      </c>
      <c r="X44" s="910"/>
      <c r="Y44" s="4509"/>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07"/>
      <c r="Q45" s="1698">
        <f t="shared" si="11"/>
        <v>111</v>
      </c>
      <c r="R45" s="3637" t="s">
        <v>13</v>
      </c>
      <c r="S45" s="3157">
        <f t="shared" si="12"/>
        <v>100</v>
      </c>
      <c r="T45" s="3637" t="s">
        <v>13</v>
      </c>
      <c r="U45" s="3157">
        <f t="shared" si="13"/>
        <v>100</v>
      </c>
      <c r="V45" s="3637" t="s">
        <v>13</v>
      </c>
      <c r="W45" s="3157">
        <f t="shared" si="14"/>
        <v>100</v>
      </c>
      <c r="X45" s="482"/>
      <c r="Y45" s="4509"/>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507"/>
      <c r="Q46" s="1507">
        <f t="shared" si="11"/>
        <v>111</v>
      </c>
      <c r="R46" s="3739" t="s">
        <v>13</v>
      </c>
      <c r="S46" s="3158">
        <f t="shared" si="12"/>
        <v>100</v>
      </c>
      <c r="T46" s="3739" t="s">
        <v>13</v>
      </c>
      <c r="U46" s="3158">
        <f t="shared" si="13"/>
        <v>100</v>
      </c>
      <c r="V46" s="3739" t="s">
        <v>13</v>
      </c>
      <c r="W46" s="3158">
        <f t="shared" si="14"/>
        <v>100</v>
      </c>
      <c r="X46" s="910"/>
      <c r="Y46" s="4509"/>
      <c r="Z46" s="908">
        <f t="shared" si="15"/>
        <v>111</v>
      </c>
      <c r="AA46" s="908">
        <f t="shared" si="3"/>
        <v>1</v>
      </c>
      <c r="AB46" s="908">
        <f t="shared" si="4"/>
        <v>1</v>
      </c>
      <c r="AC46" s="1416">
        <f t="shared" si="5"/>
        <v>1</v>
      </c>
    </row>
    <row r="47" spans="1:29" ht="15.6"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508"/>
      <c r="Q47" s="1507">
        <f t="shared" si="11"/>
        <v>111</v>
      </c>
      <c r="R47" s="3739" t="s">
        <v>13</v>
      </c>
      <c r="S47" s="3158">
        <f t="shared" si="12"/>
        <v>100</v>
      </c>
      <c r="T47" s="3739" t="s">
        <v>13</v>
      </c>
      <c r="U47" s="3158">
        <f t="shared" si="13"/>
        <v>100</v>
      </c>
      <c r="V47" s="3739" t="s">
        <v>13</v>
      </c>
      <c r="W47" s="3158">
        <f t="shared" si="14"/>
        <v>100</v>
      </c>
      <c r="X47" s="910"/>
      <c r="Y47" s="4510"/>
      <c r="Z47" s="908">
        <f t="shared" si="15"/>
        <v>111</v>
      </c>
      <c r="AA47" s="908">
        <f t="shared" si="3"/>
        <v>1</v>
      </c>
      <c r="AB47" s="908">
        <f t="shared" si="4"/>
        <v>1</v>
      </c>
      <c r="AC47" s="1416">
        <f t="shared" si="5"/>
        <v>1</v>
      </c>
    </row>
    <row r="48" spans="1:29" ht="14.4">
      <c r="A48" s="286" t="s">
        <v>1618</v>
      </c>
      <c r="B48" s="287"/>
      <c r="C48" s="765" t="s">
        <v>0</v>
      </c>
      <c r="D48" s="288"/>
      <c r="E48" s="3206">
        <v>20942</v>
      </c>
      <c r="F48" s="3154"/>
      <c r="G48" s="3207">
        <v>22119</v>
      </c>
      <c r="H48" s="3155"/>
      <c r="I48" s="3206">
        <v>23922</v>
      </c>
      <c r="J48" s="3155"/>
      <c r="K48" s="2863"/>
      <c r="L48" s="1982"/>
      <c r="M48" s="1975"/>
      <c r="N48" s="1975"/>
      <c r="O48" s="1975"/>
      <c r="P48" s="4474" t="str">
        <f>A48</f>
        <v>成交单价（元/平方米）</v>
      </c>
      <c r="Q48" s="4511"/>
      <c r="R48" s="4512">
        <f>E48</f>
        <v>20942</v>
      </c>
      <c r="S48" s="4512"/>
      <c r="T48" s="4512">
        <f>G48</f>
        <v>22119</v>
      </c>
      <c r="U48" s="4512"/>
      <c r="V48" s="4512">
        <f>I48</f>
        <v>23922</v>
      </c>
      <c r="W48" s="4512"/>
      <c r="X48" s="265"/>
      <c r="Y48" s="486"/>
      <c r="Z48" s="265"/>
      <c r="AA48" s="265"/>
      <c r="AB48" s="265"/>
      <c r="AC48" s="404"/>
    </row>
    <row r="49" spans="1:29" ht="15" thickBot="1">
      <c r="A49" s="289" t="s">
        <v>1703</v>
      </c>
      <c r="B49" s="290"/>
      <c r="C49" s="3737">
        <f>R50</f>
        <v>21748</v>
      </c>
      <c r="D49" s="3849" t="s">
        <v>2045</v>
      </c>
      <c r="E49" s="3748">
        <f>R49</f>
        <v>20531</v>
      </c>
      <c r="F49" s="2802"/>
      <c r="G49" s="3737">
        <f>T49</f>
        <v>21260</v>
      </c>
      <c r="H49" s="2802"/>
      <c r="I49" s="3748">
        <f>V49</f>
        <v>23453</v>
      </c>
      <c r="J49" s="2802"/>
      <c r="K49" s="2856">
        <f>F49+H49+J49</f>
        <v>0</v>
      </c>
      <c r="L49" s="1982"/>
      <c r="M49" s="1975"/>
      <c r="N49" s="1975"/>
      <c r="O49" s="1975"/>
      <c r="P49" s="4474" t="str">
        <f>A49</f>
        <v>比较价值（元/平方米）</v>
      </c>
      <c r="Q49" s="4511"/>
      <c r="R49" s="4512">
        <f>IF(F1="售价",ROUND(PRODUCT(R48,AA7:AA47),0),ROUND(PRODUCT(R48,AA7:AA47),1))</f>
        <v>20531</v>
      </c>
      <c r="S49" s="4512"/>
      <c r="T49" s="4512">
        <f>IF(F1="售价",ROUND(PRODUCT(T48,AB7:AB47),0),ROUND(PRODUCT(T48,AB7:AB47),1))</f>
        <v>21260</v>
      </c>
      <c r="U49" s="4512"/>
      <c r="V49" s="4512">
        <f>IF(F1="售价",ROUND(PRODUCT(V48,AC7:AC47),0),ROUND(PRODUCT(V48,AC7:AC47),1))</f>
        <v>23453</v>
      </c>
      <c r="W49" s="4512"/>
      <c r="X49" s="265"/>
      <c r="Y49" s="265"/>
      <c r="Z49" s="265"/>
      <c r="AA49" s="265"/>
      <c r="AB49" s="265"/>
      <c r="AC49" s="404"/>
    </row>
    <row r="50" spans="1:29" ht="15" thickBot="1">
      <c r="A50" s="291" t="s">
        <v>1704</v>
      </c>
      <c r="B50" s="292"/>
      <c r="C50" s="3749">
        <f>R50</f>
        <v>21748</v>
      </c>
      <c r="D50" s="241"/>
      <c r="E50" s="241"/>
      <c r="F50" s="241"/>
      <c r="G50" s="241"/>
      <c r="H50" s="241"/>
      <c r="I50" s="241"/>
      <c r="J50" s="293"/>
      <c r="K50" s="487"/>
      <c r="L50" s="1982"/>
      <c r="M50" s="1975"/>
      <c r="N50" s="1975"/>
      <c r="O50" s="1975"/>
      <c r="P50" s="4513" t="str">
        <f>A50</f>
        <v>估价对象XX用房的比较价值（楼面单价，元/平方米）</v>
      </c>
      <c r="Q50" s="4514"/>
      <c r="R50" s="4515">
        <f>IF(F1="售价",ROUND(IF(D49="简单平均",AVERAGE(R49:V49),R49*F49+T49*H49+V49*J49),0),ROUND(IF(D49="简单平均",AVERAGE(R49:V49),R49*F49+T49*H49+V49*J49),1))</f>
        <v>21748</v>
      </c>
      <c r="S50" s="4515"/>
      <c r="T50" s="4515"/>
      <c r="U50" s="4515"/>
      <c r="V50" s="4515"/>
      <c r="W50" s="4515"/>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2.0018508596756135E-2</v>
      </c>
      <c r="F53" s="299" t="str">
        <f>IF(OR(E53&gt;=0.3,E53&lt;=-0.3),"超过30%","")</f>
        <v/>
      </c>
      <c r="G53" s="298">
        <f>IF(G48&lt;G49,G49/G48-1,G48/G49-1)</f>
        <v>4.0404515522107332E-2</v>
      </c>
      <c r="H53" s="299" t="str">
        <f>IF(OR(G53&gt;=0.3,G53&lt;=-0.3),"超过30%","")</f>
        <v/>
      </c>
      <c r="I53" s="298">
        <f>IF(I48&lt;I49,I49/I48-1,I48/I49-1)</f>
        <v>1.9997441691894435E-2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3.5507281671618429E-2</v>
      </c>
      <c r="F54" s="299" t="str">
        <f>IF(OR(E54&gt;=0.2,E54&lt;=-0.2),"超过20%","")</f>
        <v/>
      </c>
      <c r="G54" s="298">
        <f>IF(G49&lt;I49,I49/G49-1,G49/I49-1)</f>
        <v>0.10315145813734716</v>
      </c>
      <c r="H54" s="299" t="str">
        <f>IF(OR(G54&gt;=0.2,G54&lt;=-0.2),"超过20%","")</f>
        <v/>
      </c>
      <c r="I54" s="298">
        <f>IF(I49&lt;E49,E49/I49-1,I49/E49-1)</f>
        <v>0.1423213676878865</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5.6202845955496183E-2</v>
      </c>
      <c r="F55" s="299" t="str">
        <f>IF(OR(E55&gt;=0.3,E55&lt;=-0.3),"超过30%","")</f>
        <v/>
      </c>
      <c r="G55" s="298">
        <f>IF(G48&lt;I48,I48/G48-1,G48/I48-1)</f>
        <v>8.1513630815136295E-2</v>
      </c>
      <c r="H55" s="299" t="str">
        <f>IF(OR(G55&gt;=0.3,G55&lt;=-0.3),"超过30%","")</f>
        <v/>
      </c>
      <c r="I55" s="298">
        <f>IF(I48&lt;E48,E48/I48-1,I48/E48-1)</f>
        <v>0.14229777480660877</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2.2"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4.4">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4.4">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4"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ht="14.4">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4"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9.4"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4"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4"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4"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4"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4"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4"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ht="14.4">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9.4"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 thickTop="1">
      <c r="A89" s="257"/>
      <c r="B89" s="331" t="str">
        <f>B27</f>
        <v>楼层</v>
      </c>
      <c r="C89" s="4229" t="s">
        <v>4017</v>
      </c>
      <c r="D89" s="4229" t="s">
        <v>4019</v>
      </c>
      <c r="E89" s="4229" t="s">
        <v>4020</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4"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4"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4"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4"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4"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4"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ht="14.4">
      <c r="A101" s="262" t="s">
        <v>1604</v>
      </c>
      <c r="B101" s="322" t="s">
        <v>1646</v>
      </c>
      <c r="C101" s="4230" t="s">
        <v>4022</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28.2"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4"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4024</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4"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4026</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4"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4"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4028</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4"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4030</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4"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4"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4"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4031</v>
      </c>
      <c r="D123" s="4229" t="s">
        <v>4033</v>
      </c>
      <c r="E123" s="4229" t="s">
        <v>4034</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4"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4"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4"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4"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4"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4"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4"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4"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10" zoomScaleNormal="100" zoomScaleSheetLayoutView="100" workbookViewId="0">
      <selection activeCell="F6" sqref="F6"/>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7"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3" t="s">
        <v>19</v>
      </c>
      <c r="D1" s="915" t="s">
        <v>41</v>
      </c>
      <c r="E1" s="916" t="s">
        <v>665</v>
      </c>
      <c r="F1" s="704">
        <f ca="1">J62</f>
        <v>36.950000000000003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146.32759999999999</v>
      </c>
      <c r="C2" s="933" t="s">
        <v>790</v>
      </c>
      <c r="D2" s="3324" t="s">
        <v>4036</v>
      </c>
      <c r="E2" s="938"/>
      <c r="F2" s="939"/>
      <c r="G2" s="1966"/>
      <c r="H2" s="1956"/>
      <c r="I2" s="1956"/>
      <c r="J2" s="1956"/>
      <c r="K2" s="1957"/>
      <c r="L2" s="1956"/>
      <c r="M2" s="1956"/>
    </row>
    <row r="3" spans="1:37" ht="18" customHeight="1" thickBot="1">
      <c r="A3" s="940" t="s">
        <v>791</v>
      </c>
      <c r="B3" s="941">
        <f ca="1">IF(ISERROR(D3/F32),0,ROUND(D3/F32,0))</f>
        <v>13232</v>
      </c>
      <c r="C3" s="933" t="s">
        <v>792</v>
      </c>
      <c r="D3" s="933">
        <f ca="1">IF(D2="含税",ROUND((C28+J31+L55)*(1+F31),0),C28+J31+L55)</f>
        <v>1463276</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80024</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79924</v>
      </c>
      <c r="D6" s="2715" t="s">
        <v>3809</v>
      </c>
      <c r="E6" s="2713" t="s">
        <v>3995</v>
      </c>
      <c r="F6" s="3421">
        <f ca="1">INDIRECT("'数据-取费表'!u"&amp;$G$1)</f>
        <v>2.2000000000000002</v>
      </c>
      <c r="G6" s="936"/>
      <c r="H6" s="707" t="s">
        <v>392</v>
      </c>
      <c r="I6" s="2714" t="s">
        <v>3805</v>
      </c>
      <c r="J6" s="2702">
        <f ca="1">J7-J9</f>
        <v>0</v>
      </c>
      <c r="K6" s="2715" t="s">
        <v>3809</v>
      </c>
      <c r="L6" s="2713" t="s">
        <v>3995</v>
      </c>
      <c r="M6" s="3439">
        <f ca="1">INDIRECT("'数据-取费表'!z"&amp;$G$1)</f>
        <v>0</v>
      </c>
    </row>
    <row r="7" spans="1:37" ht="18" customHeight="1">
      <c r="A7" s="4456" t="s">
        <v>391</v>
      </c>
      <c r="B7" s="4449" t="s">
        <v>3803</v>
      </c>
      <c r="C7" s="4516">
        <f ca="1">ROUND(F6*F7*F8,0)</f>
        <v>88804</v>
      </c>
      <c r="D7" s="4452" t="s">
        <v>3479</v>
      </c>
      <c r="E7" s="714" t="s">
        <v>682</v>
      </c>
      <c r="F7" s="2762">
        <f ca="1">IF(INDIRECT("'数据-取费表'!ah"&amp;$G$1)="",INDIRECT("'数据-取费表'!k"&amp;$G$1),INDIRECT("'数据-取费表'!ah"&amp;$G$1))</f>
        <v>110.59</v>
      </c>
      <c r="G7" s="936"/>
      <c r="H7" s="4456" t="s">
        <v>391</v>
      </c>
      <c r="I7" s="4449" t="s">
        <v>3803</v>
      </c>
      <c r="J7" s="4517">
        <f ca="1">ROUND(M6*M8*M7,0)</f>
        <v>0</v>
      </c>
      <c r="K7" s="4452" t="s">
        <v>3479</v>
      </c>
      <c r="L7" s="186" t="s">
        <v>682</v>
      </c>
      <c r="M7" s="4220">
        <f ca="1">F7</f>
        <v>110.59</v>
      </c>
    </row>
    <row r="8" spans="1:37" ht="18" customHeight="1">
      <c r="A8" s="4457"/>
      <c r="B8" s="4450"/>
      <c r="C8" s="4516"/>
      <c r="D8" s="4452"/>
      <c r="E8" s="186" t="str">
        <f ca="1">IF(F8=1,"年",IF(F8=12,"月","天"))</f>
        <v>天</v>
      </c>
      <c r="F8" s="3414">
        <f ca="1">INDIRECT("'数据-取费表'!ai"&amp;$G$1)</f>
        <v>365</v>
      </c>
      <c r="G8" s="936"/>
      <c r="H8" s="4457"/>
      <c r="I8" s="4450"/>
      <c r="J8" s="4517"/>
      <c r="K8" s="4452"/>
      <c r="L8" s="186" t="str">
        <f ca="1">IF(M8=1,"年",IF(M8=12,"月","天"))</f>
        <v>天</v>
      </c>
      <c r="M8" s="3441">
        <f ca="1">INDIRECT("'数据-取费表'!ai"&amp;$G$1)</f>
        <v>365</v>
      </c>
    </row>
    <row r="9" spans="1:37" ht="18" customHeight="1">
      <c r="A9" s="2700" t="s">
        <v>3407</v>
      </c>
      <c r="B9" s="4089" t="s">
        <v>3804</v>
      </c>
      <c r="C9" s="4096">
        <f ca="1">ROUND(C7*F9,0)</f>
        <v>8880</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100</v>
      </c>
      <c r="D10" s="59" t="s">
        <v>2023</v>
      </c>
      <c r="E10" s="197" t="s">
        <v>686</v>
      </c>
      <c r="F10" s="749" t="s">
        <v>4037</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14959</v>
      </c>
      <c r="D13" s="4225" t="s">
        <v>3932</v>
      </c>
      <c r="E13" s="4009"/>
      <c r="F13" s="4007"/>
      <c r="G13" s="4004"/>
      <c r="H13" s="716" t="s">
        <v>3686</v>
      </c>
      <c r="I13" s="717" t="s">
        <v>3931</v>
      </c>
      <c r="J13" s="3856">
        <f ca="1">ROUND(J14+J22+J24+J26,0)</f>
        <v>8627</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10410</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5395</v>
      </c>
      <c r="K14" s="2740" t="s">
        <v>3450</v>
      </c>
      <c r="L14" s="901" t="str">
        <f>E14</f>
        <v/>
      </c>
      <c r="M14" s="3840" t="str">
        <f>IF(M56="非住宅","",IF(M6*M7*M8/12/(1+'数据-取费表'!F30)&gt;100000,4%,2.5%))</f>
        <v/>
      </c>
    </row>
    <row r="15" spans="1:37" s="947" customFormat="1" ht="18" customHeight="1">
      <c r="A15" s="2700" t="s">
        <v>391</v>
      </c>
      <c r="B15" s="2713" t="s">
        <v>3978</v>
      </c>
      <c r="C15" s="2702">
        <f ca="1">C18</f>
        <v>819</v>
      </c>
      <c r="D15" s="2430" t="s">
        <v>3977</v>
      </c>
      <c r="E15" s="4093"/>
      <c r="F15" s="4126"/>
      <c r="G15" s="946"/>
      <c r="H15" s="2700" t="s">
        <v>391</v>
      </c>
      <c r="I15" s="2713" t="s">
        <v>3978</v>
      </c>
      <c r="J15" s="2702">
        <f ca="1">J18</f>
        <v>-35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7193</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370</v>
      </c>
      <c r="D17" s="3981" t="s">
        <v>3872</v>
      </c>
      <c r="E17" s="2722"/>
      <c r="F17" s="2766">
        <v>0.06</v>
      </c>
      <c r="G17" s="946"/>
      <c r="H17" s="2505" t="s">
        <v>3293</v>
      </c>
      <c r="I17" s="2717" t="s">
        <v>3411</v>
      </c>
      <c r="J17" s="3025">
        <f ca="1">ROUND(J22*M16+((J24+J26)*M17),0)</f>
        <v>291</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819</v>
      </c>
      <c r="D18" s="2740" t="s">
        <v>3997</v>
      </c>
      <c r="E18" s="186" t="s">
        <v>3998</v>
      </c>
      <c r="F18" s="2766">
        <f>'数据-取费表'!B44</f>
        <v>0.12000000000000001</v>
      </c>
      <c r="G18" s="946"/>
      <c r="H18" s="2505" t="s">
        <v>3975</v>
      </c>
      <c r="I18" s="2717" t="s">
        <v>3974</v>
      </c>
      <c r="J18" s="3025">
        <f ca="1">ROUND((J16-J17)*M18,0)</f>
        <v>-35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9591</v>
      </c>
      <c r="D19" s="2716" t="s">
        <v>4038</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5430</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3232</v>
      </c>
      <c r="D22" s="1776" t="s">
        <v>724</v>
      </c>
      <c r="E22" s="186" t="s">
        <v>697</v>
      </c>
      <c r="F22" s="2768">
        <f ca="1">INDIRECT("'数据-取费表'!Ak"&amp;$G$1)</f>
        <v>5.0000000000000001E-3</v>
      </c>
      <c r="G22" s="946"/>
      <c r="H22" s="3862" t="s">
        <v>396</v>
      </c>
      <c r="I22" s="56" t="s">
        <v>723</v>
      </c>
      <c r="J22" s="3882">
        <f ca="1">ROUND(J35*M22,0)</f>
        <v>3232</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646475</v>
      </c>
      <c r="G23" s="946"/>
      <c r="H23" s="209"/>
      <c r="I23" s="195"/>
      <c r="J23" s="3883"/>
      <c r="K23" s="3929"/>
      <c r="L23" s="2713" t="s">
        <v>3830</v>
      </c>
      <c r="M23" s="3441">
        <f ca="1">J35</f>
        <v>646475</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517</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517180</v>
      </c>
      <c r="G25" s="936"/>
      <c r="H25" s="209"/>
      <c r="I25" s="195"/>
      <c r="J25" s="3883"/>
      <c r="K25" s="3929"/>
      <c r="L25" s="3928" t="s">
        <v>3831</v>
      </c>
      <c r="M25" s="3441">
        <f ca="1">J37</f>
        <v>0</v>
      </c>
    </row>
    <row r="26" spans="1:37" s="947" customFormat="1" ht="18" customHeight="1" thickBot="1">
      <c r="A26" s="726" t="s">
        <v>669</v>
      </c>
      <c r="B26" s="727" t="s">
        <v>713</v>
      </c>
      <c r="C26" s="3028">
        <f ca="1">ROUND(C5*F26,0)</f>
        <v>800</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65065</v>
      </c>
      <c r="D27" s="4224" t="s">
        <v>3917</v>
      </c>
      <c r="E27" s="4013"/>
      <c r="F27" s="4014"/>
      <c r="G27" s="498"/>
      <c r="H27" s="716" t="s">
        <v>3304</v>
      </c>
      <c r="I27" s="731" t="s">
        <v>3934</v>
      </c>
      <c r="J27" s="3856">
        <f ca="1">J5-J13</f>
        <v>-8627</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1324587</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36.950000000000003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1443800</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110.59</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13055</v>
      </c>
      <c r="D32" s="4021" t="s">
        <v>3911</v>
      </c>
      <c r="E32" s="217" t="s">
        <v>3912</v>
      </c>
      <c r="F32" s="2770">
        <f ca="1">INDIRECT("'数据-取费表'!k"&amp;$G$1)</f>
        <v>110.59</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0.18693142057382783</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523865</v>
      </c>
      <c r="D35" s="2736" t="s">
        <v>3421</v>
      </c>
      <c r="E35" s="2732"/>
      <c r="F35" s="2733"/>
      <c r="G35" s="936"/>
      <c r="H35" s="2746" t="s">
        <v>3413</v>
      </c>
      <c r="I35" s="2749" t="s">
        <v>3453</v>
      </c>
      <c r="J35" s="2750">
        <f ca="1">C51</f>
        <v>646475</v>
      </c>
      <c r="K35" s="3201" t="s">
        <v>3449</v>
      </c>
      <c r="L35" s="2751"/>
      <c r="M35" s="3035"/>
    </row>
    <row r="36" spans="1:37" ht="18" customHeight="1">
      <c r="A36" s="2700" t="s">
        <v>391</v>
      </c>
      <c r="B36" s="2665" t="s">
        <v>692</v>
      </c>
      <c r="C36" s="2610">
        <f ca="1">ROUND(INDIRECT("'数据-取费表'!l"&amp;$G$1)*F32+'数据-取费表'!L14*INDIRECT("'数据-取费表'!S"&amp;$G$1),0)</f>
        <v>453419</v>
      </c>
      <c r="D36" s="900" t="s">
        <v>693</v>
      </c>
      <c r="E36" s="900"/>
      <c r="F36" s="215"/>
      <c r="G36" s="936"/>
      <c r="H36" s="2747" t="s">
        <v>396</v>
      </c>
      <c r="I36" s="2752" t="s">
        <v>3441</v>
      </c>
      <c r="J36" s="2650">
        <f ca="1">ROUND(J35*(1-M36),0)</f>
        <v>646475</v>
      </c>
      <c r="K36" s="186" t="s">
        <v>3444</v>
      </c>
      <c r="L36" s="2715" t="s">
        <v>3456</v>
      </c>
      <c r="M36" s="2768">
        <f ca="1">INDIRECT("'数据-取费表'!ad"&amp;$G$1)</f>
        <v>0</v>
      </c>
    </row>
    <row r="37" spans="1:37" ht="18" customHeight="1" thickBot="1">
      <c r="A37" s="2700" t="s">
        <v>3407</v>
      </c>
      <c r="B37" s="2665" t="s">
        <v>695</v>
      </c>
      <c r="C37" s="2702">
        <f ca="1">ROUND(C36*F37,0)</f>
        <v>27205</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38707</v>
      </c>
      <c r="D39" s="186" t="s">
        <v>702</v>
      </c>
      <c r="E39" s="186" t="s">
        <v>3883</v>
      </c>
      <c r="F39" s="3424">
        <f>'数据-取费表'!B35</f>
        <v>350</v>
      </c>
      <c r="G39" s="936"/>
    </row>
    <row r="40" spans="1:37" ht="18" customHeight="1">
      <c r="A40" s="2700" t="s">
        <v>668</v>
      </c>
      <c r="B40" s="2717" t="s">
        <v>3296</v>
      </c>
      <c r="C40" s="2702">
        <f ca="1">ROUND(C36*F40,0)</f>
        <v>4534</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10477</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16725+0.0006V建</v>
      </c>
      <c r="D44" s="2684" t="str">
        <f>IF(F45&lt;=1,"单利计息。","复利计息。")&amp;"建造成本、管理费用、销售费用产生的利息。"</f>
        <v>复利计息。建造成本、管理费用、销售费用产生的利息。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16725</v>
      </c>
      <c r="D45" s="55" t="str">
        <f>IF(F45&lt;=1,"(建造成本+管理费用)×利率×(建设周期÷2)","(建造成本+管理费用)×((1+利率)^(建设周期÷2)-1)")</f>
        <v>(建造成本+管理费用)×((1+利率)^(建设周期÷2)-1)</v>
      </c>
      <c r="E45" s="186" t="s">
        <v>726</v>
      </c>
      <c r="F45" s="3421">
        <f>'数据-取费表'!B20</f>
        <v>2</v>
      </c>
      <c r="G45" s="936"/>
      <c r="H45" s="47"/>
      <c r="I45" s="47"/>
      <c r="J45" s="47"/>
      <c r="K45" s="1861"/>
      <c r="L45" s="47"/>
      <c r="M45" s="47"/>
    </row>
    <row r="46" spans="1:37" ht="18" customHeight="1">
      <c r="A46" s="2700" t="s">
        <v>730</v>
      </c>
      <c r="B46" s="186" t="s">
        <v>731</v>
      </c>
      <c r="C46" s="3415">
        <f ca="1">ROUND(IF('数据-取费表'!B22&lt;=1,F43*F46*F45/2,F43*(POWER((1+F46),F45/2)-1)),4)</f>
        <v>5.9999999999999995E-4</v>
      </c>
      <c r="D46" s="55" t="str">
        <f>IF(F45&lt;=1,"销售费用×利率×(建设周期÷2)","销售费用×((1+利率)^(建设周期÷2)-1)")</f>
        <v>销售费用×((1+利率)^(建设周期÷2)-1)</v>
      </c>
      <c r="E46" s="186" t="s">
        <v>732</v>
      </c>
      <c r="F46" s="2765">
        <f ca="1">'数据-取费表'!B41</f>
        <v>3.1300000000000001E-2</v>
      </c>
      <c r="G46" s="936"/>
      <c r="H46" s="47"/>
      <c r="I46" s="47"/>
      <c r="J46" s="47"/>
      <c r="K46" s="1861"/>
      <c r="L46" s="47"/>
      <c r="M46" s="47"/>
    </row>
    <row r="47" spans="1:37" ht="18" customHeight="1">
      <c r="A47" s="199" t="s">
        <v>3437</v>
      </c>
      <c r="B47" s="2728" t="s">
        <v>3315</v>
      </c>
      <c r="C47" s="3417" t="str">
        <f ca="1">C48&amp;"+"&amp;C49&amp;"V建"</f>
        <v>80151+0.003V建</v>
      </c>
      <c r="D47" s="2684" t="s">
        <v>3438</v>
      </c>
      <c r="E47" s="200"/>
      <c r="F47" s="2767"/>
      <c r="G47" s="936"/>
      <c r="H47" s="47"/>
      <c r="I47" s="47"/>
      <c r="J47" s="47"/>
      <c r="K47" s="1861"/>
      <c r="L47" s="47"/>
      <c r="M47" s="47"/>
    </row>
    <row r="48" spans="1:37" ht="18" customHeight="1">
      <c r="A48" s="2700" t="s">
        <v>391</v>
      </c>
      <c r="B48" s="186" t="s">
        <v>739</v>
      </c>
      <c r="C48" s="2702">
        <f ca="1">ROUND((C35+C42)*F48,0)</f>
        <v>80151</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646475</v>
      </c>
      <c r="D51" s="2739" t="s">
        <v>3449</v>
      </c>
      <c r="E51" s="2725"/>
      <c r="F51" s="2768"/>
      <c r="K51" s="4053"/>
      <c r="Q51" s="4048"/>
    </row>
    <row r="52" spans="1:37" s="4004" customFormat="1" ht="18" customHeight="1">
      <c r="A52" s="2729" t="s">
        <v>3439</v>
      </c>
      <c r="B52" s="2728" t="s">
        <v>3441</v>
      </c>
      <c r="C52" s="2743">
        <f ca="1">ROUND(C51*(1-F52),0)</f>
        <v>129295</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517180</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8" thickBot="1">
      <c r="A55" s="2473" t="s">
        <v>3976</v>
      </c>
      <c r="C55" s="2759">
        <f ca="1">IF(D2="含税",C83-C31,C80-C28)</f>
        <v>-1507157</v>
      </c>
      <c r="D55" s="956" t="str">
        <f>C2</f>
        <v>万元</v>
      </c>
      <c r="E55" s="950"/>
      <c r="F55" s="950"/>
      <c r="I55" s="957" t="s">
        <v>795</v>
      </c>
      <c r="J55" s="958"/>
      <c r="K55" s="959"/>
      <c r="L55" s="3900">
        <f ca="1">IF(M56="住宅",0,IF(L57&gt;J60,L69,J69))</f>
        <v>17868</v>
      </c>
      <c r="O55" s="4038" t="s">
        <v>1325</v>
      </c>
      <c r="P55" s="4039" t="s">
        <v>3918</v>
      </c>
      <c r="Q55" s="4059" t="s">
        <v>3919</v>
      </c>
      <c r="R55" s="4040" t="s">
        <v>3920</v>
      </c>
    </row>
    <row r="56" spans="1:37" s="936" customFormat="1" ht="13.8" thickBot="1">
      <c r="A56" s="4025" t="s">
        <v>3889</v>
      </c>
      <c r="B56" s="4026" t="s">
        <v>3890</v>
      </c>
      <c r="C56" s="3999" t="s">
        <v>3965</v>
      </c>
      <c r="D56" s="4026" t="s">
        <v>3891</v>
      </c>
      <c r="E56" s="4027" t="s">
        <v>3892</v>
      </c>
      <c r="F56" s="4054"/>
      <c r="G56" s="490"/>
      <c r="I56" s="964" t="s">
        <v>800</v>
      </c>
      <c r="J56" s="965" t="s">
        <v>4023</v>
      </c>
      <c r="K56" s="966" t="s">
        <v>801</v>
      </c>
      <c r="L56" s="3901">
        <f ca="1">INDIRECT("'数据-取费表'!d"&amp;$G$1)</f>
        <v>50</v>
      </c>
      <c r="M56" s="932" t="str">
        <f>IF(ISNUMBER(FIND("住宅",C1)),"住宅","非住宅")</f>
        <v>非住宅</v>
      </c>
      <c r="O56" s="4041" t="s">
        <v>397</v>
      </c>
      <c r="P56" s="4045" t="s">
        <v>3958</v>
      </c>
      <c r="Q56" s="4046">
        <f ca="1">C28+J31</f>
        <v>1324587</v>
      </c>
      <c r="R56" s="4043" t="s">
        <v>3922</v>
      </c>
    </row>
    <row r="57" spans="1:37" s="936" customFormat="1" ht="40.200000000000003" thickBot="1">
      <c r="A57" s="652" t="s">
        <v>432</v>
      </c>
      <c r="B57" s="184" t="s">
        <v>3914</v>
      </c>
      <c r="C57" s="4028">
        <f ca="1">C58+C62+C64</f>
        <v>0</v>
      </c>
      <c r="D57" s="4005" t="s">
        <v>3948</v>
      </c>
      <c r="E57" s="4029"/>
      <c r="F57" s="4055"/>
      <c r="G57" s="490"/>
      <c r="H57" s="491"/>
      <c r="I57" s="971" t="s">
        <v>804</v>
      </c>
      <c r="J57" s="972" t="s">
        <v>4039</v>
      </c>
      <c r="K57" s="973" t="s">
        <v>805</v>
      </c>
      <c r="L57" s="3890">
        <f ca="1">INDIRECT("'数据-取费表'!f"&amp;$G$1)</f>
        <v>36.950000000000003</v>
      </c>
      <c r="O57" s="4041" t="s">
        <v>398</v>
      </c>
      <c r="P57" s="4042" t="s">
        <v>3923</v>
      </c>
      <c r="Q57" s="4046">
        <f ca="1">J69</f>
        <v>17868</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646475</v>
      </c>
      <c r="R58" s="970" t="s">
        <v>803</v>
      </c>
    </row>
    <row r="59" spans="1:37" s="936" customFormat="1" ht="15" customHeight="1" thickBot="1">
      <c r="A59" s="3874" t="s">
        <v>3806</v>
      </c>
      <c r="B59" s="4449" t="s">
        <v>3803</v>
      </c>
      <c r="C59" s="3915">
        <f ca="1">ROUND(F58*F60*F59,0)</f>
        <v>0</v>
      </c>
      <c r="D59" s="4452" t="s">
        <v>3479</v>
      </c>
      <c r="E59" s="698" t="s">
        <v>682</v>
      </c>
      <c r="F59" s="2761">
        <f ca="1">F7</f>
        <v>110.59</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0"/>
      <c r="C60" s="3855"/>
      <c r="D60" s="4452"/>
      <c r="E60" s="657" t="str">
        <f ca="1">IF(F60=1,"年",IF(F60=12,"月","天"))</f>
        <v>天</v>
      </c>
      <c r="F60" s="2762">
        <f ca="1">F8</f>
        <v>365</v>
      </c>
      <c r="I60" s="981" t="s">
        <v>814</v>
      </c>
      <c r="J60" s="3890">
        <f>IF(J58="",J59,J58+J59-YEAR('数据-取费表'!B2))</f>
        <v>48</v>
      </c>
      <c r="K60" s="982" t="s">
        <v>815</v>
      </c>
      <c r="L60" s="3879">
        <f ca="1">ROUND(-PV(INDIRECT("'数据-取费表'!h"&amp;$G$1),J60,(C27-C52*C88),0),0)</f>
        <v>1000894</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36.950000000000003</v>
      </c>
      <c r="R61" s="970" t="s">
        <v>820</v>
      </c>
    </row>
    <row r="62" spans="1:37" s="936" customFormat="1" ht="36.6"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36.950000000000003</v>
      </c>
      <c r="K62" s="4447" t="s">
        <v>822</v>
      </c>
      <c r="L62" s="4448"/>
      <c r="O62" s="4041" t="s">
        <v>403</v>
      </c>
      <c r="P62" s="4045" t="s">
        <v>3960</v>
      </c>
      <c r="Q62" s="4046">
        <f ca="1">ROUND((Q56+Q57)*(1+F31),0)</f>
        <v>1463276</v>
      </c>
      <c r="R62" s="4043" t="s">
        <v>3962</v>
      </c>
    </row>
    <row r="63" spans="1:37" s="936" customFormat="1" ht="13.8"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8" thickBot="1">
      <c r="A64" s="720" t="s">
        <v>431</v>
      </c>
      <c r="B64" s="921" t="s">
        <v>688</v>
      </c>
      <c r="C64" s="2744"/>
      <c r="D64" s="59"/>
      <c r="E64" s="926"/>
      <c r="F64" s="988"/>
      <c r="I64" s="991" t="s">
        <v>825</v>
      </c>
      <c r="J64" s="992">
        <f ca="1">ROUND(IF(J56="钢混",J66/J59,1-(1-2%)*(J59-J66)/J59),3)</f>
        <v>0.184</v>
      </c>
      <c r="K64" s="993" t="s">
        <v>826</v>
      </c>
      <c r="L64" s="994"/>
      <c r="O64" s="4038" t="s">
        <v>1325</v>
      </c>
      <c r="P64" s="4039" t="s">
        <v>3918</v>
      </c>
      <c r="Q64" s="4059" t="s">
        <v>3919</v>
      </c>
      <c r="R64" s="4040" t="s">
        <v>3920</v>
      </c>
    </row>
    <row r="65" spans="1:18" s="936" customFormat="1" ht="37.200000000000003" thickTop="1" thickBot="1">
      <c r="A65" s="199" t="s">
        <v>3949</v>
      </c>
      <c r="B65" s="634" t="s">
        <v>3931</v>
      </c>
      <c r="C65" s="2743">
        <f ca="1">ROUND(C66+C74+C76+C78,0)</f>
        <v>3710</v>
      </c>
      <c r="D65" s="634" t="s">
        <v>3950</v>
      </c>
      <c r="E65" s="4056"/>
      <c r="F65" s="638"/>
      <c r="I65" s="997" t="s">
        <v>827</v>
      </c>
      <c r="J65" s="998" t="s">
        <v>4005</v>
      </c>
      <c r="K65" s="971" t="s">
        <v>828</v>
      </c>
      <c r="L65" s="3890" t="str">
        <f ca="1">IF(L57&lt;J60,"——",L57-J62)</f>
        <v>——</v>
      </c>
      <c r="O65" s="4041" t="s">
        <v>397</v>
      </c>
      <c r="P65" s="4045" t="s">
        <v>3958</v>
      </c>
      <c r="Q65" s="4046">
        <f ca="1">C28+J31</f>
        <v>1324587</v>
      </c>
      <c r="R65" s="4043" t="s">
        <v>3922</v>
      </c>
    </row>
    <row r="66" spans="1:18" s="936" customFormat="1" ht="24.6" thickBot="1">
      <c r="A66" s="519" t="s">
        <v>392</v>
      </c>
      <c r="B66" s="2695" t="s">
        <v>3986</v>
      </c>
      <c r="C66" s="2702">
        <f ca="1">ROUND(IF(AND(项目基本情况!B11="自然人",项目基本情况!B10="北京市",M56="住宅"),C58*F66,C67+C71+C72),0)</f>
        <v>-39</v>
      </c>
      <c r="D66" s="639" t="s">
        <v>3451</v>
      </c>
      <c r="E66" s="639" t="str">
        <f>E14</f>
        <v/>
      </c>
      <c r="F66" s="3840" t="str">
        <f>IF(M56="非住宅","",IF(F58*F59*F60/12/(1+'数据-取费表'!F30)&gt;100000,4%,2.5%))</f>
        <v/>
      </c>
      <c r="I66" s="1003" t="s">
        <v>829</v>
      </c>
      <c r="J66" s="3896">
        <f ca="1">IF(OR(M56="住宅",J60&lt;L57,J65="是"),"——",J60-L57)</f>
        <v>11.049999999999997</v>
      </c>
      <c r="K66" s="971" t="s">
        <v>830</v>
      </c>
      <c r="L66" s="3903" t="str">
        <f ca="1">IF(L57&lt;J60,"——",IF(L64="比较法",L58,IF(L64="基准地价",L59,L60)))</f>
        <v>——</v>
      </c>
      <c r="O66" s="4041" t="s">
        <v>398</v>
      </c>
      <c r="P66" s="4042" t="s">
        <v>3925</v>
      </c>
      <c r="Q66" s="4046">
        <f ca="1">L69</f>
        <v>0</v>
      </c>
      <c r="R66" s="4043" t="s">
        <v>3926</v>
      </c>
    </row>
    <row r="67" spans="1:18" s="936" customFormat="1" ht="24.6" thickBot="1">
      <c r="A67" s="2700" t="s">
        <v>391</v>
      </c>
      <c r="B67" s="2713" t="s">
        <v>3978</v>
      </c>
      <c r="C67" s="2702">
        <f ca="1">C70</f>
        <v>-39</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6" thickBot="1">
      <c r="A68" s="2505" t="s">
        <v>3292</v>
      </c>
      <c r="B68" s="2717" t="s">
        <v>3410</v>
      </c>
      <c r="C68" s="2702">
        <f ca="1">ROUND(C58*F68,0)</f>
        <v>0</v>
      </c>
      <c r="D68" s="995" t="s">
        <v>3878</v>
      </c>
      <c r="E68" s="2721" t="s">
        <v>3412</v>
      </c>
      <c r="F68" s="2766">
        <f>F16</f>
        <v>0.09</v>
      </c>
      <c r="I68" s="1003" t="s">
        <v>835</v>
      </c>
      <c r="J68" s="3898">
        <f ca="1">IF(OR(M56="住宅",J60&lt;L57,J65="是"),"——",ROUND(C51*J67,0))</f>
        <v>258590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2" thickBot="1">
      <c r="A69" s="2505" t="s">
        <v>3293</v>
      </c>
      <c r="B69" s="2717" t="s">
        <v>3411</v>
      </c>
      <c r="C69" s="2702">
        <f ca="1">ROUND(C74*F68+((C76+C78)*F69),0)</f>
        <v>322</v>
      </c>
      <c r="D69" s="3981" t="s">
        <v>3872</v>
      </c>
      <c r="E69" s="2722"/>
      <c r="F69" s="2766">
        <f>F17</f>
        <v>0.06</v>
      </c>
      <c r="I69" s="1006" t="s">
        <v>837</v>
      </c>
      <c r="J69" s="3899">
        <f ca="1">IF(OR(M56="住宅",J60&lt;L57,J65="是"),"0",ROUND(J68/(1+J61)^J62,0))</f>
        <v>17868</v>
      </c>
      <c r="K69" s="1008" t="s">
        <v>838</v>
      </c>
      <c r="L69" s="3899">
        <f ca="1">IF(OR(M56="住宅",L57&lt;J60),0,ROUND(L66*(L67/L68-1),0))</f>
        <v>0</v>
      </c>
      <c r="O69" s="977" t="s">
        <v>401</v>
      </c>
      <c r="P69" s="969" t="s">
        <v>839</v>
      </c>
      <c r="Q69" s="3433" t="e">
        <f ca="1">L67</f>
        <v>#DIV/0!</v>
      </c>
      <c r="R69" s="970" t="s">
        <v>840</v>
      </c>
    </row>
    <row r="70" spans="1:18" s="936" customFormat="1" ht="13.8" thickBot="1">
      <c r="A70" s="2505" t="s">
        <v>3975</v>
      </c>
      <c r="B70" s="2717" t="s">
        <v>3974</v>
      </c>
      <c r="C70" s="2702">
        <f ca="1">ROUND((C68-C69)*F70,0)</f>
        <v>-39</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8"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1443800</v>
      </c>
      <c r="R71" s="4043" t="s">
        <v>3962</v>
      </c>
    </row>
    <row r="72" spans="1:18" s="936" customFormat="1" ht="13.8"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8"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8" thickBot="1">
      <c r="A74" s="3871" t="s">
        <v>774</v>
      </c>
      <c r="B74" s="625" t="s">
        <v>775</v>
      </c>
      <c r="C74" s="3882">
        <f ca="1">ROUND(F74*F75,0)</f>
        <v>3232</v>
      </c>
      <c r="D74" s="3865" t="s">
        <v>724</v>
      </c>
      <c r="E74" s="2695" t="s">
        <v>3817</v>
      </c>
      <c r="F74" s="3879">
        <f ca="1">C51</f>
        <v>646475</v>
      </c>
      <c r="I74" s="3425" t="s">
        <v>851</v>
      </c>
      <c r="J74" s="223">
        <v>40</v>
      </c>
      <c r="K74" s="223">
        <v>30</v>
      </c>
      <c r="L74" s="223">
        <v>50</v>
      </c>
      <c r="M74" s="1013">
        <v>0.02</v>
      </c>
      <c r="O74" s="4041" t="s">
        <v>397</v>
      </c>
      <c r="P74" s="4042" t="s">
        <v>3921</v>
      </c>
      <c r="Q74" s="4044">
        <f ca="1">C28+J31</f>
        <v>1324587</v>
      </c>
      <c r="R74" s="4043" t="s">
        <v>3922</v>
      </c>
    </row>
    <row r="75" spans="1:18" s="936" customFormat="1" ht="16.2" thickBot="1">
      <c r="A75" s="3873"/>
      <c r="B75" s="632"/>
      <c r="C75" s="3883"/>
      <c r="D75" s="3866"/>
      <c r="E75" s="626" t="s">
        <v>697</v>
      </c>
      <c r="F75" s="2768">
        <f ca="1">F22</f>
        <v>5.0000000000000001E-3</v>
      </c>
      <c r="O75" s="4041" t="s">
        <v>398</v>
      </c>
      <c r="P75" s="4042" t="s">
        <v>3925</v>
      </c>
      <c r="Q75" s="4060">
        <f ca="1">L69</f>
        <v>0</v>
      </c>
      <c r="R75" s="4043" t="s">
        <v>3927</v>
      </c>
    </row>
    <row r="76" spans="1:18" s="936" customFormat="1" ht="13.8" thickBot="1">
      <c r="A76" s="3871" t="s">
        <v>777</v>
      </c>
      <c r="B76" s="625" t="s">
        <v>727</v>
      </c>
      <c r="C76" s="3882">
        <f ca="1">ROUND(F76*F77,0)</f>
        <v>517</v>
      </c>
      <c r="D76" s="3865" t="s">
        <v>3448</v>
      </c>
      <c r="E76" s="2695" t="s">
        <v>3447</v>
      </c>
      <c r="F76" s="3880">
        <f ca="1">C53</f>
        <v>517180</v>
      </c>
      <c r="O76" s="968"/>
      <c r="P76" s="969"/>
      <c r="Q76" s="3433"/>
      <c r="R76" s="970"/>
    </row>
    <row r="77" spans="1:18" s="936" customFormat="1" ht="17.399999999999999" thickBot="1">
      <c r="A77" s="3873"/>
      <c r="B77" s="632"/>
      <c r="C77" s="3883"/>
      <c r="D77" s="3866"/>
      <c r="E77" s="626" t="s">
        <v>697</v>
      </c>
      <c r="F77" s="2768">
        <f ca="1">F24</f>
        <v>1E-3</v>
      </c>
      <c r="O77" s="977" t="s">
        <v>399</v>
      </c>
      <c r="P77" s="969" t="s">
        <v>834</v>
      </c>
      <c r="Q77" s="3434">
        <f ca="1">L60</f>
        <v>1000894</v>
      </c>
      <c r="R77" s="970" t="s">
        <v>854</v>
      </c>
    </row>
    <row r="78" spans="1:18" s="4004" customFormat="1" ht="13.8"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24.6" thickBot="1">
      <c r="A79" s="633" t="s">
        <v>3951</v>
      </c>
      <c r="B79" s="643" t="s">
        <v>3899</v>
      </c>
      <c r="C79" s="2743">
        <f ca="1">C57-C65</f>
        <v>-3710</v>
      </c>
      <c r="D79" s="643" t="s">
        <v>3900</v>
      </c>
      <c r="E79" s="4030"/>
      <c r="F79" s="4031"/>
      <c r="O79" s="977" t="s">
        <v>400</v>
      </c>
      <c r="P79" s="1015" t="s">
        <v>3952</v>
      </c>
      <c r="Q79" s="3434">
        <f ca="1">ROUND(Q80-Q81*Q82,0)</f>
        <v>55368</v>
      </c>
      <c r="R79" s="970" t="s">
        <v>408</v>
      </c>
    </row>
    <row r="80" spans="1:18" s="4004" customFormat="1" ht="13.8" thickBot="1">
      <c r="A80" s="3202" t="s">
        <v>388</v>
      </c>
      <c r="B80" s="624" t="s">
        <v>3901</v>
      </c>
      <c r="C80" s="3915">
        <f ca="1">ROUND(C79*(1-((1+F82)/(1+F80))^F81)/(F80-F82),0)</f>
        <v>-58126</v>
      </c>
      <c r="D80" s="4032" t="s">
        <v>3902</v>
      </c>
      <c r="E80" s="634" t="s">
        <v>3903</v>
      </c>
      <c r="F80" s="2768">
        <f ca="1">F28</f>
        <v>5.5E-2</v>
      </c>
      <c r="O80" s="977" t="s">
        <v>405</v>
      </c>
      <c r="P80" s="1015" t="s">
        <v>3953</v>
      </c>
      <c r="Q80" s="3434">
        <f ca="1">C27</f>
        <v>65065</v>
      </c>
      <c r="R80" s="970" t="s">
        <v>803</v>
      </c>
    </row>
    <row r="81" spans="1:18" s="4004" customFormat="1" ht="13.8" thickBot="1">
      <c r="A81" s="3203"/>
      <c r="B81" s="628"/>
      <c r="C81" s="4096"/>
      <c r="D81" s="4033" t="s">
        <v>3907</v>
      </c>
      <c r="E81" s="634" t="s">
        <v>3906</v>
      </c>
      <c r="F81" s="2769">
        <f ca="1">F29</f>
        <v>36.950000000000003</v>
      </c>
      <c r="O81" s="977" t="s">
        <v>406</v>
      </c>
      <c r="P81" s="1015" t="s">
        <v>3954</v>
      </c>
      <c r="Q81" s="3434">
        <f ca="1">C52</f>
        <v>129295</v>
      </c>
      <c r="R81" s="970" t="s">
        <v>803</v>
      </c>
    </row>
    <row r="82" spans="1:18" s="4004" customFormat="1" ht="13.8" thickBot="1">
      <c r="A82" s="4057"/>
      <c r="B82" s="4058"/>
      <c r="C82" s="4058"/>
      <c r="D82" s="4034"/>
      <c r="E82" s="634" t="s">
        <v>3908</v>
      </c>
      <c r="F82" s="2763"/>
      <c r="O82" s="977" t="s">
        <v>407</v>
      </c>
      <c r="P82" s="1015" t="s">
        <v>3955</v>
      </c>
      <c r="Q82" s="3431">
        <f ca="1">C88</f>
        <v>7.4999999999999997E-2</v>
      </c>
      <c r="R82" s="970"/>
    </row>
    <row r="83" spans="1:18" s="4004" customFormat="1" ht="13.8" thickBot="1">
      <c r="A83" s="630"/>
      <c r="B83" s="2742" t="s">
        <v>3957</v>
      </c>
      <c r="C83" s="3856">
        <f ca="1">ROUND(C80*(1+F31),0)</f>
        <v>-63357</v>
      </c>
      <c r="D83" s="4226" t="str">
        <f>D31</f>
        <v>其他类型公式—收益价值×（1+9%）</v>
      </c>
      <c r="E83" s="1019"/>
      <c r="F83" s="4036"/>
      <c r="O83" s="977" t="s">
        <v>401</v>
      </c>
      <c r="P83" s="969" t="s">
        <v>3956</v>
      </c>
      <c r="Q83" s="3431">
        <f>L61</f>
        <v>0</v>
      </c>
      <c r="R83" s="970"/>
    </row>
    <row r="84" spans="1:18" ht="16.2" thickBot="1">
      <c r="A84" s="647" t="s">
        <v>389</v>
      </c>
      <c r="B84" s="648" t="s">
        <v>761</v>
      </c>
      <c r="C84" s="2754">
        <f ca="1">ROUND(C83/F84,0)</f>
        <v>-573</v>
      </c>
      <c r="D84" s="4037" t="s">
        <v>3911</v>
      </c>
      <c r="E84" s="648" t="s">
        <v>3912</v>
      </c>
      <c r="F84" s="2770">
        <f ca="1">F32</f>
        <v>110.59</v>
      </c>
      <c r="G84" s="4004"/>
      <c r="H84" s="4004"/>
      <c r="O84" s="977" t="s">
        <v>402</v>
      </c>
      <c r="P84" s="969" t="s">
        <v>839</v>
      </c>
      <c r="Q84" s="3433" t="e">
        <f ca="1">L67</f>
        <v>#DIV/0!</v>
      </c>
      <c r="R84" s="970" t="s">
        <v>840</v>
      </c>
    </row>
    <row r="85" spans="1:18" ht="13.8" thickBot="1">
      <c r="A85" s="936"/>
      <c r="B85" s="494"/>
      <c r="C85" s="494"/>
      <c r="D85" s="936"/>
      <c r="E85" s="936"/>
      <c r="F85" s="936"/>
      <c r="O85" s="977" t="s">
        <v>409</v>
      </c>
      <c r="P85" s="969" t="str">
        <f>K68</f>
        <v>建筑物剩余耐用年限下的土地年期修正系数Kn</v>
      </c>
      <c r="Q85" s="3433" t="e">
        <f ca="1">L68</f>
        <v>#DIV/0!</v>
      </c>
      <c r="R85" s="970" t="s">
        <v>841</v>
      </c>
    </row>
    <row r="86" spans="1:18" ht="13.8" thickBot="1">
      <c r="A86" s="936"/>
      <c r="B86" s="168" t="s">
        <v>859</v>
      </c>
      <c r="C86" s="1017"/>
      <c r="D86" s="936"/>
      <c r="E86" s="936"/>
      <c r="F86" s="936"/>
      <c r="K86" s="952"/>
      <c r="L86" s="936"/>
      <c r="O86" s="4041" t="s">
        <v>403</v>
      </c>
      <c r="P86" s="4045" t="s">
        <v>3961</v>
      </c>
      <c r="Q86" s="4044">
        <f ca="1">ROUND((Q74+Q75)*(1+F31),0)</f>
        <v>1443800</v>
      </c>
      <c r="R86" s="4043" t="s">
        <v>3962</v>
      </c>
    </row>
    <row r="87" spans="1:18">
      <c r="A87" s="936"/>
      <c r="B87" s="222" t="s">
        <v>780</v>
      </c>
      <c r="C87" s="2832">
        <f ca="1">ROUND(C53*C88,0)</f>
        <v>38789</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0.40400000000000003</v>
      </c>
    </row>
    <row r="92" spans="1:18">
      <c r="B92" s="222" t="s">
        <v>785</v>
      </c>
      <c r="C92" s="2833">
        <f ca="1">ROUND(C87/C27,3)</f>
        <v>0.59599999999999997</v>
      </c>
    </row>
    <row r="93" spans="1:18">
      <c r="B93" s="165" t="s">
        <v>786</v>
      </c>
      <c r="C93" s="133"/>
    </row>
    <row r="94" spans="1:18">
      <c r="B94" s="168" t="s">
        <v>787</v>
      </c>
      <c r="C94" s="2834">
        <f ca="1">1-C95</f>
        <v>0.61499999999999999</v>
      </c>
    </row>
    <row r="95" spans="1:18">
      <c r="B95" s="168" t="s">
        <v>788</v>
      </c>
      <c r="C95" s="2833">
        <f ca="1">ROUND(C53/(C28+J31+L55),3)</f>
        <v>0.38500000000000001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18" t="s">
        <v>679</v>
      </c>
      <c r="C6" s="712">
        <f ca="1">ROUND(F6*F8*F7*(1-F9),0)</f>
        <v>0</v>
      </c>
      <c r="D6" s="56" t="s">
        <v>2016</v>
      </c>
      <c r="E6" s="186" t="s">
        <v>681</v>
      </c>
      <c r="F6" s="187">
        <f ca="1">INDIRECT("'数据-取费表'!u"&amp;$G$1)</f>
        <v>0</v>
      </c>
      <c r="G6" s="936"/>
      <c r="H6" s="707" t="s">
        <v>392</v>
      </c>
      <c r="I6" s="4518" t="s">
        <v>679</v>
      </c>
      <c r="J6" s="185">
        <f ca="1">ROUND(M6*M8*M7*(1-M9),0)</f>
        <v>0</v>
      </c>
      <c r="K6" s="928" t="s">
        <v>2017</v>
      </c>
      <c r="L6" s="186" t="s">
        <v>681</v>
      </c>
      <c r="M6" s="187">
        <f ca="1">INDIRECT("'数据-取费表'!z"&amp;$G$1)</f>
        <v>0</v>
      </c>
    </row>
    <row r="7" spans="1:37" ht="18" customHeight="1">
      <c r="A7" s="711"/>
      <c r="B7" s="4519"/>
      <c r="C7" s="713"/>
      <c r="D7" s="191"/>
      <c r="E7" s="714" t="s">
        <v>682</v>
      </c>
      <c r="F7" s="187">
        <f ca="1">IF(INDIRECT("'数据-取费表'!ah"&amp;$G$1)="",INDIRECT("'数据-取费表'!k"&amp;$G$1),INDIRECT("'数据-取费表'!ah"&amp;$G$1))</f>
        <v>0</v>
      </c>
      <c r="G7" s="936"/>
      <c r="H7" s="188"/>
      <c r="I7" s="4519"/>
      <c r="J7" s="190"/>
      <c r="K7" s="191"/>
      <c r="L7" s="186" t="s">
        <v>682</v>
      </c>
      <c r="M7" s="187">
        <f ca="1">F7</f>
        <v>0</v>
      </c>
    </row>
    <row r="8" spans="1:37" ht="18" customHeight="1">
      <c r="A8" s="188"/>
      <c r="B8" s="4519"/>
      <c r="C8" s="190"/>
      <c r="D8" s="191"/>
      <c r="E8" s="186" t="s">
        <v>683</v>
      </c>
      <c r="F8" s="187">
        <f ca="1">INDIRECT("'数据-取费表'!ai"&amp;$G$1)</f>
        <v>0</v>
      </c>
      <c r="G8" s="936"/>
      <c r="H8" s="188"/>
      <c r="I8" s="4519"/>
      <c r="J8" s="190"/>
      <c r="K8" s="191"/>
      <c r="L8" s="186" t="s">
        <v>683</v>
      </c>
      <c r="M8" s="187">
        <f ca="1">INDIRECT("'数据-取费表'!ai"&amp;$G$1)</f>
        <v>0</v>
      </c>
    </row>
    <row r="9" spans="1:37" ht="18" customHeight="1">
      <c r="A9" s="188"/>
      <c r="B9" s="4520"/>
      <c r="C9" s="190"/>
      <c r="D9" s="191"/>
      <c r="E9" s="186" t="s">
        <v>684</v>
      </c>
      <c r="F9" s="196">
        <f ca="1">INDIRECT("'数据-取费表'!w"&amp;$G$1)</f>
        <v>0</v>
      </c>
      <c r="G9" s="936"/>
      <c r="H9" s="188"/>
      <c r="I9" s="4520"/>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47" t="s">
        <v>822</v>
      </c>
      <c r="L53" s="4448"/>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G65" sqref="G65"/>
    </sheetView>
  </sheetViews>
  <sheetFormatPr defaultRowHeight="13.2" customHeight="1"/>
  <cols>
    <col min="1" max="1" width="9.44140625" style="2066" customWidth="1"/>
    <col min="2" max="2" width="8.88671875" style="2066"/>
    <col min="3" max="5" width="12.88671875" style="2066" customWidth="1"/>
    <col min="6" max="6" width="47.44140625" style="2066" customWidth="1"/>
    <col min="7" max="7" width="13" style="2060" customWidth="1"/>
    <col min="8" max="8" width="8.88671875" style="2060"/>
    <col min="9" max="9" width="8.88671875" style="2061"/>
    <col min="10" max="10" width="5.77734375" style="2178" customWidth="1"/>
    <col min="11" max="11" width="11.77734375" style="2178" customWidth="1"/>
    <col min="12" max="13" width="10.77734375" style="2178" customWidth="1"/>
    <col min="14" max="14" width="10" style="2178" customWidth="1"/>
    <col min="15" max="16" width="10.44140625" style="2178" bestFit="1" customWidth="1"/>
    <col min="17" max="17" width="10" style="2178" customWidth="1"/>
    <col min="18" max="18" width="10.109375" style="2178" customWidth="1"/>
    <col min="19" max="19" width="10" style="2178" customWidth="1"/>
    <col min="20" max="20" width="26.109375" style="2178" customWidth="1"/>
    <col min="21" max="21" width="8.88671875" style="2178"/>
    <col min="22" max="22" width="8.88671875" style="2061"/>
    <col min="23" max="256" width="8.88671875" style="2066"/>
    <col min="257" max="257" width="9.44140625" style="2066" customWidth="1"/>
    <col min="258" max="258" width="8.88671875" style="2066"/>
    <col min="259" max="261" width="12.88671875" style="2066" customWidth="1"/>
    <col min="262" max="262" width="47.44140625" style="2066" customWidth="1"/>
    <col min="263" max="263" width="13" style="2066" customWidth="1"/>
    <col min="264" max="265" width="8.88671875" style="2066"/>
    <col min="266" max="266" width="5.77734375" style="2066" customWidth="1"/>
    <col min="267" max="267" width="11.77734375" style="2066" customWidth="1"/>
    <col min="268" max="269" width="10.77734375" style="2066" customWidth="1"/>
    <col min="270" max="270" width="10" style="2066" customWidth="1"/>
    <col min="271" max="272" width="10.44140625" style="2066" bestFit="1" customWidth="1"/>
    <col min="273" max="273" width="10" style="2066" customWidth="1"/>
    <col min="274" max="274" width="10.109375" style="2066" customWidth="1"/>
    <col min="275" max="275" width="10" style="2066" customWidth="1"/>
    <col min="276" max="276" width="26.109375" style="2066" customWidth="1"/>
    <col min="277" max="512" width="8.88671875" style="2066"/>
    <col min="513" max="513" width="9.44140625" style="2066" customWidth="1"/>
    <col min="514" max="514" width="8.88671875" style="2066"/>
    <col min="515" max="517" width="12.88671875" style="2066" customWidth="1"/>
    <col min="518" max="518" width="47.44140625" style="2066" customWidth="1"/>
    <col min="519" max="519" width="13" style="2066" customWidth="1"/>
    <col min="520" max="521" width="8.88671875" style="2066"/>
    <col min="522" max="522" width="5.77734375" style="2066" customWidth="1"/>
    <col min="523" max="523" width="11.77734375" style="2066" customWidth="1"/>
    <col min="524" max="525" width="10.77734375" style="2066" customWidth="1"/>
    <col min="526" max="526" width="10" style="2066" customWidth="1"/>
    <col min="527" max="528" width="10.44140625" style="2066" bestFit="1" customWidth="1"/>
    <col min="529" max="529" width="10" style="2066" customWidth="1"/>
    <col min="530" max="530" width="10.109375" style="2066" customWidth="1"/>
    <col min="531" max="531" width="10" style="2066" customWidth="1"/>
    <col min="532" max="532" width="26.109375" style="2066" customWidth="1"/>
    <col min="533" max="768" width="8.88671875" style="2066"/>
    <col min="769" max="769" width="9.44140625" style="2066" customWidth="1"/>
    <col min="770" max="770" width="8.88671875" style="2066"/>
    <col min="771" max="773" width="12.88671875" style="2066" customWidth="1"/>
    <col min="774" max="774" width="47.44140625" style="2066" customWidth="1"/>
    <col min="775" max="775" width="13" style="2066" customWidth="1"/>
    <col min="776" max="777" width="8.88671875" style="2066"/>
    <col min="778" max="778" width="5.77734375" style="2066" customWidth="1"/>
    <col min="779" max="779" width="11.77734375" style="2066" customWidth="1"/>
    <col min="780" max="781" width="10.77734375" style="2066" customWidth="1"/>
    <col min="782" max="782" width="10" style="2066" customWidth="1"/>
    <col min="783" max="784" width="10.44140625" style="2066" bestFit="1" customWidth="1"/>
    <col min="785" max="785" width="10" style="2066" customWidth="1"/>
    <col min="786" max="786" width="10.109375" style="2066" customWidth="1"/>
    <col min="787" max="787" width="10" style="2066" customWidth="1"/>
    <col min="788" max="788" width="26.109375" style="2066" customWidth="1"/>
    <col min="789" max="1024" width="8.88671875" style="2066"/>
    <col min="1025" max="1025" width="9.44140625" style="2066" customWidth="1"/>
    <col min="1026" max="1026" width="8.88671875" style="2066"/>
    <col min="1027" max="1029" width="12.88671875" style="2066" customWidth="1"/>
    <col min="1030" max="1030" width="47.44140625" style="2066" customWidth="1"/>
    <col min="1031" max="1031" width="13" style="2066" customWidth="1"/>
    <col min="1032" max="1033" width="8.88671875" style="2066"/>
    <col min="1034" max="1034" width="5.77734375" style="2066" customWidth="1"/>
    <col min="1035" max="1035" width="11.77734375" style="2066" customWidth="1"/>
    <col min="1036" max="1037" width="10.77734375" style="2066" customWidth="1"/>
    <col min="1038" max="1038" width="10" style="2066" customWidth="1"/>
    <col min="1039" max="1040" width="10.44140625" style="2066" bestFit="1" customWidth="1"/>
    <col min="1041" max="1041" width="10" style="2066" customWidth="1"/>
    <col min="1042" max="1042" width="10.109375" style="2066" customWidth="1"/>
    <col min="1043" max="1043" width="10" style="2066" customWidth="1"/>
    <col min="1044" max="1044" width="26.109375" style="2066" customWidth="1"/>
    <col min="1045" max="1280" width="8.88671875" style="2066"/>
    <col min="1281" max="1281" width="9.44140625" style="2066" customWidth="1"/>
    <col min="1282" max="1282" width="8.88671875" style="2066"/>
    <col min="1283" max="1285" width="12.88671875" style="2066" customWidth="1"/>
    <col min="1286" max="1286" width="47.44140625" style="2066" customWidth="1"/>
    <col min="1287" max="1287" width="13" style="2066" customWidth="1"/>
    <col min="1288" max="1289" width="8.88671875" style="2066"/>
    <col min="1290" max="1290" width="5.77734375" style="2066" customWidth="1"/>
    <col min="1291" max="1291" width="11.77734375" style="2066" customWidth="1"/>
    <col min="1292" max="1293" width="10.77734375" style="2066" customWidth="1"/>
    <col min="1294" max="1294" width="10" style="2066" customWidth="1"/>
    <col min="1295" max="1296" width="10.44140625" style="2066" bestFit="1" customWidth="1"/>
    <col min="1297" max="1297" width="10" style="2066" customWidth="1"/>
    <col min="1298" max="1298" width="10.109375" style="2066" customWidth="1"/>
    <col min="1299" max="1299" width="10" style="2066" customWidth="1"/>
    <col min="1300" max="1300" width="26.109375" style="2066" customWidth="1"/>
    <col min="1301" max="1536" width="8.88671875" style="2066"/>
    <col min="1537" max="1537" width="9.44140625" style="2066" customWidth="1"/>
    <col min="1538" max="1538" width="8.88671875" style="2066"/>
    <col min="1539" max="1541" width="12.88671875" style="2066" customWidth="1"/>
    <col min="1542" max="1542" width="47.44140625" style="2066" customWidth="1"/>
    <col min="1543" max="1543" width="13" style="2066" customWidth="1"/>
    <col min="1544" max="1545" width="8.88671875" style="2066"/>
    <col min="1546" max="1546" width="5.77734375" style="2066" customWidth="1"/>
    <col min="1547" max="1547" width="11.77734375" style="2066" customWidth="1"/>
    <col min="1548" max="1549" width="10.77734375" style="2066" customWidth="1"/>
    <col min="1550" max="1550" width="10" style="2066" customWidth="1"/>
    <col min="1551" max="1552" width="10.44140625" style="2066" bestFit="1" customWidth="1"/>
    <col min="1553" max="1553" width="10" style="2066" customWidth="1"/>
    <col min="1554" max="1554" width="10.109375" style="2066" customWidth="1"/>
    <col min="1555" max="1555" width="10" style="2066" customWidth="1"/>
    <col min="1556" max="1556" width="26.109375" style="2066" customWidth="1"/>
    <col min="1557" max="1792" width="8.88671875" style="2066"/>
    <col min="1793" max="1793" width="9.44140625" style="2066" customWidth="1"/>
    <col min="1794" max="1794" width="8.88671875" style="2066"/>
    <col min="1795" max="1797" width="12.88671875" style="2066" customWidth="1"/>
    <col min="1798" max="1798" width="47.44140625" style="2066" customWidth="1"/>
    <col min="1799" max="1799" width="13" style="2066" customWidth="1"/>
    <col min="1800" max="1801" width="8.88671875" style="2066"/>
    <col min="1802" max="1802" width="5.77734375" style="2066" customWidth="1"/>
    <col min="1803" max="1803" width="11.77734375" style="2066" customWidth="1"/>
    <col min="1804" max="1805" width="10.77734375" style="2066" customWidth="1"/>
    <col min="1806" max="1806" width="10" style="2066" customWidth="1"/>
    <col min="1807" max="1808" width="10.44140625" style="2066" bestFit="1" customWidth="1"/>
    <col min="1809" max="1809" width="10" style="2066" customWidth="1"/>
    <col min="1810" max="1810" width="10.109375" style="2066" customWidth="1"/>
    <col min="1811" max="1811" width="10" style="2066" customWidth="1"/>
    <col min="1812" max="1812" width="26.109375" style="2066" customWidth="1"/>
    <col min="1813" max="2048" width="8.88671875" style="2066"/>
    <col min="2049" max="2049" width="9.44140625" style="2066" customWidth="1"/>
    <col min="2050" max="2050" width="8.88671875" style="2066"/>
    <col min="2051" max="2053" width="12.88671875" style="2066" customWidth="1"/>
    <col min="2054" max="2054" width="47.44140625" style="2066" customWidth="1"/>
    <col min="2055" max="2055" width="13" style="2066" customWidth="1"/>
    <col min="2056" max="2057" width="8.88671875" style="2066"/>
    <col min="2058" max="2058" width="5.77734375" style="2066" customWidth="1"/>
    <col min="2059" max="2059" width="11.77734375" style="2066" customWidth="1"/>
    <col min="2060" max="2061" width="10.77734375" style="2066" customWidth="1"/>
    <col min="2062" max="2062" width="10" style="2066" customWidth="1"/>
    <col min="2063" max="2064" width="10.44140625" style="2066" bestFit="1" customWidth="1"/>
    <col min="2065" max="2065" width="10" style="2066" customWidth="1"/>
    <col min="2066" max="2066" width="10.109375" style="2066" customWidth="1"/>
    <col min="2067" max="2067" width="10" style="2066" customWidth="1"/>
    <col min="2068" max="2068" width="26.109375" style="2066" customWidth="1"/>
    <col min="2069" max="2304" width="8.88671875" style="2066"/>
    <col min="2305" max="2305" width="9.44140625" style="2066" customWidth="1"/>
    <col min="2306" max="2306" width="8.88671875" style="2066"/>
    <col min="2307" max="2309" width="12.88671875" style="2066" customWidth="1"/>
    <col min="2310" max="2310" width="47.44140625" style="2066" customWidth="1"/>
    <col min="2311" max="2311" width="13" style="2066" customWidth="1"/>
    <col min="2312" max="2313" width="8.88671875" style="2066"/>
    <col min="2314" max="2314" width="5.77734375" style="2066" customWidth="1"/>
    <col min="2315" max="2315" width="11.77734375" style="2066" customWidth="1"/>
    <col min="2316" max="2317" width="10.77734375" style="2066" customWidth="1"/>
    <col min="2318" max="2318" width="10" style="2066" customWidth="1"/>
    <col min="2319" max="2320" width="10.44140625" style="2066" bestFit="1" customWidth="1"/>
    <col min="2321" max="2321" width="10" style="2066" customWidth="1"/>
    <col min="2322" max="2322" width="10.109375" style="2066" customWidth="1"/>
    <col min="2323" max="2323" width="10" style="2066" customWidth="1"/>
    <col min="2324" max="2324" width="26.109375" style="2066" customWidth="1"/>
    <col min="2325" max="2560" width="8.88671875" style="2066"/>
    <col min="2561" max="2561" width="9.44140625" style="2066" customWidth="1"/>
    <col min="2562" max="2562" width="8.88671875" style="2066"/>
    <col min="2563" max="2565" width="12.88671875" style="2066" customWidth="1"/>
    <col min="2566" max="2566" width="47.44140625" style="2066" customWidth="1"/>
    <col min="2567" max="2567" width="13" style="2066" customWidth="1"/>
    <col min="2568" max="2569" width="8.88671875" style="2066"/>
    <col min="2570" max="2570" width="5.77734375" style="2066" customWidth="1"/>
    <col min="2571" max="2571" width="11.77734375" style="2066" customWidth="1"/>
    <col min="2572" max="2573" width="10.77734375" style="2066" customWidth="1"/>
    <col min="2574" max="2574" width="10" style="2066" customWidth="1"/>
    <col min="2575" max="2576" width="10.44140625" style="2066" bestFit="1" customWidth="1"/>
    <col min="2577" max="2577" width="10" style="2066" customWidth="1"/>
    <col min="2578" max="2578" width="10.109375" style="2066" customWidth="1"/>
    <col min="2579" max="2579" width="10" style="2066" customWidth="1"/>
    <col min="2580" max="2580" width="26.109375" style="2066" customWidth="1"/>
    <col min="2581" max="2816" width="8.88671875" style="2066"/>
    <col min="2817" max="2817" width="9.44140625" style="2066" customWidth="1"/>
    <col min="2818" max="2818" width="8.88671875" style="2066"/>
    <col min="2819" max="2821" width="12.88671875" style="2066" customWidth="1"/>
    <col min="2822" max="2822" width="47.44140625" style="2066" customWidth="1"/>
    <col min="2823" max="2823" width="13" style="2066" customWidth="1"/>
    <col min="2824" max="2825" width="8.88671875" style="2066"/>
    <col min="2826" max="2826" width="5.77734375" style="2066" customWidth="1"/>
    <col min="2827" max="2827" width="11.77734375" style="2066" customWidth="1"/>
    <col min="2828" max="2829" width="10.77734375" style="2066" customWidth="1"/>
    <col min="2830" max="2830" width="10" style="2066" customWidth="1"/>
    <col min="2831" max="2832" width="10.44140625" style="2066" bestFit="1" customWidth="1"/>
    <col min="2833" max="2833" width="10" style="2066" customWidth="1"/>
    <col min="2834" max="2834" width="10.109375" style="2066" customWidth="1"/>
    <col min="2835" max="2835" width="10" style="2066" customWidth="1"/>
    <col min="2836" max="2836" width="26.109375" style="2066" customWidth="1"/>
    <col min="2837" max="3072" width="8.88671875" style="2066"/>
    <col min="3073" max="3073" width="9.44140625" style="2066" customWidth="1"/>
    <col min="3074" max="3074" width="8.88671875" style="2066"/>
    <col min="3075" max="3077" width="12.88671875" style="2066" customWidth="1"/>
    <col min="3078" max="3078" width="47.44140625" style="2066" customWidth="1"/>
    <col min="3079" max="3079" width="13" style="2066" customWidth="1"/>
    <col min="3080" max="3081" width="8.88671875" style="2066"/>
    <col min="3082" max="3082" width="5.77734375" style="2066" customWidth="1"/>
    <col min="3083" max="3083" width="11.77734375" style="2066" customWidth="1"/>
    <col min="3084" max="3085" width="10.77734375" style="2066" customWidth="1"/>
    <col min="3086" max="3086" width="10" style="2066" customWidth="1"/>
    <col min="3087" max="3088" width="10.44140625" style="2066" bestFit="1" customWidth="1"/>
    <col min="3089" max="3089" width="10" style="2066" customWidth="1"/>
    <col min="3090" max="3090" width="10.109375" style="2066" customWidth="1"/>
    <col min="3091" max="3091" width="10" style="2066" customWidth="1"/>
    <col min="3092" max="3092" width="26.109375" style="2066" customWidth="1"/>
    <col min="3093" max="3328" width="8.88671875" style="2066"/>
    <col min="3329" max="3329" width="9.44140625" style="2066" customWidth="1"/>
    <col min="3330" max="3330" width="8.88671875" style="2066"/>
    <col min="3331" max="3333" width="12.88671875" style="2066" customWidth="1"/>
    <col min="3334" max="3334" width="47.44140625" style="2066" customWidth="1"/>
    <col min="3335" max="3335" width="13" style="2066" customWidth="1"/>
    <col min="3336" max="3337" width="8.88671875" style="2066"/>
    <col min="3338" max="3338" width="5.77734375" style="2066" customWidth="1"/>
    <col min="3339" max="3339" width="11.77734375" style="2066" customWidth="1"/>
    <col min="3340" max="3341" width="10.77734375" style="2066" customWidth="1"/>
    <col min="3342" max="3342" width="10" style="2066" customWidth="1"/>
    <col min="3343" max="3344" width="10.44140625" style="2066" bestFit="1" customWidth="1"/>
    <col min="3345" max="3345" width="10" style="2066" customWidth="1"/>
    <col min="3346" max="3346" width="10.109375" style="2066" customWidth="1"/>
    <col min="3347" max="3347" width="10" style="2066" customWidth="1"/>
    <col min="3348" max="3348" width="26.109375" style="2066" customWidth="1"/>
    <col min="3349" max="3584" width="8.88671875" style="2066"/>
    <col min="3585" max="3585" width="9.44140625" style="2066" customWidth="1"/>
    <col min="3586" max="3586" width="8.88671875" style="2066"/>
    <col min="3587" max="3589" width="12.88671875" style="2066" customWidth="1"/>
    <col min="3590" max="3590" width="47.44140625" style="2066" customWidth="1"/>
    <col min="3591" max="3591" width="13" style="2066" customWidth="1"/>
    <col min="3592" max="3593" width="8.88671875" style="2066"/>
    <col min="3594" max="3594" width="5.77734375" style="2066" customWidth="1"/>
    <col min="3595" max="3595" width="11.77734375" style="2066" customWidth="1"/>
    <col min="3596" max="3597" width="10.77734375" style="2066" customWidth="1"/>
    <col min="3598" max="3598" width="10" style="2066" customWidth="1"/>
    <col min="3599" max="3600" width="10.44140625" style="2066" bestFit="1" customWidth="1"/>
    <col min="3601" max="3601" width="10" style="2066" customWidth="1"/>
    <col min="3602" max="3602" width="10.109375" style="2066" customWidth="1"/>
    <col min="3603" max="3603" width="10" style="2066" customWidth="1"/>
    <col min="3604" max="3604" width="26.109375" style="2066" customWidth="1"/>
    <col min="3605" max="3840" width="8.88671875" style="2066"/>
    <col min="3841" max="3841" width="9.44140625" style="2066" customWidth="1"/>
    <col min="3842" max="3842" width="8.88671875" style="2066"/>
    <col min="3843" max="3845" width="12.88671875" style="2066" customWidth="1"/>
    <col min="3846" max="3846" width="47.44140625" style="2066" customWidth="1"/>
    <col min="3847" max="3847" width="13" style="2066" customWidth="1"/>
    <col min="3848" max="3849" width="8.88671875" style="2066"/>
    <col min="3850" max="3850" width="5.77734375" style="2066" customWidth="1"/>
    <col min="3851" max="3851" width="11.77734375" style="2066" customWidth="1"/>
    <col min="3852" max="3853" width="10.77734375" style="2066" customWidth="1"/>
    <col min="3854" max="3854" width="10" style="2066" customWidth="1"/>
    <col min="3855" max="3856" width="10.44140625" style="2066" bestFit="1" customWidth="1"/>
    <col min="3857" max="3857" width="10" style="2066" customWidth="1"/>
    <col min="3858" max="3858" width="10.109375" style="2066" customWidth="1"/>
    <col min="3859" max="3859" width="10" style="2066" customWidth="1"/>
    <col min="3860" max="3860" width="26.109375" style="2066" customWidth="1"/>
    <col min="3861" max="4096" width="8.88671875" style="2066"/>
    <col min="4097" max="4097" width="9.44140625" style="2066" customWidth="1"/>
    <col min="4098" max="4098" width="8.88671875" style="2066"/>
    <col min="4099" max="4101" width="12.88671875" style="2066" customWidth="1"/>
    <col min="4102" max="4102" width="47.44140625" style="2066" customWidth="1"/>
    <col min="4103" max="4103" width="13" style="2066" customWidth="1"/>
    <col min="4104" max="4105" width="8.88671875" style="2066"/>
    <col min="4106" max="4106" width="5.77734375" style="2066" customWidth="1"/>
    <col min="4107" max="4107" width="11.77734375" style="2066" customWidth="1"/>
    <col min="4108" max="4109" width="10.77734375" style="2066" customWidth="1"/>
    <col min="4110" max="4110" width="10" style="2066" customWidth="1"/>
    <col min="4111" max="4112" width="10.44140625" style="2066" bestFit="1" customWidth="1"/>
    <col min="4113" max="4113" width="10" style="2066" customWidth="1"/>
    <col min="4114" max="4114" width="10.109375" style="2066" customWidth="1"/>
    <col min="4115" max="4115" width="10" style="2066" customWidth="1"/>
    <col min="4116" max="4116" width="26.109375" style="2066" customWidth="1"/>
    <col min="4117" max="4352" width="8.88671875" style="2066"/>
    <col min="4353" max="4353" width="9.44140625" style="2066" customWidth="1"/>
    <col min="4354" max="4354" width="8.88671875" style="2066"/>
    <col min="4355" max="4357" width="12.88671875" style="2066" customWidth="1"/>
    <col min="4358" max="4358" width="47.44140625" style="2066" customWidth="1"/>
    <col min="4359" max="4359" width="13" style="2066" customWidth="1"/>
    <col min="4360" max="4361" width="8.88671875" style="2066"/>
    <col min="4362" max="4362" width="5.77734375" style="2066" customWidth="1"/>
    <col min="4363" max="4363" width="11.77734375" style="2066" customWidth="1"/>
    <col min="4364" max="4365" width="10.77734375" style="2066" customWidth="1"/>
    <col min="4366" max="4366" width="10" style="2066" customWidth="1"/>
    <col min="4367" max="4368" width="10.44140625" style="2066" bestFit="1" customWidth="1"/>
    <col min="4369" max="4369" width="10" style="2066" customWidth="1"/>
    <col min="4370" max="4370" width="10.109375" style="2066" customWidth="1"/>
    <col min="4371" max="4371" width="10" style="2066" customWidth="1"/>
    <col min="4372" max="4372" width="26.109375" style="2066" customWidth="1"/>
    <col min="4373" max="4608" width="8.88671875" style="2066"/>
    <col min="4609" max="4609" width="9.44140625" style="2066" customWidth="1"/>
    <col min="4610" max="4610" width="8.88671875" style="2066"/>
    <col min="4611" max="4613" width="12.88671875" style="2066" customWidth="1"/>
    <col min="4614" max="4614" width="47.44140625" style="2066" customWidth="1"/>
    <col min="4615" max="4615" width="13" style="2066" customWidth="1"/>
    <col min="4616" max="4617" width="8.88671875" style="2066"/>
    <col min="4618" max="4618" width="5.77734375" style="2066" customWidth="1"/>
    <col min="4619" max="4619" width="11.77734375" style="2066" customWidth="1"/>
    <col min="4620" max="4621" width="10.77734375" style="2066" customWidth="1"/>
    <col min="4622" max="4622" width="10" style="2066" customWidth="1"/>
    <col min="4623" max="4624" width="10.44140625" style="2066" bestFit="1" customWidth="1"/>
    <col min="4625" max="4625" width="10" style="2066" customWidth="1"/>
    <col min="4626" max="4626" width="10.109375" style="2066" customWidth="1"/>
    <col min="4627" max="4627" width="10" style="2066" customWidth="1"/>
    <col min="4628" max="4628" width="26.109375" style="2066" customWidth="1"/>
    <col min="4629" max="4864" width="8.88671875" style="2066"/>
    <col min="4865" max="4865" width="9.44140625" style="2066" customWidth="1"/>
    <col min="4866" max="4866" width="8.88671875" style="2066"/>
    <col min="4867" max="4869" width="12.88671875" style="2066" customWidth="1"/>
    <col min="4870" max="4870" width="47.44140625" style="2066" customWidth="1"/>
    <col min="4871" max="4871" width="13" style="2066" customWidth="1"/>
    <col min="4872" max="4873" width="8.88671875" style="2066"/>
    <col min="4874" max="4874" width="5.77734375" style="2066" customWidth="1"/>
    <col min="4875" max="4875" width="11.77734375" style="2066" customWidth="1"/>
    <col min="4876" max="4877" width="10.77734375" style="2066" customWidth="1"/>
    <col min="4878" max="4878" width="10" style="2066" customWidth="1"/>
    <col min="4879" max="4880" width="10.44140625" style="2066" bestFit="1" customWidth="1"/>
    <col min="4881" max="4881" width="10" style="2066" customWidth="1"/>
    <col min="4882" max="4882" width="10.109375" style="2066" customWidth="1"/>
    <col min="4883" max="4883" width="10" style="2066" customWidth="1"/>
    <col min="4884" max="4884" width="26.109375" style="2066" customWidth="1"/>
    <col min="4885" max="5120" width="8.88671875" style="2066"/>
    <col min="5121" max="5121" width="9.44140625" style="2066" customWidth="1"/>
    <col min="5122" max="5122" width="8.88671875" style="2066"/>
    <col min="5123" max="5125" width="12.88671875" style="2066" customWidth="1"/>
    <col min="5126" max="5126" width="47.44140625" style="2066" customWidth="1"/>
    <col min="5127" max="5127" width="13" style="2066" customWidth="1"/>
    <col min="5128" max="5129" width="8.88671875" style="2066"/>
    <col min="5130" max="5130" width="5.77734375" style="2066" customWidth="1"/>
    <col min="5131" max="5131" width="11.77734375" style="2066" customWidth="1"/>
    <col min="5132" max="5133" width="10.77734375" style="2066" customWidth="1"/>
    <col min="5134" max="5134" width="10" style="2066" customWidth="1"/>
    <col min="5135" max="5136" width="10.44140625" style="2066" bestFit="1" customWidth="1"/>
    <col min="5137" max="5137" width="10" style="2066" customWidth="1"/>
    <col min="5138" max="5138" width="10.109375" style="2066" customWidth="1"/>
    <col min="5139" max="5139" width="10" style="2066" customWidth="1"/>
    <col min="5140" max="5140" width="26.109375" style="2066" customWidth="1"/>
    <col min="5141" max="5376" width="8.88671875" style="2066"/>
    <col min="5377" max="5377" width="9.44140625" style="2066" customWidth="1"/>
    <col min="5378" max="5378" width="8.88671875" style="2066"/>
    <col min="5379" max="5381" width="12.88671875" style="2066" customWidth="1"/>
    <col min="5382" max="5382" width="47.44140625" style="2066" customWidth="1"/>
    <col min="5383" max="5383" width="13" style="2066" customWidth="1"/>
    <col min="5384" max="5385" width="8.88671875" style="2066"/>
    <col min="5386" max="5386" width="5.77734375" style="2066" customWidth="1"/>
    <col min="5387" max="5387" width="11.77734375" style="2066" customWidth="1"/>
    <col min="5388" max="5389" width="10.77734375" style="2066" customWidth="1"/>
    <col min="5390" max="5390" width="10" style="2066" customWidth="1"/>
    <col min="5391" max="5392" width="10.44140625" style="2066" bestFit="1" customWidth="1"/>
    <col min="5393" max="5393" width="10" style="2066" customWidth="1"/>
    <col min="5394" max="5394" width="10.109375" style="2066" customWidth="1"/>
    <col min="5395" max="5395" width="10" style="2066" customWidth="1"/>
    <col min="5396" max="5396" width="26.109375" style="2066" customWidth="1"/>
    <col min="5397" max="5632" width="8.88671875" style="2066"/>
    <col min="5633" max="5633" width="9.44140625" style="2066" customWidth="1"/>
    <col min="5634" max="5634" width="8.88671875" style="2066"/>
    <col min="5635" max="5637" width="12.88671875" style="2066" customWidth="1"/>
    <col min="5638" max="5638" width="47.44140625" style="2066" customWidth="1"/>
    <col min="5639" max="5639" width="13" style="2066" customWidth="1"/>
    <col min="5640" max="5641" width="8.88671875" style="2066"/>
    <col min="5642" max="5642" width="5.77734375" style="2066" customWidth="1"/>
    <col min="5643" max="5643" width="11.77734375" style="2066" customWidth="1"/>
    <col min="5644" max="5645" width="10.77734375" style="2066" customWidth="1"/>
    <col min="5646" max="5646" width="10" style="2066" customWidth="1"/>
    <col min="5647" max="5648" width="10.44140625" style="2066" bestFit="1" customWidth="1"/>
    <col min="5649" max="5649" width="10" style="2066" customWidth="1"/>
    <col min="5650" max="5650" width="10.109375" style="2066" customWidth="1"/>
    <col min="5651" max="5651" width="10" style="2066" customWidth="1"/>
    <col min="5652" max="5652" width="26.109375" style="2066" customWidth="1"/>
    <col min="5653" max="5888" width="8.88671875" style="2066"/>
    <col min="5889" max="5889" width="9.44140625" style="2066" customWidth="1"/>
    <col min="5890" max="5890" width="8.88671875" style="2066"/>
    <col min="5891" max="5893" width="12.88671875" style="2066" customWidth="1"/>
    <col min="5894" max="5894" width="47.44140625" style="2066" customWidth="1"/>
    <col min="5895" max="5895" width="13" style="2066" customWidth="1"/>
    <col min="5896" max="5897" width="8.88671875" style="2066"/>
    <col min="5898" max="5898" width="5.77734375" style="2066" customWidth="1"/>
    <col min="5899" max="5899" width="11.77734375" style="2066" customWidth="1"/>
    <col min="5900" max="5901" width="10.77734375" style="2066" customWidth="1"/>
    <col min="5902" max="5902" width="10" style="2066" customWidth="1"/>
    <col min="5903" max="5904" width="10.44140625" style="2066" bestFit="1" customWidth="1"/>
    <col min="5905" max="5905" width="10" style="2066" customWidth="1"/>
    <col min="5906" max="5906" width="10.109375" style="2066" customWidth="1"/>
    <col min="5907" max="5907" width="10" style="2066" customWidth="1"/>
    <col min="5908" max="5908" width="26.109375" style="2066" customWidth="1"/>
    <col min="5909" max="6144" width="8.88671875" style="2066"/>
    <col min="6145" max="6145" width="9.44140625" style="2066" customWidth="1"/>
    <col min="6146" max="6146" width="8.88671875" style="2066"/>
    <col min="6147" max="6149" width="12.88671875" style="2066" customWidth="1"/>
    <col min="6150" max="6150" width="47.44140625" style="2066" customWidth="1"/>
    <col min="6151" max="6151" width="13" style="2066" customWidth="1"/>
    <col min="6152" max="6153" width="8.88671875" style="2066"/>
    <col min="6154" max="6154" width="5.77734375" style="2066" customWidth="1"/>
    <col min="6155" max="6155" width="11.77734375" style="2066" customWidth="1"/>
    <col min="6156" max="6157" width="10.77734375" style="2066" customWidth="1"/>
    <col min="6158" max="6158" width="10" style="2066" customWidth="1"/>
    <col min="6159" max="6160" width="10.44140625" style="2066" bestFit="1" customWidth="1"/>
    <col min="6161" max="6161" width="10" style="2066" customWidth="1"/>
    <col min="6162" max="6162" width="10.109375" style="2066" customWidth="1"/>
    <col min="6163" max="6163" width="10" style="2066" customWidth="1"/>
    <col min="6164" max="6164" width="26.109375" style="2066" customWidth="1"/>
    <col min="6165" max="6400" width="8.88671875" style="2066"/>
    <col min="6401" max="6401" width="9.44140625" style="2066" customWidth="1"/>
    <col min="6402" max="6402" width="8.88671875" style="2066"/>
    <col min="6403" max="6405" width="12.88671875" style="2066" customWidth="1"/>
    <col min="6406" max="6406" width="47.44140625" style="2066" customWidth="1"/>
    <col min="6407" max="6407" width="13" style="2066" customWidth="1"/>
    <col min="6408" max="6409" width="8.88671875" style="2066"/>
    <col min="6410" max="6410" width="5.77734375" style="2066" customWidth="1"/>
    <col min="6411" max="6411" width="11.77734375" style="2066" customWidth="1"/>
    <col min="6412" max="6413" width="10.77734375" style="2066" customWidth="1"/>
    <col min="6414" max="6414" width="10" style="2066" customWidth="1"/>
    <col min="6415" max="6416" width="10.44140625" style="2066" bestFit="1" customWidth="1"/>
    <col min="6417" max="6417" width="10" style="2066" customWidth="1"/>
    <col min="6418" max="6418" width="10.109375" style="2066" customWidth="1"/>
    <col min="6419" max="6419" width="10" style="2066" customWidth="1"/>
    <col min="6420" max="6420" width="26.109375" style="2066" customWidth="1"/>
    <col min="6421" max="6656" width="8.88671875" style="2066"/>
    <col min="6657" max="6657" width="9.44140625" style="2066" customWidth="1"/>
    <col min="6658" max="6658" width="8.88671875" style="2066"/>
    <col min="6659" max="6661" width="12.88671875" style="2066" customWidth="1"/>
    <col min="6662" max="6662" width="47.44140625" style="2066" customWidth="1"/>
    <col min="6663" max="6663" width="13" style="2066" customWidth="1"/>
    <col min="6664" max="6665" width="8.88671875" style="2066"/>
    <col min="6666" max="6666" width="5.77734375" style="2066" customWidth="1"/>
    <col min="6667" max="6667" width="11.77734375" style="2066" customWidth="1"/>
    <col min="6668" max="6669" width="10.77734375" style="2066" customWidth="1"/>
    <col min="6670" max="6670" width="10" style="2066" customWidth="1"/>
    <col min="6671" max="6672" width="10.44140625" style="2066" bestFit="1" customWidth="1"/>
    <col min="6673" max="6673" width="10" style="2066" customWidth="1"/>
    <col min="6674" max="6674" width="10.109375" style="2066" customWidth="1"/>
    <col min="6675" max="6675" width="10" style="2066" customWidth="1"/>
    <col min="6676" max="6676" width="26.109375" style="2066" customWidth="1"/>
    <col min="6677" max="6912" width="8.88671875" style="2066"/>
    <col min="6913" max="6913" width="9.44140625" style="2066" customWidth="1"/>
    <col min="6914" max="6914" width="8.88671875" style="2066"/>
    <col min="6915" max="6917" width="12.88671875" style="2066" customWidth="1"/>
    <col min="6918" max="6918" width="47.44140625" style="2066" customWidth="1"/>
    <col min="6919" max="6919" width="13" style="2066" customWidth="1"/>
    <col min="6920" max="6921" width="8.88671875" style="2066"/>
    <col min="6922" max="6922" width="5.77734375" style="2066" customWidth="1"/>
    <col min="6923" max="6923" width="11.77734375" style="2066" customWidth="1"/>
    <col min="6924" max="6925" width="10.77734375" style="2066" customWidth="1"/>
    <col min="6926" max="6926" width="10" style="2066" customWidth="1"/>
    <col min="6927" max="6928" width="10.44140625" style="2066" bestFit="1" customWidth="1"/>
    <col min="6929" max="6929" width="10" style="2066" customWidth="1"/>
    <col min="6930" max="6930" width="10.109375" style="2066" customWidth="1"/>
    <col min="6931" max="6931" width="10" style="2066" customWidth="1"/>
    <col min="6932" max="6932" width="26.109375" style="2066" customWidth="1"/>
    <col min="6933" max="7168" width="8.88671875" style="2066"/>
    <col min="7169" max="7169" width="9.44140625" style="2066" customWidth="1"/>
    <col min="7170" max="7170" width="8.88671875" style="2066"/>
    <col min="7171" max="7173" width="12.88671875" style="2066" customWidth="1"/>
    <col min="7174" max="7174" width="47.44140625" style="2066" customWidth="1"/>
    <col min="7175" max="7175" width="13" style="2066" customWidth="1"/>
    <col min="7176" max="7177" width="8.88671875" style="2066"/>
    <col min="7178" max="7178" width="5.77734375" style="2066" customWidth="1"/>
    <col min="7179" max="7179" width="11.77734375" style="2066" customWidth="1"/>
    <col min="7180" max="7181" width="10.77734375" style="2066" customWidth="1"/>
    <col min="7182" max="7182" width="10" style="2066" customWidth="1"/>
    <col min="7183" max="7184" width="10.44140625" style="2066" bestFit="1" customWidth="1"/>
    <col min="7185" max="7185" width="10" style="2066" customWidth="1"/>
    <col min="7186" max="7186" width="10.109375" style="2066" customWidth="1"/>
    <col min="7187" max="7187" width="10" style="2066" customWidth="1"/>
    <col min="7188" max="7188" width="26.109375" style="2066" customWidth="1"/>
    <col min="7189" max="7424" width="8.88671875" style="2066"/>
    <col min="7425" max="7425" width="9.44140625" style="2066" customWidth="1"/>
    <col min="7426" max="7426" width="8.88671875" style="2066"/>
    <col min="7427" max="7429" width="12.88671875" style="2066" customWidth="1"/>
    <col min="7430" max="7430" width="47.44140625" style="2066" customWidth="1"/>
    <col min="7431" max="7431" width="13" style="2066" customWidth="1"/>
    <col min="7432" max="7433" width="8.88671875" style="2066"/>
    <col min="7434" max="7434" width="5.77734375" style="2066" customWidth="1"/>
    <col min="7435" max="7435" width="11.77734375" style="2066" customWidth="1"/>
    <col min="7436" max="7437" width="10.77734375" style="2066" customWidth="1"/>
    <col min="7438" max="7438" width="10" style="2066" customWidth="1"/>
    <col min="7439" max="7440" width="10.44140625" style="2066" bestFit="1" customWidth="1"/>
    <col min="7441" max="7441" width="10" style="2066" customWidth="1"/>
    <col min="7442" max="7442" width="10.109375" style="2066" customWidth="1"/>
    <col min="7443" max="7443" width="10" style="2066" customWidth="1"/>
    <col min="7444" max="7444" width="26.109375" style="2066" customWidth="1"/>
    <col min="7445" max="7680" width="8.88671875" style="2066"/>
    <col min="7681" max="7681" width="9.44140625" style="2066" customWidth="1"/>
    <col min="7682" max="7682" width="8.88671875" style="2066"/>
    <col min="7683" max="7685" width="12.88671875" style="2066" customWidth="1"/>
    <col min="7686" max="7686" width="47.44140625" style="2066" customWidth="1"/>
    <col min="7687" max="7687" width="13" style="2066" customWidth="1"/>
    <col min="7688" max="7689" width="8.88671875" style="2066"/>
    <col min="7690" max="7690" width="5.77734375" style="2066" customWidth="1"/>
    <col min="7691" max="7691" width="11.77734375" style="2066" customWidth="1"/>
    <col min="7692" max="7693" width="10.77734375" style="2066" customWidth="1"/>
    <col min="7694" max="7694" width="10" style="2066" customWidth="1"/>
    <col min="7695" max="7696" width="10.44140625" style="2066" bestFit="1" customWidth="1"/>
    <col min="7697" max="7697" width="10" style="2066" customWidth="1"/>
    <col min="7698" max="7698" width="10.109375" style="2066" customWidth="1"/>
    <col min="7699" max="7699" width="10" style="2066" customWidth="1"/>
    <col min="7700" max="7700" width="26.109375" style="2066" customWidth="1"/>
    <col min="7701" max="7936" width="8.88671875" style="2066"/>
    <col min="7937" max="7937" width="9.44140625" style="2066" customWidth="1"/>
    <col min="7938" max="7938" width="8.88671875" style="2066"/>
    <col min="7939" max="7941" width="12.88671875" style="2066" customWidth="1"/>
    <col min="7942" max="7942" width="47.44140625" style="2066" customWidth="1"/>
    <col min="7943" max="7943" width="13" style="2066" customWidth="1"/>
    <col min="7944" max="7945" width="8.88671875" style="2066"/>
    <col min="7946" max="7946" width="5.77734375" style="2066" customWidth="1"/>
    <col min="7947" max="7947" width="11.77734375" style="2066" customWidth="1"/>
    <col min="7948" max="7949" width="10.77734375" style="2066" customWidth="1"/>
    <col min="7950" max="7950" width="10" style="2066" customWidth="1"/>
    <col min="7951" max="7952" width="10.44140625" style="2066" bestFit="1" customWidth="1"/>
    <col min="7953" max="7953" width="10" style="2066" customWidth="1"/>
    <col min="7954" max="7954" width="10.109375" style="2066" customWidth="1"/>
    <col min="7955" max="7955" width="10" style="2066" customWidth="1"/>
    <col min="7956" max="7956" width="26.109375" style="2066" customWidth="1"/>
    <col min="7957" max="8192" width="8.88671875" style="2066"/>
    <col min="8193" max="8193" width="9.44140625" style="2066" customWidth="1"/>
    <col min="8194" max="8194" width="8.88671875" style="2066"/>
    <col min="8195" max="8197" width="12.88671875" style="2066" customWidth="1"/>
    <col min="8198" max="8198" width="47.44140625" style="2066" customWidth="1"/>
    <col min="8199" max="8199" width="13" style="2066" customWidth="1"/>
    <col min="8200" max="8201" width="8.88671875" style="2066"/>
    <col min="8202" max="8202" width="5.77734375" style="2066" customWidth="1"/>
    <col min="8203" max="8203" width="11.77734375" style="2066" customWidth="1"/>
    <col min="8204" max="8205" width="10.77734375" style="2066" customWidth="1"/>
    <col min="8206" max="8206" width="10" style="2066" customWidth="1"/>
    <col min="8207" max="8208" width="10.44140625" style="2066" bestFit="1" customWidth="1"/>
    <col min="8209" max="8209" width="10" style="2066" customWidth="1"/>
    <col min="8210" max="8210" width="10.109375" style="2066" customWidth="1"/>
    <col min="8211" max="8211" width="10" style="2066" customWidth="1"/>
    <col min="8212" max="8212" width="26.109375" style="2066" customWidth="1"/>
    <col min="8213" max="8448" width="8.88671875" style="2066"/>
    <col min="8449" max="8449" width="9.44140625" style="2066" customWidth="1"/>
    <col min="8450" max="8450" width="8.88671875" style="2066"/>
    <col min="8451" max="8453" width="12.88671875" style="2066" customWidth="1"/>
    <col min="8454" max="8454" width="47.44140625" style="2066" customWidth="1"/>
    <col min="8455" max="8455" width="13" style="2066" customWidth="1"/>
    <col min="8456" max="8457" width="8.88671875" style="2066"/>
    <col min="8458" max="8458" width="5.77734375" style="2066" customWidth="1"/>
    <col min="8459" max="8459" width="11.77734375" style="2066" customWidth="1"/>
    <col min="8460" max="8461" width="10.77734375" style="2066" customWidth="1"/>
    <col min="8462" max="8462" width="10" style="2066" customWidth="1"/>
    <col min="8463" max="8464" width="10.44140625" style="2066" bestFit="1" customWidth="1"/>
    <col min="8465" max="8465" width="10" style="2066" customWidth="1"/>
    <col min="8466" max="8466" width="10.109375" style="2066" customWidth="1"/>
    <col min="8467" max="8467" width="10" style="2066" customWidth="1"/>
    <col min="8468" max="8468" width="26.109375" style="2066" customWidth="1"/>
    <col min="8469" max="8704" width="8.88671875" style="2066"/>
    <col min="8705" max="8705" width="9.44140625" style="2066" customWidth="1"/>
    <col min="8706" max="8706" width="8.88671875" style="2066"/>
    <col min="8707" max="8709" width="12.88671875" style="2066" customWidth="1"/>
    <col min="8710" max="8710" width="47.44140625" style="2066" customWidth="1"/>
    <col min="8711" max="8711" width="13" style="2066" customWidth="1"/>
    <col min="8712" max="8713" width="8.88671875" style="2066"/>
    <col min="8714" max="8714" width="5.77734375" style="2066" customWidth="1"/>
    <col min="8715" max="8715" width="11.77734375" style="2066" customWidth="1"/>
    <col min="8716" max="8717" width="10.77734375" style="2066" customWidth="1"/>
    <col min="8718" max="8718" width="10" style="2066" customWidth="1"/>
    <col min="8719" max="8720" width="10.44140625" style="2066" bestFit="1" customWidth="1"/>
    <col min="8721" max="8721" width="10" style="2066" customWidth="1"/>
    <col min="8722" max="8722" width="10.109375" style="2066" customWidth="1"/>
    <col min="8723" max="8723" width="10" style="2066" customWidth="1"/>
    <col min="8724" max="8724" width="26.109375" style="2066" customWidth="1"/>
    <col min="8725" max="8960" width="8.88671875" style="2066"/>
    <col min="8961" max="8961" width="9.44140625" style="2066" customWidth="1"/>
    <col min="8962" max="8962" width="8.88671875" style="2066"/>
    <col min="8963" max="8965" width="12.88671875" style="2066" customWidth="1"/>
    <col min="8966" max="8966" width="47.44140625" style="2066" customWidth="1"/>
    <col min="8967" max="8967" width="13" style="2066" customWidth="1"/>
    <col min="8968" max="8969" width="8.88671875" style="2066"/>
    <col min="8970" max="8970" width="5.77734375" style="2066" customWidth="1"/>
    <col min="8971" max="8971" width="11.77734375" style="2066" customWidth="1"/>
    <col min="8972" max="8973" width="10.77734375" style="2066" customWidth="1"/>
    <col min="8974" max="8974" width="10" style="2066" customWidth="1"/>
    <col min="8975" max="8976" width="10.44140625" style="2066" bestFit="1" customWidth="1"/>
    <col min="8977" max="8977" width="10" style="2066" customWidth="1"/>
    <col min="8978" max="8978" width="10.109375" style="2066" customWidth="1"/>
    <col min="8979" max="8979" width="10" style="2066" customWidth="1"/>
    <col min="8980" max="8980" width="26.109375" style="2066" customWidth="1"/>
    <col min="8981" max="9216" width="8.88671875" style="2066"/>
    <col min="9217" max="9217" width="9.44140625" style="2066" customWidth="1"/>
    <col min="9218" max="9218" width="8.88671875" style="2066"/>
    <col min="9219" max="9221" width="12.88671875" style="2066" customWidth="1"/>
    <col min="9222" max="9222" width="47.44140625" style="2066" customWidth="1"/>
    <col min="9223" max="9223" width="13" style="2066" customWidth="1"/>
    <col min="9224" max="9225" width="8.88671875" style="2066"/>
    <col min="9226" max="9226" width="5.77734375" style="2066" customWidth="1"/>
    <col min="9227" max="9227" width="11.77734375" style="2066" customWidth="1"/>
    <col min="9228" max="9229" width="10.77734375" style="2066" customWidth="1"/>
    <col min="9230" max="9230" width="10" style="2066" customWidth="1"/>
    <col min="9231" max="9232" width="10.44140625" style="2066" bestFit="1" customWidth="1"/>
    <col min="9233" max="9233" width="10" style="2066" customWidth="1"/>
    <col min="9234" max="9234" width="10.109375" style="2066" customWidth="1"/>
    <col min="9235" max="9235" width="10" style="2066" customWidth="1"/>
    <col min="9236" max="9236" width="26.109375" style="2066" customWidth="1"/>
    <col min="9237" max="9472" width="8.88671875" style="2066"/>
    <col min="9473" max="9473" width="9.44140625" style="2066" customWidth="1"/>
    <col min="9474" max="9474" width="8.88671875" style="2066"/>
    <col min="9475" max="9477" width="12.88671875" style="2066" customWidth="1"/>
    <col min="9478" max="9478" width="47.44140625" style="2066" customWidth="1"/>
    <col min="9479" max="9479" width="13" style="2066" customWidth="1"/>
    <col min="9480" max="9481" width="8.88671875" style="2066"/>
    <col min="9482" max="9482" width="5.77734375" style="2066" customWidth="1"/>
    <col min="9483" max="9483" width="11.77734375" style="2066" customWidth="1"/>
    <col min="9484" max="9485" width="10.77734375" style="2066" customWidth="1"/>
    <col min="9486" max="9486" width="10" style="2066" customWidth="1"/>
    <col min="9487" max="9488" width="10.44140625" style="2066" bestFit="1" customWidth="1"/>
    <col min="9489" max="9489" width="10" style="2066" customWidth="1"/>
    <col min="9490" max="9490" width="10.109375" style="2066" customWidth="1"/>
    <col min="9491" max="9491" width="10" style="2066" customWidth="1"/>
    <col min="9492" max="9492" width="26.109375" style="2066" customWidth="1"/>
    <col min="9493" max="9728" width="8.88671875" style="2066"/>
    <col min="9729" max="9729" width="9.44140625" style="2066" customWidth="1"/>
    <col min="9730" max="9730" width="8.88671875" style="2066"/>
    <col min="9731" max="9733" width="12.88671875" style="2066" customWidth="1"/>
    <col min="9734" max="9734" width="47.44140625" style="2066" customWidth="1"/>
    <col min="9735" max="9735" width="13" style="2066" customWidth="1"/>
    <col min="9736" max="9737" width="8.88671875" style="2066"/>
    <col min="9738" max="9738" width="5.77734375" style="2066" customWidth="1"/>
    <col min="9739" max="9739" width="11.77734375" style="2066" customWidth="1"/>
    <col min="9740" max="9741" width="10.77734375" style="2066" customWidth="1"/>
    <col min="9742" max="9742" width="10" style="2066" customWidth="1"/>
    <col min="9743" max="9744" width="10.44140625" style="2066" bestFit="1" customWidth="1"/>
    <col min="9745" max="9745" width="10" style="2066" customWidth="1"/>
    <col min="9746" max="9746" width="10.109375" style="2066" customWidth="1"/>
    <col min="9747" max="9747" width="10" style="2066" customWidth="1"/>
    <col min="9748" max="9748" width="26.109375" style="2066" customWidth="1"/>
    <col min="9749" max="9984" width="8.88671875" style="2066"/>
    <col min="9985" max="9985" width="9.44140625" style="2066" customWidth="1"/>
    <col min="9986" max="9986" width="8.88671875" style="2066"/>
    <col min="9987" max="9989" width="12.88671875" style="2066" customWidth="1"/>
    <col min="9990" max="9990" width="47.44140625" style="2066" customWidth="1"/>
    <col min="9991" max="9991" width="13" style="2066" customWidth="1"/>
    <col min="9992" max="9993" width="8.88671875" style="2066"/>
    <col min="9994" max="9994" width="5.77734375" style="2066" customWidth="1"/>
    <col min="9995" max="9995" width="11.77734375" style="2066" customWidth="1"/>
    <col min="9996" max="9997" width="10.77734375" style="2066" customWidth="1"/>
    <col min="9998" max="9998" width="10" style="2066" customWidth="1"/>
    <col min="9999" max="10000" width="10.44140625" style="2066" bestFit="1" customWidth="1"/>
    <col min="10001" max="10001" width="10" style="2066" customWidth="1"/>
    <col min="10002" max="10002" width="10.109375" style="2066" customWidth="1"/>
    <col min="10003" max="10003" width="10" style="2066" customWidth="1"/>
    <col min="10004" max="10004" width="26.109375" style="2066" customWidth="1"/>
    <col min="10005" max="10240" width="8.88671875" style="2066"/>
    <col min="10241" max="10241" width="9.44140625" style="2066" customWidth="1"/>
    <col min="10242" max="10242" width="8.88671875" style="2066"/>
    <col min="10243" max="10245" width="12.88671875" style="2066" customWidth="1"/>
    <col min="10246" max="10246" width="47.44140625" style="2066" customWidth="1"/>
    <col min="10247" max="10247" width="13" style="2066" customWidth="1"/>
    <col min="10248" max="10249" width="8.88671875" style="2066"/>
    <col min="10250" max="10250" width="5.77734375" style="2066" customWidth="1"/>
    <col min="10251" max="10251" width="11.77734375" style="2066" customWidth="1"/>
    <col min="10252" max="10253" width="10.77734375" style="2066" customWidth="1"/>
    <col min="10254" max="10254" width="10" style="2066" customWidth="1"/>
    <col min="10255" max="10256" width="10.44140625" style="2066" bestFit="1" customWidth="1"/>
    <col min="10257" max="10257" width="10" style="2066" customWidth="1"/>
    <col min="10258" max="10258" width="10.109375" style="2066" customWidth="1"/>
    <col min="10259" max="10259" width="10" style="2066" customWidth="1"/>
    <col min="10260" max="10260" width="26.109375" style="2066" customWidth="1"/>
    <col min="10261" max="10496" width="8.88671875" style="2066"/>
    <col min="10497" max="10497" width="9.44140625" style="2066" customWidth="1"/>
    <col min="10498" max="10498" width="8.88671875" style="2066"/>
    <col min="10499" max="10501" width="12.88671875" style="2066" customWidth="1"/>
    <col min="10502" max="10502" width="47.44140625" style="2066" customWidth="1"/>
    <col min="10503" max="10503" width="13" style="2066" customWidth="1"/>
    <col min="10504" max="10505" width="8.88671875" style="2066"/>
    <col min="10506" max="10506" width="5.77734375" style="2066" customWidth="1"/>
    <col min="10507" max="10507" width="11.77734375" style="2066" customWidth="1"/>
    <col min="10508" max="10509" width="10.77734375" style="2066" customWidth="1"/>
    <col min="10510" max="10510" width="10" style="2066" customWidth="1"/>
    <col min="10511" max="10512" width="10.44140625" style="2066" bestFit="1" customWidth="1"/>
    <col min="10513" max="10513" width="10" style="2066" customWidth="1"/>
    <col min="10514" max="10514" width="10.109375" style="2066" customWidth="1"/>
    <col min="10515" max="10515" width="10" style="2066" customWidth="1"/>
    <col min="10516" max="10516" width="26.109375" style="2066" customWidth="1"/>
    <col min="10517" max="10752" width="8.88671875" style="2066"/>
    <col min="10753" max="10753" width="9.44140625" style="2066" customWidth="1"/>
    <col min="10754" max="10754" width="8.88671875" style="2066"/>
    <col min="10755" max="10757" width="12.88671875" style="2066" customWidth="1"/>
    <col min="10758" max="10758" width="47.44140625" style="2066" customWidth="1"/>
    <col min="10759" max="10759" width="13" style="2066" customWidth="1"/>
    <col min="10760" max="10761" width="8.88671875" style="2066"/>
    <col min="10762" max="10762" width="5.77734375" style="2066" customWidth="1"/>
    <col min="10763" max="10763" width="11.77734375" style="2066" customWidth="1"/>
    <col min="10764" max="10765" width="10.77734375" style="2066" customWidth="1"/>
    <col min="10766" max="10766" width="10" style="2066" customWidth="1"/>
    <col min="10767" max="10768" width="10.44140625" style="2066" bestFit="1" customWidth="1"/>
    <col min="10769" max="10769" width="10" style="2066" customWidth="1"/>
    <col min="10770" max="10770" width="10.109375" style="2066" customWidth="1"/>
    <col min="10771" max="10771" width="10" style="2066" customWidth="1"/>
    <col min="10772" max="10772" width="26.109375" style="2066" customWidth="1"/>
    <col min="10773" max="11008" width="8.88671875" style="2066"/>
    <col min="11009" max="11009" width="9.44140625" style="2066" customWidth="1"/>
    <col min="11010" max="11010" width="8.88671875" style="2066"/>
    <col min="11011" max="11013" width="12.88671875" style="2066" customWidth="1"/>
    <col min="11014" max="11014" width="47.44140625" style="2066" customWidth="1"/>
    <col min="11015" max="11015" width="13" style="2066" customWidth="1"/>
    <col min="11016" max="11017" width="8.88671875" style="2066"/>
    <col min="11018" max="11018" width="5.77734375" style="2066" customWidth="1"/>
    <col min="11019" max="11019" width="11.77734375" style="2066" customWidth="1"/>
    <col min="11020" max="11021" width="10.77734375" style="2066" customWidth="1"/>
    <col min="11022" max="11022" width="10" style="2066" customWidth="1"/>
    <col min="11023" max="11024" width="10.44140625" style="2066" bestFit="1" customWidth="1"/>
    <col min="11025" max="11025" width="10" style="2066" customWidth="1"/>
    <col min="11026" max="11026" width="10.109375" style="2066" customWidth="1"/>
    <col min="11027" max="11027" width="10" style="2066" customWidth="1"/>
    <col min="11028" max="11028" width="26.109375" style="2066" customWidth="1"/>
    <col min="11029" max="11264" width="8.88671875" style="2066"/>
    <col min="11265" max="11265" width="9.44140625" style="2066" customWidth="1"/>
    <col min="11266" max="11266" width="8.88671875" style="2066"/>
    <col min="11267" max="11269" width="12.88671875" style="2066" customWidth="1"/>
    <col min="11270" max="11270" width="47.44140625" style="2066" customWidth="1"/>
    <col min="11271" max="11271" width="13" style="2066" customWidth="1"/>
    <col min="11272" max="11273" width="8.88671875" style="2066"/>
    <col min="11274" max="11274" width="5.77734375" style="2066" customWidth="1"/>
    <col min="11275" max="11275" width="11.77734375" style="2066" customWidth="1"/>
    <col min="11276" max="11277" width="10.77734375" style="2066" customWidth="1"/>
    <col min="11278" max="11278" width="10" style="2066" customWidth="1"/>
    <col min="11279" max="11280" width="10.44140625" style="2066" bestFit="1" customWidth="1"/>
    <col min="11281" max="11281" width="10" style="2066" customWidth="1"/>
    <col min="11282" max="11282" width="10.109375" style="2066" customWidth="1"/>
    <col min="11283" max="11283" width="10" style="2066" customWidth="1"/>
    <col min="11284" max="11284" width="26.109375" style="2066" customWidth="1"/>
    <col min="11285" max="11520" width="8.88671875" style="2066"/>
    <col min="11521" max="11521" width="9.44140625" style="2066" customWidth="1"/>
    <col min="11522" max="11522" width="8.88671875" style="2066"/>
    <col min="11523" max="11525" width="12.88671875" style="2066" customWidth="1"/>
    <col min="11526" max="11526" width="47.44140625" style="2066" customWidth="1"/>
    <col min="11527" max="11527" width="13" style="2066" customWidth="1"/>
    <col min="11528" max="11529" width="8.88671875" style="2066"/>
    <col min="11530" max="11530" width="5.77734375" style="2066" customWidth="1"/>
    <col min="11531" max="11531" width="11.77734375" style="2066" customWidth="1"/>
    <col min="11532" max="11533" width="10.77734375" style="2066" customWidth="1"/>
    <col min="11534" max="11534" width="10" style="2066" customWidth="1"/>
    <col min="11535" max="11536" width="10.44140625" style="2066" bestFit="1" customWidth="1"/>
    <col min="11537" max="11537" width="10" style="2066" customWidth="1"/>
    <col min="11538" max="11538" width="10.109375" style="2066" customWidth="1"/>
    <col min="11539" max="11539" width="10" style="2066" customWidth="1"/>
    <col min="11540" max="11540" width="26.109375" style="2066" customWidth="1"/>
    <col min="11541" max="11776" width="8.88671875" style="2066"/>
    <col min="11777" max="11777" width="9.44140625" style="2066" customWidth="1"/>
    <col min="11778" max="11778" width="8.88671875" style="2066"/>
    <col min="11779" max="11781" width="12.88671875" style="2066" customWidth="1"/>
    <col min="11782" max="11782" width="47.44140625" style="2066" customWidth="1"/>
    <col min="11783" max="11783" width="13" style="2066" customWidth="1"/>
    <col min="11784" max="11785" width="8.88671875" style="2066"/>
    <col min="11786" max="11786" width="5.77734375" style="2066" customWidth="1"/>
    <col min="11787" max="11787" width="11.77734375" style="2066" customWidth="1"/>
    <col min="11788" max="11789" width="10.77734375" style="2066" customWidth="1"/>
    <col min="11790" max="11790" width="10" style="2066" customWidth="1"/>
    <col min="11791" max="11792" width="10.44140625" style="2066" bestFit="1" customWidth="1"/>
    <col min="11793" max="11793" width="10" style="2066" customWidth="1"/>
    <col min="11794" max="11794" width="10.109375" style="2066" customWidth="1"/>
    <col min="11795" max="11795" width="10" style="2066" customWidth="1"/>
    <col min="11796" max="11796" width="26.109375" style="2066" customWidth="1"/>
    <col min="11797" max="12032" width="8.88671875" style="2066"/>
    <col min="12033" max="12033" width="9.44140625" style="2066" customWidth="1"/>
    <col min="12034" max="12034" width="8.88671875" style="2066"/>
    <col min="12035" max="12037" width="12.88671875" style="2066" customWidth="1"/>
    <col min="12038" max="12038" width="47.44140625" style="2066" customWidth="1"/>
    <col min="12039" max="12039" width="13" style="2066" customWidth="1"/>
    <col min="12040" max="12041" width="8.88671875" style="2066"/>
    <col min="12042" max="12042" width="5.77734375" style="2066" customWidth="1"/>
    <col min="12043" max="12043" width="11.77734375" style="2066" customWidth="1"/>
    <col min="12044" max="12045" width="10.77734375" style="2066" customWidth="1"/>
    <col min="12046" max="12046" width="10" style="2066" customWidth="1"/>
    <col min="12047" max="12048" width="10.44140625" style="2066" bestFit="1" customWidth="1"/>
    <col min="12049" max="12049" width="10" style="2066" customWidth="1"/>
    <col min="12050" max="12050" width="10.109375" style="2066" customWidth="1"/>
    <col min="12051" max="12051" width="10" style="2066" customWidth="1"/>
    <col min="12052" max="12052" width="26.109375" style="2066" customWidth="1"/>
    <col min="12053" max="12288" width="8.88671875" style="2066"/>
    <col min="12289" max="12289" width="9.44140625" style="2066" customWidth="1"/>
    <col min="12290" max="12290" width="8.88671875" style="2066"/>
    <col min="12291" max="12293" width="12.88671875" style="2066" customWidth="1"/>
    <col min="12294" max="12294" width="47.44140625" style="2066" customWidth="1"/>
    <col min="12295" max="12295" width="13" style="2066" customWidth="1"/>
    <col min="12296" max="12297" width="8.88671875" style="2066"/>
    <col min="12298" max="12298" width="5.77734375" style="2066" customWidth="1"/>
    <col min="12299" max="12299" width="11.77734375" style="2066" customWidth="1"/>
    <col min="12300" max="12301" width="10.77734375" style="2066" customWidth="1"/>
    <col min="12302" max="12302" width="10" style="2066" customWidth="1"/>
    <col min="12303" max="12304" width="10.44140625" style="2066" bestFit="1" customWidth="1"/>
    <col min="12305" max="12305" width="10" style="2066" customWidth="1"/>
    <col min="12306" max="12306" width="10.109375" style="2066" customWidth="1"/>
    <col min="12307" max="12307" width="10" style="2066" customWidth="1"/>
    <col min="12308" max="12308" width="26.109375" style="2066" customWidth="1"/>
    <col min="12309" max="12544" width="8.88671875" style="2066"/>
    <col min="12545" max="12545" width="9.44140625" style="2066" customWidth="1"/>
    <col min="12546" max="12546" width="8.88671875" style="2066"/>
    <col min="12547" max="12549" width="12.88671875" style="2066" customWidth="1"/>
    <col min="12550" max="12550" width="47.44140625" style="2066" customWidth="1"/>
    <col min="12551" max="12551" width="13" style="2066" customWidth="1"/>
    <col min="12552" max="12553" width="8.88671875" style="2066"/>
    <col min="12554" max="12554" width="5.77734375" style="2066" customWidth="1"/>
    <col min="12555" max="12555" width="11.77734375" style="2066" customWidth="1"/>
    <col min="12556" max="12557" width="10.77734375" style="2066" customWidth="1"/>
    <col min="12558" max="12558" width="10" style="2066" customWidth="1"/>
    <col min="12559" max="12560" width="10.44140625" style="2066" bestFit="1" customWidth="1"/>
    <col min="12561" max="12561" width="10" style="2066" customWidth="1"/>
    <col min="12562" max="12562" width="10.109375" style="2066" customWidth="1"/>
    <col min="12563" max="12563" width="10" style="2066" customWidth="1"/>
    <col min="12564" max="12564" width="26.109375" style="2066" customWidth="1"/>
    <col min="12565" max="12800" width="8.88671875" style="2066"/>
    <col min="12801" max="12801" width="9.44140625" style="2066" customWidth="1"/>
    <col min="12802" max="12802" width="8.88671875" style="2066"/>
    <col min="12803" max="12805" width="12.88671875" style="2066" customWidth="1"/>
    <col min="12806" max="12806" width="47.44140625" style="2066" customWidth="1"/>
    <col min="12807" max="12807" width="13" style="2066" customWidth="1"/>
    <col min="12808" max="12809" width="8.88671875" style="2066"/>
    <col min="12810" max="12810" width="5.77734375" style="2066" customWidth="1"/>
    <col min="12811" max="12811" width="11.77734375" style="2066" customWidth="1"/>
    <col min="12812" max="12813" width="10.77734375" style="2066" customWidth="1"/>
    <col min="12814" max="12814" width="10" style="2066" customWidth="1"/>
    <col min="12815" max="12816" width="10.44140625" style="2066" bestFit="1" customWidth="1"/>
    <col min="12817" max="12817" width="10" style="2066" customWidth="1"/>
    <col min="12818" max="12818" width="10.109375" style="2066" customWidth="1"/>
    <col min="12819" max="12819" width="10" style="2066" customWidth="1"/>
    <col min="12820" max="12820" width="26.109375" style="2066" customWidth="1"/>
    <col min="12821" max="13056" width="8.88671875" style="2066"/>
    <col min="13057" max="13057" width="9.44140625" style="2066" customWidth="1"/>
    <col min="13058" max="13058" width="8.88671875" style="2066"/>
    <col min="13059" max="13061" width="12.88671875" style="2066" customWidth="1"/>
    <col min="13062" max="13062" width="47.44140625" style="2066" customWidth="1"/>
    <col min="13063" max="13063" width="13" style="2066" customWidth="1"/>
    <col min="13064" max="13065" width="8.88671875" style="2066"/>
    <col min="13066" max="13066" width="5.77734375" style="2066" customWidth="1"/>
    <col min="13067" max="13067" width="11.77734375" style="2066" customWidth="1"/>
    <col min="13068" max="13069" width="10.77734375" style="2066" customWidth="1"/>
    <col min="13070" max="13070" width="10" style="2066" customWidth="1"/>
    <col min="13071" max="13072" width="10.44140625" style="2066" bestFit="1" customWidth="1"/>
    <col min="13073" max="13073" width="10" style="2066" customWidth="1"/>
    <col min="13074" max="13074" width="10.109375" style="2066" customWidth="1"/>
    <col min="13075" max="13075" width="10" style="2066" customWidth="1"/>
    <col min="13076" max="13076" width="26.109375" style="2066" customWidth="1"/>
    <col min="13077" max="13312" width="8.88671875" style="2066"/>
    <col min="13313" max="13313" width="9.44140625" style="2066" customWidth="1"/>
    <col min="13314" max="13314" width="8.88671875" style="2066"/>
    <col min="13315" max="13317" width="12.88671875" style="2066" customWidth="1"/>
    <col min="13318" max="13318" width="47.44140625" style="2066" customWidth="1"/>
    <col min="13319" max="13319" width="13" style="2066" customWidth="1"/>
    <col min="13320" max="13321" width="8.88671875" style="2066"/>
    <col min="13322" max="13322" width="5.77734375" style="2066" customWidth="1"/>
    <col min="13323" max="13323" width="11.77734375" style="2066" customWidth="1"/>
    <col min="13324" max="13325" width="10.77734375" style="2066" customWidth="1"/>
    <col min="13326" max="13326" width="10" style="2066" customWidth="1"/>
    <col min="13327" max="13328" width="10.44140625" style="2066" bestFit="1" customWidth="1"/>
    <col min="13329" max="13329" width="10" style="2066" customWidth="1"/>
    <col min="13330" max="13330" width="10.109375" style="2066" customWidth="1"/>
    <col min="13331" max="13331" width="10" style="2066" customWidth="1"/>
    <col min="13332" max="13332" width="26.109375" style="2066" customWidth="1"/>
    <col min="13333" max="13568" width="8.88671875" style="2066"/>
    <col min="13569" max="13569" width="9.44140625" style="2066" customWidth="1"/>
    <col min="13570" max="13570" width="8.88671875" style="2066"/>
    <col min="13571" max="13573" width="12.88671875" style="2066" customWidth="1"/>
    <col min="13574" max="13574" width="47.44140625" style="2066" customWidth="1"/>
    <col min="13575" max="13575" width="13" style="2066" customWidth="1"/>
    <col min="13576" max="13577" width="8.88671875" style="2066"/>
    <col min="13578" max="13578" width="5.77734375" style="2066" customWidth="1"/>
    <col min="13579" max="13579" width="11.77734375" style="2066" customWidth="1"/>
    <col min="13580" max="13581" width="10.77734375" style="2066" customWidth="1"/>
    <col min="13582" max="13582" width="10" style="2066" customWidth="1"/>
    <col min="13583" max="13584" width="10.44140625" style="2066" bestFit="1" customWidth="1"/>
    <col min="13585" max="13585" width="10" style="2066" customWidth="1"/>
    <col min="13586" max="13586" width="10.109375" style="2066" customWidth="1"/>
    <col min="13587" max="13587" width="10" style="2066" customWidth="1"/>
    <col min="13588" max="13588" width="26.109375" style="2066" customWidth="1"/>
    <col min="13589" max="13824" width="8.88671875" style="2066"/>
    <col min="13825" max="13825" width="9.44140625" style="2066" customWidth="1"/>
    <col min="13826" max="13826" width="8.88671875" style="2066"/>
    <col min="13827" max="13829" width="12.88671875" style="2066" customWidth="1"/>
    <col min="13830" max="13830" width="47.44140625" style="2066" customWidth="1"/>
    <col min="13831" max="13831" width="13" style="2066" customWidth="1"/>
    <col min="13832" max="13833" width="8.88671875" style="2066"/>
    <col min="13834" max="13834" width="5.77734375" style="2066" customWidth="1"/>
    <col min="13835" max="13835" width="11.77734375" style="2066" customWidth="1"/>
    <col min="13836" max="13837" width="10.77734375" style="2066" customWidth="1"/>
    <col min="13838" max="13838" width="10" style="2066" customWidth="1"/>
    <col min="13839" max="13840" width="10.44140625" style="2066" bestFit="1" customWidth="1"/>
    <col min="13841" max="13841" width="10" style="2066" customWidth="1"/>
    <col min="13842" max="13842" width="10.109375" style="2066" customWidth="1"/>
    <col min="13843" max="13843" width="10" style="2066" customWidth="1"/>
    <col min="13844" max="13844" width="26.109375" style="2066" customWidth="1"/>
    <col min="13845" max="14080" width="8.88671875" style="2066"/>
    <col min="14081" max="14081" width="9.44140625" style="2066" customWidth="1"/>
    <col min="14082" max="14082" width="8.88671875" style="2066"/>
    <col min="14083" max="14085" width="12.88671875" style="2066" customWidth="1"/>
    <col min="14086" max="14086" width="47.44140625" style="2066" customWidth="1"/>
    <col min="14087" max="14087" width="13" style="2066" customWidth="1"/>
    <col min="14088" max="14089" width="8.88671875" style="2066"/>
    <col min="14090" max="14090" width="5.77734375" style="2066" customWidth="1"/>
    <col min="14091" max="14091" width="11.77734375" style="2066" customWidth="1"/>
    <col min="14092" max="14093" width="10.77734375" style="2066" customWidth="1"/>
    <col min="14094" max="14094" width="10" style="2066" customWidth="1"/>
    <col min="14095" max="14096" width="10.44140625" style="2066" bestFit="1" customWidth="1"/>
    <col min="14097" max="14097" width="10" style="2066" customWidth="1"/>
    <col min="14098" max="14098" width="10.109375" style="2066" customWidth="1"/>
    <col min="14099" max="14099" width="10" style="2066" customWidth="1"/>
    <col min="14100" max="14100" width="26.109375" style="2066" customWidth="1"/>
    <col min="14101" max="14336" width="8.88671875" style="2066"/>
    <col min="14337" max="14337" width="9.44140625" style="2066" customWidth="1"/>
    <col min="14338" max="14338" width="8.88671875" style="2066"/>
    <col min="14339" max="14341" width="12.88671875" style="2066" customWidth="1"/>
    <col min="14342" max="14342" width="47.44140625" style="2066" customWidth="1"/>
    <col min="14343" max="14343" width="13" style="2066" customWidth="1"/>
    <col min="14344" max="14345" width="8.88671875" style="2066"/>
    <col min="14346" max="14346" width="5.77734375" style="2066" customWidth="1"/>
    <col min="14347" max="14347" width="11.77734375" style="2066" customWidth="1"/>
    <col min="14348" max="14349" width="10.77734375" style="2066" customWidth="1"/>
    <col min="14350" max="14350" width="10" style="2066" customWidth="1"/>
    <col min="14351" max="14352" width="10.44140625" style="2066" bestFit="1" customWidth="1"/>
    <col min="14353" max="14353" width="10" style="2066" customWidth="1"/>
    <col min="14354" max="14354" width="10.109375" style="2066" customWidth="1"/>
    <col min="14355" max="14355" width="10" style="2066" customWidth="1"/>
    <col min="14356" max="14356" width="26.109375" style="2066" customWidth="1"/>
    <col min="14357" max="14592" width="8.88671875" style="2066"/>
    <col min="14593" max="14593" width="9.44140625" style="2066" customWidth="1"/>
    <col min="14594" max="14594" width="8.88671875" style="2066"/>
    <col min="14595" max="14597" width="12.88671875" style="2066" customWidth="1"/>
    <col min="14598" max="14598" width="47.44140625" style="2066" customWidth="1"/>
    <col min="14599" max="14599" width="13" style="2066" customWidth="1"/>
    <col min="14600" max="14601" width="8.88671875" style="2066"/>
    <col min="14602" max="14602" width="5.77734375" style="2066" customWidth="1"/>
    <col min="14603" max="14603" width="11.77734375" style="2066" customWidth="1"/>
    <col min="14604" max="14605" width="10.77734375" style="2066" customWidth="1"/>
    <col min="14606" max="14606" width="10" style="2066" customWidth="1"/>
    <col min="14607" max="14608" width="10.44140625" style="2066" bestFit="1" customWidth="1"/>
    <col min="14609" max="14609" width="10" style="2066" customWidth="1"/>
    <col min="14610" max="14610" width="10.109375" style="2066" customWidth="1"/>
    <col min="14611" max="14611" width="10" style="2066" customWidth="1"/>
    <col min="14612" max="14612" width="26.109375" style="2066" customWidth="1"/>
    <col min="14613" max="14848" width="8.88671875" style="2066"/>
    <col min="14849" max="14849" width="9.44140625" style="2066" customWidth="1"/>
    <col min="14850" max="14850" width="8.88671875" style="2066"/>
    <col min="14851" max="14853" width="12.88671875" style="2066" customWidth="1"/>
    <col min="14854" max="14854" width="47.44140625" style="2066" customWidth="1"/>
    <col min="14855" max="14855" width="13" style="2066" customWidth="1"/>
    <col min="14856" max="14857" width="8.88671875" style="2066"/>
    <col min="14858" max="14858" width="5.77734375" style="2066" customWidth="1"/>
    <col min="14859" max="14859" width="11.77734375" style="2066" customWidth="1"/>
    <col min="14860" max="14861" width="10.77734375" style="2066" customWidth="1"/>
    <col min="14862" max="14862" width="10" style="2066" customWidth="1"/>
    <col min="14863" max="14864" width="10.44140625" style="2066" bestFit="1" customWidth="1"/>
    <col min="14865" max="14865" width="10" style="2066" customWidth="1"/>
    <col min="14866" max="14866" width="10.109375" style="2066" customWidth="1"/>
    <col min="14867" max="14867" width="10" style="2066" customWidth="1"/>
    <col min="14868" max="14868" width="26.109375" style="2066" customWidth="1"/>
    <col min="14869" max="15104" width="8.88671875" style="2066"/>
    <col min="15105" max="15105" width="9.44140625" style="2066" customWidth="1"/>
    <col min="15106" max="15106" width="8.88671875" style="2066"/>
    <col min="15107" max="15109" width="12.88671875" style="2066" customWidth="1"/>
    <col min="15110" max="15110" width="47.44140625" style="2066" customWidth="1"/>
    <col min="15111" max="15111" width="13" style="2066" customWidth="1"/>
    <col min="15112" max="15113" width="8.88671875" style="2066"/>
    <col min="15114" max="15114" width="5.77734375" style="2066" customWidth="1"/>
    <col min="15115" max="15115" width="11.77734375" style="2066" customWidth="1"/>
    <col min="15116" max="15117" width="10.77734375" style="2066" customWidth="1"/>
    <col min="15118" max="15118" width="10" style="2066" customWidth="1"/>
    <col min="15119" max="15120" width="10.44140625" style="2066" bestFit="1" customWidth="1"/>
    <col min="15121" max="15121" width="10" style="2066" customWidth="1"/>
    <col min="15122" max="15122" width="10.109375" style="2066" customWidth="1"/>
    <col min="15123" max="15123" width="10" style="2066" customWidth="1"/>
    <col min="15124" max="15124" width="26.109375" style="2066" customWidth="1"/>
    <col min="15125" max="15360" width="8.88671875" style="2066"/>
    <col min="15361" max="15361" width="9.44140625" style="2066" customWidth="1"/>
    <col min="15362" max="15362" width="8.88671875" style="2066"/>
    <col min="15363" max="15365" width="12.88671875" style="2066" customWidth="1"/>
    <col min="15366" max="15366" width="47.44140625" style="2066" customWidth="1"/>
    <col min="15367" max="15367" width="13" style="2066" customWidth="1"/>
    <col min="15368" max="15369" width="8.88671875" style="2066"/>
    <col min="15370" max="15370" width="5.77734375" style="2066" customWidth="1"/>
    <col min="15371" max="15371" width="11.77734375" style="2066" customWidth="1"/>
    <col min="15372" max="15373" width="10.77734375" style="2066" customWidth="1"/>
    <col min="15374" max="15374" width="10" style="2066" customWidth="1"/>
    <col min="15375" max="15376" width="10.44140625" style="2066" bestFit="1" customWidth="1"/>
    <col min="15377" max="15377" width="10" style="2066" customWidth="1"/>
    <col min="15378" max="15378" width="10.109375" style="2066" customWidth="1"/>
    <col min="15379" max="15379" width="10" style="2066" customWidth="1"/>
    <col min="15380" max="15380" width="26.109375" style="2066" customWidth="1"/>
    <col min="15381" max="15616" width="8.88671875" style="2066"/>
    <col min="15617" max="15617" width="9.44140625" style="2066" customWidth="1"/>
    <col min="15618" max="15618" width="8.88671875" style="2066"/>
    <col min="15619" max="15621" width="12.88671875" style="2066" customWidth="1"/>
    <col min="15622" max="15622" width="47.44140625" style="2066" customWidth="1"/>
    <col min="15623" max="15623" width="13" style="2066" customWidth="1"/>
    <col min="15624" max="15625" width="8.88671875" style="2066"/>
    <col min="15626" max="15626" width="5.77734375" style="2066" customWidth="1"/>
    <col min="15627" max="15627" width="11.77734375" style="2066" customWidth="1"/>
    <col min="15628" max="15629" width="10.77734375" style="2066" customWidth="1"/>
    <col min="15630" max="15630" width="10" style="2066" customWidth="1"/>
    <col min="15631" max="15632" width="10.44140625" style="2066" bestFit="1" customWidth="1"/>
    <col min="15633" max="15633" width="10" style="2066" customWidth="1"/>
    <col min="15634" max="15634" width="10.109375" style="2066" customWidth="1"/>
    <col min="15635" max="15635" width="10" style="2066" customWidth="1"/>
    <col min="15636" max="15636" width="26.109375" style="2066" customWidth="1"/>
    <col min="15637" max="15872" width="8.88671875" style="2066"/>
    <col min="15873" max="15873" width="9.44140625" style="2066" customWidth="1"/>
    <col min="15874" max="15874" width="8.88671875" style="2066"/>
    <col min="15875" max="15877" width="12.88671875" style="2066" customWidth="1"/>
    <col min="15878" max="15878" width="47.44140625" style="2066" customWidth="1"/>
    <col min="15879" max="15879" width="13" style="2066" customWidth="1"/>
    <col min="15880" max="15881" width="8.88671875" style="2066"/>
    <col min="15882" max="15882" width="5.77734375" style="2066" customWidth="1"/>
    <col min="15883" max="15883" width="11.77734375" style="2066" customWidth="1"/>
    <col min="15884" max="15885" width="10.77734375" style="2066" customWidth="1"/>
    <col min="15886" max="15886" width="10" style="2066" customWidth="1"/>
    <col min="15887" max="15888" width="10.44140625" style="2066" bestFit="1" customWidth="1"/>
    <col min="15889" max="15889" width="10" style="2066" customWidth="1"/>
    <col min="15890" max="15890" width="10.109375" style="2066" customWidth="1"/>
    <col min="15891" max="15891" width="10" style="2066" customWidth="1"/>
    <col min="15892" max="15892" width="26.109375" style="2066" customWidth="1"/>
    <col min="15893" max="16128" width="8.88671875" style="2066"/>
    <col min="16129" max="16129" width="9.44140625" style="2066" customWidth="1"/>
    <col min="16130" max="16130" width="8.88671875" style="2066"/>
    <col min="16131" max="16133" width="12.88671875" style="2066" customWidth="1"/>
    <col min="16134" max="16134" width="47.44140625" style="2066" customWidth="1"/>
    <col min="16135" max="16135" width="13" style="2066" customWidth="1"/>
    <col min="16136" max="16137" width="8.88671875" style="2066"/>
    <col min="16138" max="16138" width="5.77734375" style="2066" customWidth="1"/>
    <col min="16139" max="16139" width="11.77734375" style="2066" customWidth="1"/>
    <col min="16140" max="16141" width="10.77734375" style="2066" customWidth="1"/>
    <col min="16142" max="16142" width="10" style="2066" customWidth="1"/>
    <col min="16143" max="16144" width="10.44140625" style="2066" bestFit="1" customWidth="1"/>
    <col min="16145" max="16145" width="10" style="2066" customWidth="1"/>
    <col min="16146" max="16146" width="10.109375" style="2066" customWidth="1"/>
    <col min="16147" max="16147" width="10" style="2066" customWidth="1"/>
    <col min="16148" max="16148" width="26.109375" style="2066" customWidth="1"/>
    <col min="16149" max="16384" width="8.88671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2" customHeight="1">
      <c r="A2" s="937" t="s">
        <v>2213</v>
      </c>
      <c r="B2" s="3442" t="e">
        <f>IF(D2="——",C40,C40+E2)</f>
        <v>#DIV/0!</v>
      </c>
      <c r="C2" s="2067" t="s">
        <v>2214</v>
      </c>
      <c r="D2" s="2480" t="s">
        <v>3248</v>
      </c>
      <c r="E2" s="2481"/>
      <c r="F2" s="2069"/>
      <c r="G2" s="2070"/>
      <c r="H2" s="2071"/>
      <c r="I2" s="2072"/>
      <c r="J2" s="4521" t="s">
        <v>2215</v>
      </c>
      <c r="K2" s="4522"/>
      <c r="L2" s="2073" t="s">
        <v>2216</v>
      </c>
      <c r="M2" s="2073" t="s">
        <v>2217</v>
      </c>
      <c r="N2" s="2073" t="s">
        <v>2218</v>
      </c>
      <c r="O2" s="2073" t="s">
        <v>2219</v>
      </c>
      <c r="P2" s="2073" t="s">
        <v>2220</v>
      </c>
      <c r="Q2" s="2074" t="s">
        <v>2221</v>
      </c>
      <c r="R2" s="2075" t="s">
        <v>2222</v>
      </c>
      <c r="S2" s="2065"/>
      <c r="T2" s="2065"/>
      <c r="U2" s="2065"/>
      <c r="V2" s="2072"/>
    </row>
    <row r="3" spans="1:22" s="2076" customFormat="1" ht="13.2" customHeight="1">
      <c r="A3" s="2077" t="s">
        <v>2223</v>
      </c>
      <c r="B3" s="3443" t="e">
        <f>ROUND(B2*10000/B4,0)</f>
        <v>#DIV/0!</v>
      </c>
      <c r="C3" s="2067" t="s">
        <v>2224</v>
      </c>
      <c r="D3" s="2067"/>
      <c r="E3" s="2068"/>
      <c r="F3" s="2069"/>
      <c r="G3" s="2070"/>
      <c r="H3" s="2071"/>
      <c r="I3" s="2072"/>
      <c r="J3" s="4523" t="s">
        <v>2225</v>
      </c>
      <c r="K3" s="4524"/>
      <c r="L3" s="2078"/>
      <c r="M3" s="2078"/>
      <c r="N3" s="2078"/>
      <c r="O3" s="2078"/>
      <c r="P3" s="2078"/>
      <c r="Q3" s="2079"/>
      <c r="R3" s="2080">
        <f>SUM(L3:Q3)</f>
        <v>0</v>
      </c>
      <c r="S3" s="2065"/>
      <c r="T3" s="2065"/>
      <c r="U3" s="2065"/>
      <c r="V3" s="2072"/>
    </row>
    <row r="4" spans="1:22" s="2076" customFormat="1" ht="13.2" customHeight="1">
      <c r="A4" s="2081" t="s">
        <v>2226</v>
      </c>
      <c r="B4" s="2114"/>
      <c r="C4" s="2067"/>
      <c r="D4" s="2067"/>
      <c r="E4" s="2068"/>
      <c r="F4" s="2069"/>
      <c r="G4" s="2070"/>
      <c r="H4" s="2071"/>
      <c r="I4" s="2072"/>
      <c r="J4" s="4523" t="s">
        <v>2227</v>
      </c>
      <c r="K4" s="4524"/>
      <c r="L4" s="2083"/>
      <c r="M4" s="2083"/>
      <c r="N4" s="2083"/>
      <c r="O4" s="2083"/>
      <c r="P4" s="2083"/>
      <c r="Q4" s="2084"/>
      <c r="R4" s="2085">
        <f>SUM(L4:Q4)</f>
        <v>0</v>
      </c>
      <c r="S4" s="2065"/>
      <c r="T4" s="2065"/>
      <c r="U4" s="2065"/>
      <c r="V4" s="2072"/>
    </row>
    <row r="5" spans="1:22" s="2076" customFormat="1" ht="13.2"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2" customHeight="1" thickBot="1">
      <c r="A6" s="4525" t="s">
        <v>3801</v>
      </c>
      <c r="B6" s="4526"/>
      <c r="C6" s="4527"/>
      <c r="D6" s="3445"/>
      <c r="E6" s="3584"/>
      <c r="F6" s="2092"/>
      <c r="G6" s="2093"/>
      <c r="H6" s="2071"/>
      <c r="I6" s="2072"/>
      <c r="J6" s="4528">
        <v>1</v>
      </c>
      <c r="K6" s="4529"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2" customHeight="1">
      <c r="A7" s="2096" t="s">
        <v>2240</v>
      </c>
      <c r="B7" s="2097"/>
      <c r="C7" s="2098"/>
      <c r="D7" s="3446">
        <f>SUM(D9,D10,D11,D17,0)</f>
        <v>0</v>
      </c>
      <c r="E7" s="2099" t="e">
        <f>E9+E10+E11+E17</f>
        <v>#DIV/0!</v>
      </c>
      <c r="F7" s="2100"/>
      <c r="G7" s="2101"/>
      <c r="H7" s="2071"/>
      <c r="I7" s="2072"/>
      <c r="J7" s="4528"/>
      <c r="K7" s="4530"/>
      <c r="L7" s="2102" t="s">
        <v>2241</v>
      </c>
      <c r="M7" s="3682"/>
      <c r="N7" s="3681"/>
      <c r="O7" s="2114"/>
      <c r="P7" s="2114"/>
      <c r="Q7" s="3681">
        <v>365</v>
      </c>
      <c r="R7" s="3680">
        <f>ROUND(M7*N7*O7*P7*Q7/10000,0)</f>
        <v>0</v>
      </c>
      <c r="S7" s="2065"/>
      <c r="T7" s="2065" t="s">
        <v>2242</v>
      </c>
      <c r="U7" s="2065"/>
      <c r="V7" s="2072"/>
    </row>
    <row r="8" spans="1:22" s="2076" customFormat="1" ht="13.2" customHeight="1">
      <c r="A8" s="2106" t="s">
        <v>2243</v>
      </c>
      <c r="B8" s="4532" t="s">
        <v>2244</v>
      </c>
      <c r="C8" s="4533"/>
      <c r="D8" s="4069" t="s">
        <v>3966</v>
      </c>
      <c r="E8" s="2107" t="s">
        <v>2245</v>
      </c>
      <c r="F8" s="2108" t="s">
        <v>2246</v>
      </c>
      <c r="G8" s="2109"/>
      <c r="H8" s="2071"/>
      <c r="I8" s="2072"/>
      <c r="J8" s="4528"/>
      <c r="K8" s="4530"/>
      <c r="L8" s="2102" t="s">
        <v>2247</v>
      </c>
      <c r="M8" s="3682"/>
      <c r="N8" s="3681"/>
      <c r="O8" s="2114"/>
      <c r="P8" s="2114"/>
      <c r="Q8" s="3681">
        <v>365</v>
      </c>
      <c r="R8" s="3680">
        <f t="shared" ref="R8:R13" si="0">ROUND(M8*N8*O8*P8*Q8/10000,0)</f>
        <v>0</v>
      </c>
      <c r="S8" s="2065"/>
      <c r="T8" s="2065" t="s">
        <v>2248</v>
      </c>
      <c r="U8" s="2065"/>
      <c r="V8" s="2072"/>
    </row>
    <row r="9" spans="1:22" s="2076" customFormat="1" ht="13.2" customHeight="1">
      <c r="A9" s="2106">
        <v>1</v>
      </c>
      <c r="B9" s="4532" t="s">
        <v>2249</v>
      </c>
      <c r="C9" s="4533"/>
      <c r="D9" s="3447">
        <f>ROUND(D6*E9,0)</f>
        <v>0</v>
      </c>
      <c r="E9" s="3448"/>
      <c r="F9" s="2110" t="s">
        <v>2250</v>
      </c>
      <c r="G9" s="2093"/>
      <c r="H9" s="2071"/>
      <c r="I9" s="2072"/>
      <c r="J9" s="4528"/>
      <c r="K9" s="4530"/>
      <c r="L9" s="2102" t="s">
        <v>2251</v>
      </c>
      <c r="M9" s="3682"/>
      <c r="N9" s="3681"/>
      <c r="O9" s="2114"/>
      <c r="P9" s="2114"/>
      <c r="Q9" s="3681">
        <v>365</v>
      </c>
      <c r="R9" s="3680">
        <f t="shared" si="0"/>
        <v>0</v>
      </c>
      <c r="S9" s="2065"/>
      <c r="T9" s="2065"/>
      <c r="U9" s="2065"/>
      <c r="V9" s="2072"/>
    </row>
    <row r="10" spans="1:22" s="2076" customFormat="1" ht="13.2" customHeight="1">
      <c r="A10" s="2106">
        <v>2</v>
      </c>
      <c r="B10" s="4532" t="s">
        <v>2252</v>
      </c>
      <c r="C10" s="4533"/>
      <c r="D10" s="3447">
        <f>ROUND(D6*E10,0)</f>
        <v>0</v>
      </c>
      <c r="E10" s="3448"/>
      <c r="F10" s="3579" t="s">
        <v>3726</v>
      </c>
      <c r="G10" s="2093"/>
      <c r="H10" s="2071"/>
      <c r="I10" s="2072"/>
      <c r="J10" s="4528"/>
      <c r="K10" s="4530"/>
      <c r="L10" s="2102" t="s">
        <v>2253</v>
      </c>
      <c r="M10" s="3682"/>
      <c r="N10" s="3681"/>
      <c r="O10" s="2114"/>
      <c r="P10" s="2114"/>
      <c r="Q10" s="3681">
        <v>365</v>
      </c>
      <c r="R10" s="3680">
        <f t="shared" si="0"/>
        <v>0</v>
      </c>
      <c r="S10" s="2065"/>
      <c r="T10" s="2065"/>
      <c r="U10" s="2065"/>
      <c r="V10" s="2072"/>
    </row>
    <row r="11" spans="1:22" s="2076" customFormat="1" ht="13.2" customHeight="1">
      <c r="A11" s="2106">
        <v>3</v>
      </c>
      <c r="B11" s="4532" t="s">
        <v>2254</v>
      </c>
      <c r="C11" s="4533"/>
      <c r="D11" s="3447">
        <f>D12+D14+D15+D16</f>
        <v>0</v>
      </c>
      <c r="E11" s="3449" t="e">
        <f>D11/D6</f>
        <v>#DIV/0!</v>
      </c>
      <c r="F11" s="2108"/>
      <c r="G11" s="2109"/>
      <c r="H11" s="2071"/>
      <c r="I11" s="2072"/>
      <c r="J11" s="4528"/>
      <c r="K11" s="4530"/>
      <c r="L11" s="2102" t="s">
        <v>2255</v>
      </c>
      <c r="M11" s="3682"/>
      <c r="N11" s="3681"/>
      <c r="O11" s="2114"/>
      <c r="P11" s="2114"/>
      <c r="Q11" s="3681">
        <v>365</v>
      </c>
      <c r="R11" s="3680">
        <f t="shared" si="0"/>
        <v>0</v>
      </c>
      <c r="S11" s="2065"/>
      <c r="T11" s="2065"/>
      <c r="U11" s="2065"/>
      <c r="V11" s="2072"/>
    </row>
    <row r="12" spans="1:22" s="2076" customFormat="1" ht="13.2" customHeight="1">
      <c r="A12" s="2111" t="s">
        <v>2256</v>
      </c>
      <c r="B12" s="4534" t="s">
        <v>2257</v>
      </c>
      <c r="C12" s="4535"/>
      <c r="D12" s="3450">
        <f>ROUND(D13*1.2%*(1-30%),0)</f>
        <v>0</v>
      </c>
      <c r="E12" s="3451">
        <v>1.2E-2</v>
      </c>
      <c r="F12" s="2108" t="s">
        <v>2258</v>
      </c>
      <c r="G12" s="2109"/>
      <c r="H12" s="2071"/>
      <c r="I12" s="2072"/>
      <c r="J12" s="4528"/>
      <c r="K12" s="4530"/>
      <c r="L12" s="2102" t="s">
        <v>2259</v>
      </c>
      <c r="M12" s="3682"/>
      <c r="N12" s="3681"/>
      <c r="O12" s="2114"/>
      <c r="P12" s="2114"/>
      <c r="Q12" s="3681">
        <v>365</v>
      </c>
      <c r="R12" s="3680">
        <f t="shared" si="0"/>
        <v>0</v>
      </c>
      <c r="S12" s="2065"/>
      <c r="T12" s="2065"/>
      <c r="U12" s="2065"/>
      <c r="V12" s="2072"/>
    </row>
    <row r="13" spans="1:22" s="2076" customFormat="1" ht="13.2" customHeight="1">
      <c r="A13" s="2111"/>
      <c r="B13" s="2112"/>
      <c r="C13" s="2113" t="s">
        <v>2260</v>
      </c>
      <c r="D13" s="3452"/>
      <c r="E13" s="2115"/>
      <c r="F13" s="2108"/>
      <c r="G13" s="2109"/>
      <c r="H13" s="2071"/>
      <c r="I13" s="2072"/>
      <c r="J13" s="4528"/>
      <c r="K13" s="4530"/>
      <c r="L13" s="2102" t="s">
        <v>2261</v>
      </c>
      <c r="M13" s="3682"/>
      <c r="N13" s="3681"/>
      <c r="O13" s="2114"/>
      <c r="P13" s="2114"/>
      <c r="Q13" s="3681">
        <v>365</v>
      </c>
      <c r="R13" s="3680">
        <f t="shared" si="0"/>
        <v>0</v>
      </c>
      <c r="S13" s="2065"/>
      <c r="T13" s="2065"/>
      <c r="U13" s="2065"/>
      <c r="V13" s="2072"/>
    </row>
    <row r="14" spans="1:22" s="2076" customFormat="1" ht="13.2" customHeight="1">
      <c r="A14" s="2111" t="s">
        <v>2262</v>
      </c>
      <c r="B14" s="4534" t="s">
        <v>2263</v>
      </c>
      <c r="C14" s="4535"/>
      <c r="D14" s="3450">
        <f>ROUND(E14*B5/10000,0)</f>
        <v>0</v>
      </c>
      <c r="E14" s="3453"/>
      <c r="F14" s="2108" t="s">
        <v>2264</v>
      </c>
      <c r="G14" s="2109"/>
      <c r="H14" s="2071"/>
      <c r="I14" s="2072"/>
      <c r="J14" s="4528"/>
      <c r="K14" s="4531"/>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2" customHeight="1">
      <c r="A15" s="2111" t="s">
        <v>2266</v>
      </c>
      <c r="B15" s="4536" t="s">
        <v>3798</v>
      </c>
      <c r="C15" s="4535"/>
      <c r="D15" s="3450">
        <f>IF(F15="酒店",E48*(1+E15),IF(F15="购物中心",E67*(1+E15),IF(F15="按比例计算-酒店",E46,E65)))</f>
        <v>0</v>
      </c>
      <c r="E15" s="3451">
        <f>'数据-取费表'!B44</f>
        <v>0.12000000000000001</v>
      </c>
      <c r="F15" s="3582" t="s">
        <v>3858</v>
      </c>
      <c r="G15" s="3583"/>
      <c r="H15" s="2071"/>
      <c r="I15" s="2072"/>
      <c r="J15" s="4528">
        <v>2</v>
      </c>
      <c r="K15" s="4529"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2" customHeight="1">
      <c r="A16" s="2111" t="s">
        <v>2273</v>
      </c>
      <c r="B16" s="4534" t="s">
        <v>2274</v>
      </c>
      <c r="C16" s="4535"/>
      <c r="D16" s="3454">
        <f>D6*E16</f>
        <v>0</v>
      </c>
      <c r="E16" s="3455"/>
      <c r="F16" s="2110" t="s">
        <v>2275</v>
      </c>
      <c r="G16" s="2093"/>
      <c r="H16" s="2071"/>
      <c r="I16" s="2072"/>
      <c r="J16" s="4528"/>
      <c r="K16" s="4530"/>
      <c r="L16" s="2102" t="s">
        <v>2276</v>
      </c>
      <c r="M16" s="3682"/>
      <c r="N16" s="3682"/>
      <c r="O16" s="2114"/>
      <c r="P16" s="3681">
        <v>365</v>
      </c>
      <c r="Q16" s="3681"/>
      <c r="R16" s="3680">
        <f>ROUND(M16*N16*O16*P16/10000,0)</f>
        <v>0</v>
      </c>
      <c r="S16" s="2065"/>
      <c r="T16" s="2065"/>
      <c r="U16" s="2065"/>
      <c r="V16" s="2072"/>
    </row>
    <row r="17" spans="1:22" s="2076" customFormat="1" ht="13.2" customHeight="1" thickBot="1">
      <c r="A17" s="2121">
        <v>4</v>
      </c>
      <c r="B17" s="4537" t="s">
        <v>2277</v>
      </c>
      <c r="C17" s="4538"/>
      <c r="D17" s="3456">
        <f>ROUND(D6*E17,0)</f>
        <v>0</v>
      </c>
      <c r="E17" s="3457"/>
      <c r="F17" s="3580" t="s">
        <v>3727</v>
      </c>
      <c r="G17" s="2093"/>
      <c r="H17" s="2071"/>
      <c r="I17" s="2072"/>
      <c r="J17" s="4528"/>
      <c r="K17" s="4530"/>
      <c r="L17" s="2102" t="s">
        <v>2278</v>
      </c>
      <c r="M17" s="3682"/>
      <c r="N17" s="3682"/>
      <c r="O17" s="2114"/>
      <c r="P17" s="3681">
        <v>365</v>
      </c>
      <c r="Q17" s="3681"/>
      <c r="R17" s="3680">
        <f>ROUND(M17*N17*O17*P17/10000,0)</f>
        <v>0</v>
      </c>
      <c r="S17" s="2065"/>
      <c r="T17" s="2065"/>
      <c r="U17" s="2065"/>
      <c r="V17" s="2072"/>
    </row>
    <row r="18" spans="1:22" s="2076" customFormat="1" ht="13.2" customHeight="1" thickBot="1">
      <c r="A18" s="2096" t="s">
        <v>2279</v>
      </c>
      <c r="B18" s="2097"/>
      <c r="C18" s="2097"/>
      <c r="D18" s="3458">
        <f>ROUND(D6*E18,0)</f>
        <v>0</v>
      </c>
      <c r="E18" s="3459"/>
      <c r="F18" s="2122" t="s">
        <v>2280</v>
      </c>
      <c r="G18" s="2093"/>
      <c r="H18" s="2071"/>
      <c r="I18" s="2072"/>
      <c r="J18" s="4528"/>
      <c r="K18" s="4530"/>
      <c r="L18" s="2102" t="s">
        <v>2281</v>
      </c>
      <c r="M18" s="3682"/>
      <c r="N18" s="3682"/>
      <c r="O18" s="2114"/>
      <c r="P18" s="3681">
        <v>365</v>
      </c>
      <c r="Q18" s="3681"/>
      <c r="R18" s="3680">
        <f>ROUND(M18*N18*O18*P18/10000,0)</f>
        <v>0</v>
      </c>
      <c r="S18" s="2065"/>
      <c r="T18" s="2065"/>
      <c r="U18" s="2065"/>
      <c r="V18" s="2072"/>
    </row>
    <row r="19" spans="1:22" s="2076" customFormat="1" ht="13.2" customHeight="1" thickBot="1">
      <c r="A19" s="2123" t="s">
        <v>2282</v>
      </c>
      <c r="B19" s="2091"/>
      <c r="C19" s="2091"/>
      <c r="D19" s="2091"/>
      <c r="E19" s="2091"/>
      <c r="F19" s="2092"/>
      <c r="G19" s="2109"/>
      <c r="H19" s="2071"/>
      <c r="I19" s="2072"/>
      <c r="J19" s="4528"/>
      <c r="K19" s="4531"/>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2" customHeight="1">
      <c r="A20" s="2096"/>
      <c r="B20" s="2097"/>
      <c r="C20" s="2097"/>
      <c r="D20" s="2097"/>
      <c r="E20" s="2097"/>
      <c r="F20" s="2125"/>
      <c r="G20" s="2109"/>
      <c r="H20" s="2071"/>
      <c r="I20" s="2072"/>
      <c r="J20" s="4528">
        <v>3</v>
      </c>
      <c r="K20" s="4529"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2" customHeight="1">
      <c r="A21" s="2096"/>
      <c r="B21" s="2097"/>
      <c r="C21" s="2127" t="s">
        <v>2291</v>
      </c>
      <c r="D21" s="2128" t="s">
        <v>2292</v>
      </c>
      <c r="E21" s="2129" t="s">
        <v>2293</v>
      </c>
      <c r="F21" s="2125"/>
      <c r="G21" s="2109"/>
      <c r="H21" s="2071"/>
      <c r="I21" s="2072"/>
      <c r="J21" s="4528"/>
      <c r="K21" s="4530"/>
      <c r="L21" s="2102" t="s">
        <v>2294</v>
      </c>
      <c r="M21" s="3682"/>
      <c r="N21" s="3682"/>
      <c r="O21" s="2114"/>
      <c r="P21" s="3681">
        <v>365</v>
      </c>
      <c r="Q21" s="3681"/>
      <c r="R21" s="3683">
        <f>ROUND(M21*N21*O21*P21/10000,0)</f>
        <v>0</v>
      </c>
      <c r="S21" s="2065"/>
      <c r="T21" s="2065"/>
      <c r="U21" s="2065"/>
      <c r="V21" s="2072"/>
    </row>
    <row r="22" spans="1:22" s="2076" customFormat="1" ht="13.2" customHeight="1">
      <c r="A22" s="2096"/>
      <c r="B22" s="2097"/>
      <c r="C22" s="2130" t="s">
        <v>2295</v>
      </c>
      <c r="D22" s="2131" t="s">
        <v>2296</v>
      </c>
      <c r="E22" s="2132" t="s">
        <v>2297</v>
      </c>
      <c r="F22" s="2125"/>
      <c r="G22" s="2065"/>
      <c r="H22" s="2071"/>
      <c r="I22" s="2072"/>
      <c r="J22" s="4528"/>
      <c r="K22" s="4530"/>
      <c r="L22" s="2102" t="s">
        <v>2298</v>
      </c>
      <c r="M22" s="3682"/>
      <c r="N22" s="3682"/>
      <c r="O22" s="2114"/>
      <c r="P22" s="3681">
        <v>365</v>
      </c>
      <c r="Q22" s="3681"/>
      <c r="R22" s="3683">
        <f>ROUND(M22*N22*O22*P22/10000,0)</f>
        <v>0</v>
      </c>
      <c r="S22" s="2065"/>
      <c r="T22" s="2065"/>
      <c r="U22" s="2065"/>
      <c r="V22" s="2072"/>
    </row>
    <row r="23" spans="1:22" s="2076" customFormat="1" ht="13.2" customHeight="1">
      <c r="A23" s="2133">
        <v>1</v>
      </c>
      <c r="B23" s="2134" t="s">
        <v>2299</v>
      </c>
      <c r="C23" s="2139">
        <f>D6</f>
        <v>0</v>
      </c>
      <c r="D23" s="3474">
        <f>C23*(1+D24)</f>
        <v>0</v>
      </c>
      <c r="E23" s="3475">
        <f>D23*(1+E24)</f>
        <v>0</v>
      </c>
      <c r="F23" s="2135"/>
      <c r="G23" s="2136"/>
      <c r="H23" s="2071"/>
      <c r="I23" s="2072"/>
      <c r="J23" s="4528"/>
      <c r="K23" s="4530"/>
      <c r="L23" s="2102" t="s">
        <v>2300</v>
      </c>
      <c r="M23" s="3682"/>
      <c r="N23" s="3682"/>
      <c r="O23" s="2114"/>
      <c r="P23" s="3681">
        <v>365</v>
      </c>
      <c r="Q23" s="3681"/>
      <c r="R23" s="3683">
        <f>ROUND(M23*N23*O23*P23/10000,0)</f>
        <v>0</v>
      </c>
      <c r="S23" s="2065"/>
      <c r="T23" s="2065"/>
      <c r="U23" s="2065"/>
      <c r="V23" s="2072"/>
    </row>
    <row r="24" spans="1:22" s="2076" customFormat="1" ht="13.2" customHeight="1">
      <c r="A24" s="2137"/>
      <c r="B24" s="2138" t="s">
        <v>2301</v>
      </c>
      <c r="C24" s="2139"/>
      <c r="D24" s="2140"/>
      <c r="E24" s="2141"/>
      <c r="F24" s="2142"/>
      <c r="G24" s="2136"/>
      <c r="H24" s="2071"/>
      <c r="I24" s="2072"/>
      <c r="J24" s="4528"/>
      <c r="K24" s="4531"/>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2"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2" customHeight="1">
      <c r="A26" s="2133">
        <v>2</v>
      </c>
      <c r="B26" s="2134" t="s">
        <v>2303</v>
      </c>
      <c r="C26" s="2139">
        <f>D7</f>
        <v>0</v>
      </c>
      <c r="D26" s="3460">
        <f>D23*D27</f>
        <v>0</v>
      </c>
      <c r="E26" s="3461">
        <f>E23*E27</f>
        <v>0</v>
      </c>
      <c r="F26" s="2135"/>
      <c r="G26" s="2136"/>
      <c r="H26" s="2071"/>
      <c r="I26" s="2072"/>
      <c r="J26" s="4539">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2" customHeight="1">
      <c r="A27" s="2137"/>
      <c r="B27" s="2138" t="s">
        <v>2309</v>
      </c>
      <c r="C27" s="2155" t="e">
        <f>E7</f>
        <v>#DIV/0!</v>
      </c>
      <c r="D27" s="2140"/>
      <c r="E27" s="2141"/>
      <c r="F27" s="2142"/>
      <c r="G27" s="2136"/>
      <c r="H27" s="2156"/>
      <c r="I27" s="2148"/>
      <c r="J27" s="4540"/>
      <c r="K27" s="2157"/>
      <c r="L27" s="2158"/>
      <c r="M27" s="2159"/>
      <c r="N27" s="3479"/>
      <c r="O27" s="3479"/>
      <c r="P27" s="3479"/>
      <c r="Q27" s="3479"/>
      <c r="R27" s="3684">
        <f>ROUND(O27*N27*P27*(1-Q27)/10000,0)</f>
        <v>0</v>
      </c>
      <c r="S27" s="2065"/>
      <c r="T27" s="2065"/>
      <c r="U27" s="2065"/>
      <c r="V27" s="2072"/>
    </row>
    <row r="28" spans="1:22" s="2149" customFormat="1" ht="13.2"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2"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2"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2"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2" customHeight="1">
      <c r="A32" s="2133">
        <v>4</v>
      </c>
      <c r="B32" s="2134" t="s">
        <v>2317</v>
      </c>
      <c r="C32" s="2139">
        <f>C23-C26-C29</f>
        <v>0</v>
      </c>
      <c r="D32" s="3460">
        <f>D23-D26-D29</f>
        <v>0</v>
      </c>
      <c r="E32" s="3461">
        <f>E23-E26-E29</f>
        <v>0</v>
      </c>
      <c r="F32" s="2135"/>
      <c r="G32" s="2065"/>
      <c r="H32" s="2071"/>
      <c r="I32" s="2072"/>
      <c r="J32" s="4521" t="s">
        <v>2215</v>
      </c>
      <c r="K32" s="4522"/>
      <c r="L32" s="2073" t="s">
        <v>2216</v>
      </c>
      <c r="M32" s="2073" t="s">
        <v>2217</v>
      </c>
      <c r="N32" s="2073" t="s">
        <v>2218</v>
      </c>
      <c r="O32" s="2073" t="s">
        <v>2219</v>
      </c>
      <c r="P32" s="2073" t="s">
        <v>2220</v>
      </c>
      <c r="Q32" s="2074" t="s">
        <v>2221</v>
      </c>
      <c r="R32" s="2168" t="s">
        <v>2222</v>
      </c>
      <c r="S32" s="2065"/>
      <c r="T32" s="2065"/>
      <c r="U32" s="2065"/>
      <c r="V32" s="2148"/>
    </row>
    <row r="33" spans="1:23" s="2076" customFormat="1" ht="13.2" customHeight="1">
      <c r="A33" s="2133"/>
      <c r="B33" s="2134"/>
      <c r="C33" s="2139"/>
      <c r="D33" s="3462"/>
      <c r="E33" s="3463"/>
      <c r="F33" s="2135"/>
      <c r="G33" s="2065"/>
      <c r="H33" s="2156"/>
      <c r="I33" s="2148"/>
      <c r="J33" s="4523" t="s">
        <v>2225</v>
      </c>
      <c r="K33" s="4524"/>
      <c r="L33" s="3482"/>
      <c r="M33" s="3482"/>
      <c r="N33" s="3482"/>
      <c r="O33" s="3482"/>
      <c r="P33" s="3482"/>
      <c r="Q33" s="3483"/>
      <c r="R33" s="3484">
        <f>SUM(L33:Q33)</f>
        <v>0</v>
      </c>
      <c r="S33" s="2065"/>
      <c r="T33" s="2065"/>
      <c r="U33" s="2065"/>
      <c r="V33" s="2072"/>
    </row>
    <row r="34" spans="1:23" s="2076" customFormat="1" ht="13.2" customHeight="1">
      <c r="A34" s="2133">
        <v>5</v>
      </c>
      <c r="B34" s="2134" t="s">
        <v>2318</v>
      </c>
      <c r="C34" s="3464"/>
      <c r="D34" s="3465"/>
      <c r="E34" s="3466"/>
      <c r="F34" s="2135"/>
      <c r="G34" s="2065"/>
      <c r="H34" s="2156"/>
      <c r="I34" s="2148"/>
      <c r="J34" s="4523" t="s">
        <v>2227</v>
      </c>
      <c r="K34" s="4524"/>
      <c r="L34" s="3485"/>
      <c r="M34" s="3485"/>
      <c r="N34" s="3485"/>
      <c r="O34" s="3485"/>
      <c r="P34" s="3485"/>
      <c r="Q34" s="3486"/>
      <c r="R34" s="3487">
        <f>SUM(L34:Q34)</f>
        <v>0</v>
      </c>
      <c r="S34" s="2065"/>
      <c r="T34" s="2065"/>
      <c r="U34" s="2065" t="e">
        <f>ROUND(R35*10000/365/R33,1)</f>
        <v>#DIV/0!</v>
      </c>
      <c r="V34" s="2072"/>
    </row>
    <row r="35" spans="1:23" s="2076" customFormat="1" ht="13.2"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2" customHeight="1" thickBot="1">
      <c r="A36" s="2133">
        <v>7</v>
      </c>
      <c r="B36" s="2171" t="s">
        <v>2320</v>
      </c>
      <c r="C36" s="3467"/>
      <c r="D36" s="3468"/>
      <c r="E36" s="3469"/>
      <c r="F36" s="2172">
        <f>C36+D36+E36</f>
        <v>0</v>
      </c>
      <c r="G36" s="2065"/>
      <c r="H36" s="2071"/>
      <c r="I36" s="2072"/>
      <c r="J36" s="4528">
        <v>1</v>
      </c>
      <c r="K36" s="4529" t="s">
        <v>2321</v>
      </c>
      <c r="L36" s="2094"/>
      <c r="M36" s="2095"/>
      <c r="N36" s="2095"/>
      <c r="O36" s="2095"/>
      <c r="P36" s="2095"/>
      <c r="Q36" s="2095"/>
      <c r="R36" s="2080" t="s">
        <v>2238</v>
      </c>
      <c r="S36" s="2065"/>
      <c r="T36" s="2065" t="s">
        <v>2239</v>
      </c>
      <c r="U36" s="2065"/>
      <c r="V36" s="2072"/>
    </row>
    <row r="37" spans="1:23" s="2076" customFormat="1" ht="13.2" customHeight="1">
      <c r="A37" s="2133"/>
      <c r="B37" s="2134"/>
      <c r="C37" s="2138"/>
      <c r="D37" s="2138"/>
      <c r="E37" s="2138"/>
      <c r="F37" s="2135"/>
      <c r="G37" s="2065"/>
      <c r="H37" s="2071"/>
      <c r="I37" s="2072"/>
      <c r="J37" s="4528"/>
      <c r="K37" s="4530"/>
      <c r="L37" s="3488"/>
      <c r="M37" s="3476"/>
      <c r="N37" s="2114"/>
      <c r="O37" s="2114"/>
      <c r="P37" s="2114"/>
      <c r="Q37" s="2114"/>
      <c r="R37" s="3477"/>
      <c r="S37" s="2065"/>
      <c r="T37" s="2065" t="s">
        <v>2242</v>
      </c>
      <c r="U37" s="2065"/>
      <c r="V37" s="2072"/>
    </row>
    <row r="38" spans="1:23" s="2076" customFormat="1" ht="13.2" customHeight="1">
      <c r="A38" s="2133">
        <v>8</v>
      </c>
      <c r="B38" s="2134"/>
      <c r="C38" s="3447" t="e">
        <f>ROUND(C32*(1-((1+C35)/(1+C34))^C36)/(C34-C35),0)</f>
        <v>#DIV/0!</v>
      </c>
      <c r="D38" s="3447">
        <f>IF(D23=0,0,ROUND(D32*(1-((1+D35)/(1+D34))^D36)/(D34-D35),0))</f>
        <v>0</v>
      </c>
      <c r="E38" s="3447">
        <f>IF(E23=0,0,ROUND(E32*(1-((1+E35)/(1+E34))^E36)/(E34-E35),0))</f>
        <v>0</v>
      </c>
      <c r="F38" s="2135"/>
      <c r="G38" s="2065"/>
      <c r="H38" s="2071"/>
      <c r="I38" s="2072"/>
      <c r="J38" s="4528"/>
      <c r="K38" s="4530"/>
      <c r="L38" s="3488"/>
      <c r="M38" s="3476"/>
      <c r="N38" s="2114"/>
      <c r="O38" s="2114"/>
      <c r="P38" s="2114"/>
      <c r="Q38" s="2114"/>
      <c r="R38" s="3477"/>
      <c r="S38" s="2065"/>
      <c r="T38" s="2065" t="s">
        <v>2248</v>
      </c>
      <c r="U38" s="2065"/>
      <c r="V38" s="2072"/>
    </row>
    <row r="39" spans="1:23" s="2076" customFormat="1" ht="13.2" customHeight="1">
      <c r="A39" s="2133">
        <v>9</v>
      </c>
      <c r="B39" s="2134" t="s">
        <v>2322</v>
      </c>
      <c r="C39" s="3450" t="e">
        <f>C38</f>
        <v>#DIV/0!</v>
      </c>
      <c r="D39" s="3450">
        <f>IF(D23=0,0,D38/(1+D34)^C36)</f>
        <v>0</v>
      </c>
      <c r="E39" s="3450">
        <f>IF(E23=0,0,E38/(1+E34)^(C36+D36))</f>
        <v>0</v>
      </c>
      <c r="F39" s="2135"/>
      <c r="G39" s="2072"/>
      <c r="H39" s="2071"/>
      <c r="I39" s="2072"/>
      <c r="J39" s="4528"/>
      <c r="K39" s="4530"/>
      <c r="L39" s="3488"/>
      <c r="M39" s="3476"/>
      <c r="N39" s="2114"/>
      <c r="O39" s="2114"/>
      <c r="P39" s="2114"/>
      <c r="Q39" s="2114"/>
      <c r="R39" s="3477"/>
      <c r="S39" s="2065"/>
      <c r="T39" s="2065"/>
      <c r="U39" s="2065"/>
      <c r="V39" s="2072"/>
    </row>
    <row r="40" spans="1:23" s="2076" customFormat="1" ht="13.2" customHeight="1">
      <c r="A40" s="2173">
        <v>10</v>
      </c>
      <c r="B40" s="2134" t="s">
        <v>2323</v>
      </c>
      <c r="C40" s="3470" t="e">
        <f>C39+D39+E39</f>
        <v>#DIV/0!</v>
      </c>
      <c r="D40" s="3471"/>
      <c r="E40" s="3471"/>
      <c r="F40" s="2174"/>
      <c r="G40" s="2065"/>
      <c r="H40" s="2071"/>
      <c r="I40" s="2072"/>
      <c r="J40" s="4528"/>
      <c r="K40" s="4531"/>
      <c r="L40" s="2116" t="s">
        <v>2265</v>
      </c>
      <c r="M40" s="2117"/>
      <c r="N40" s="2117"/>
      <c r="O40" s="2118"/>
      <c r="P40" s="2118"/>
      <c r="Q40" s="3489"/>
      <c r="R40" s="3685">
        <f>SUM(R37:R39)</f>
        <v>0</v>
      </c>
      <c r="S40" s="2065"/>
      <c r="T40" s="2065"/>
      <c r="U40" s="2065"/>
      <c r="V40" s="2072"/>
    </row>
    <row r="41" spans="1:23" s="2076" customFormat="1" ht="13.2"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2" customHeight="1">
      <c r="G42" s="2071"/>
      <c r="H42" s="2071"/>
      <c r="I42" s="2072"/>
      <c r="J42" s="4539">
        <v>3</v>
      </c>
      <c r="K42" s="2150" t="s">
        <v>2304</v>
      </c>
      <c r="L42" s="2151"/>
      <c r="M42" s="2152"/>
      <c r="N42" s="2153" t="s">
        <v>2305</v>
      </c>
      <c r="O42" s="2153" t="s">
        <v>2306</v>
      </c>
      <c r="P42" s="2154" t="s">
        <v>2307</v>
      </c>
      <c r="Q42" s="2154" t="s">
        <v>2308</v>
      </c>
      <c r="R42" s="2080" t="s">
        <v>2238</v>
      </c>
      <c r="S42" s="2109"/>
      <c r="T42" s="2109"/>
      <c r="U42" s="2065"/>
      <c r="V42" s="2072"/>
    </row>
    <row r="43" spans="1:23" ht="13.2" customHeight="1">
      <c r="A43" s="2076"/>
      <c r="B43" s="2076"/>
      <c r="C43" s="2076"/>
      <c r="D43" s="2076"/>
      <c r="E43" s="2076"/>
      <c r="F43" s="2076"/>
      <c r="G43" s="2071"/>
      <c r="H43" s="2071"/>
      <c r="I43" s="2060"/>
      <c r="J43" s="4540"/>
      <c r="K43" s="2157"/>
      <c r="L43" s="2158"/>
      <c r="M43" s="2159"/>
      <c r="N43" s="3476"/>
      <c r="O43" s="3476"/>
      <c r="P43" s="3476"/>
      <c r="Q43" s="3476"/>
      <c r="R43" s="3684">
        <f>ROUND(O43*N43*P43*(1-Q43)/10000,0)</f>
        <v>0</v>
      </c>
      <c r="S43" s="2065"/>
      <c r="T43" s="2065"/>
      <c r="V43" s="2178"/>
      <c r="W43" s="2179"/>
    </row>
    <row r="44" spans="1:23" ht="13.2"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2" customHeight="1" thickBot="1">
      <c r="A45" s="2076"/>
      <c r="B45" s="2076"/>
      <c r="C45" s="2076"/>
      <c r="D45" s="2076"/>
      <c r="E45" s="2076"/>
      <c r="F45" s="2076"/>
      <c r="G45" s="2071"/>
      <c r="H45" s="2071"/>
    </row>
    <row r="46" spans="1:23" ht="14.4">
      <c r="A46" s="2076"/>
      <c r="B46" s="2076"/>
      <c r="C46" s="3589" t="s">
        <v>3728</v>
      </c>
      <c r="D46" s="3590" t="s">
        <v>3799</v>
      </c>
      <c r="E46" s="3962">
        <f>ROUND(D6*G46,0)</f>
        <v>0</v>
      </c>
      <c r="F46" s="3601" t="s">
        <v>3788</v>
      </c>
      <c r="G46" s="3963">
        <v>0.05</v>
      </c>
      <c r="H46" s="2076"/>
      <c r="I46" s="2179"/>
    </row>
    <row r="47" spans="1:23" ht="13.2" customHeight="1">
      <c r="A47" s="2076"/>
      <c r="B47" s="2076"/>
      <c r="C47" s="3591" t="s">
        <v>3729</v>
      </c>
      <c r="D47" s="3592" t="s">
        <v>3730</v>
      </c>
      <c r="E47" s="4070" t="s">
        <v>3967</v>
      </c>
      <c r="F47" s="3602" t="s">
        <v>3731</v>
      </c>
      <c r="G47" s="3603" t="s">
        <v>3732</v>
      </c>
      <c r="H47" s="2066"/>
      <c r="I47" s="2179"/>
    </row>
    <row r="48" spans="1:23" ht="13.2" customHeight="1">
      <c r="C48" s="3593">
        <v>1</v>
      </c>
      <c r="D48" s="3592" t="s">
        <v>3733</v>
      </c>
      <c r="E48" s="3613">
        <f>E49-E54</f>
        <v>0</v>
      </c>
      <c r="F48" s="3592"/>
      <c r="G48" s="3603"/>
      <c r="H48" s="2066"/>
      <c r="I48" s="2179"/>
    </row>
    <row r="49" spans="1:9" ht="13.2" customHeight="1">
      <c r="C49" s="3593">
        <v>2</v>
      </c>
      <c r="D49" s="3592" t="s">
        <v>3734</v>
      </c>
      <c r="E49" s="3613">
        <f>SUM(E50:E53)</f>
        <v>0</v>
      </c>
      <c r="F49" s="3592"/>
      <c r="G49" s="3957"/>
      <c r="H49" s="2066"/>
      <c r="I49" s="2179"/>
    </row>
    <row r="50" spans="1:9" ht="13.2" customHeight="1">
      <c r="C50" s="3594" t="s">
        <v>3750</v>
      </c>
      <c r="D50" s="3595" t="s">
        <v>3735</v>
      </c>
      <c r="E50" s="3614">
        <f>R14*G50/(1+G50)</f>
        <v>0</v>
      </c>
      <c r="F50" s="3604" t="s">
        <v>3751</v>
      </c>
      <c r="G50" s="3958">
        <v>0.06</v>
      </c>
      <c r="H50" s="2066"/>
      <c r="I50" s="2179"/>
    </row>
    <row r="51" spans="1:9" ht="13.2" customHeight="1">
      <c r="C51" s="3594" t="s">
        <v>3752</v>
      </c>
      <c r="D51" s="3595" t="s">
        <v>3736</v>
      </c>
      <c r="E51" s="3614">
        <f>R19*G51/(1+G51)</f>
        <v>0</v>
      </c>
      <c r="F51" s="3604" t="s">
        <v>3753</v>
      </c>
      <c r="G51" s="3958">
        <v>0.06</v>
      </c>
      <c r="H51" s="2066"/>
      <c r="I51" s="2179"/>
    </row>
    <row r="52" spans="1:9" ht="13.2" customHeight="1">
      <c r="C52" s="3594" t="s">
        <v>3754</v>
      </c>
      <c r="D52" s="3595" t="s">
        <v>3737</v>
      </c>
      <c r="E52" s="3614">
        <f>R24*G52/(1+R24)</f>
        <v>0</v>
      </c>
      <c r="F52" s="3604" t="s">
        <v>3738</v>
      </c>
      <c r="G52" s="3958">
        <v>0.09</v>
      </c>
      <c r="H52" s="2066"/>
      <c r="I52" s="2179"/>
    </row>
    <row r="53" spans="1:9" ht="13.2" customHeight="1">
      <c r="C53" s="3594" t="s">
        <v>3755</v>
      </c>
      <c r="D53" s="3595" t="s">
        <v>3739</v>
      </c>
      <c r="E53" s="3614">
        <f>R27*G53/(1+G53)</f>
        <v>0</v>
      </c>
      <c r="F53" s="3604" t="s">
        <v>3738</v>
      </c>
      <c r="G53" s="3958">
        <v>0.09</v>
      </c>
      <c r="H53" s="2066"/>
      <c r="I53" s="2179"/>
    </row>
    <row r="54" spans="1:9" ht="13.2" customHeight="1">
      <c r="A54" s="2066" t="s">
        <v>3783</v>
      </c>
      <c r="B54" s="2179"/>
      <c r="C54" s="3593">
        <v>3</v>
      </c>
      <c r="D54" s="3592" t="s">
        <v>3740</v>
      </c>
      <c r="E54" s="3613">
        <f>E55+E56+E60</f>
        <v>0</v>
      </c>
      <c r="F54" s="3592"/>
      <c r="G54" s="3957"/>
      <c r="H54" s="2066"/>
      <c r="I54" s="2179"/>
    </row>
    <row r="55" spans="1:9" ht="13.2" customHeight="1">
      <c r="A55" s="3585">
        <v>0.05</v>
      </c>
      <c r="B55" s="3586" t="s">
        <v>3787</v>
      </c>
      <c r="C55" s="3594" t="s">
        <v>3750</v>
      </c>
      <c r="D55" s="3595" t="s">
        <v>3741</v>
      </c>
      <c r="E55" s="3614">
        <f>D9*G55/(1+G55)</f>
        <v>0</v>
      </c>
      <c r="F55" s="3606" t="s">
        <v>3789</v>
      </c>
      <c r="G55" s="3958">
        <v>0.13</v>
      </c>
      <c r="H55" s="2066"/>
      <c r="I55" s="2179"/>
    </row>
    <row r="56" spans="1:9" ht="13.2" customHeight="1">
      <c r="A56" s="3585">
        <f>SUM(A57:A59)</f>
        <v>0.39</v>
      </c>
      <c r="B56" s="3586"/>
      <c r="C56" s="3594" t="s">
        <v>3752</v>
      </c>
      <c r="D56" s="3595" t="s">
        <v>3742</v>
      </c>
      <c r="E56" s="3614">
        <f>SUM(E57:E59)</f>
        <v>0</v>
      </c>
      <c r="F56" s="3604"/>
      <c r="G56" s="3607"/>
      <c r="H56" s="2066" t="s">
        <v>3796</v>
      </c>
      <c r="I56" s="2066" t="s">
        <v>3797</v>
      </c>
    </row>
    <row r="57" spans="1:9" ht="13.2" customHeight="1">
      <c r="A57" s="3585">
        <v>0.25</v>
      </c>
      <c r="B57" s="3586" t="s">
        <v>3784</v>
      </c>
      <c r="C57" s="3596" t="s">
        <v>3743</v>
      </c>
      <c r="D57" s="3597" t="s">
        <v>3744</v>
      </c>
      <c r="E57" s="3615">
        <v>0</v>
      </c>
      <c r="F57" s="3608"/>
      <c r="G57" s="3609" t="s">
        <v>3745</v>
      </c>
      <c r="H57" s="3581">
        <v>0.65</v>
      </c>
      <c r="I57" s="3587">
        <f>A57/SUM(A57:A59)</f>
        <v>0.64102564102564097</v>
      </c>
    </row>
    <row r="58" spans="1:9" ht="13.2"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2"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2" customHeight="1">
      <c r="A60" s="3585">
        <f>SUM(A61:A62)</f>
        <v>0.1</v>
      </c>
      <c r="B60" s="3586"/>
      <c r="C60" s="3594" t="s">
        <v>3754</v>
      </c>
      <c r="D60" s="3595" t="s">
        <v>3759</v>
      </c>
      <c r="E60" s="3614">
        <f>SUM(E61:E62)</f>
        <v>0</v>
      </c>
      <c r="F60" s="3604"/>
      <c r="G60" s="3960"/>
      <c r="I60" s="2179"/>
    </row>
    <row r="61" spans="1:9" ht="13.2" customHeight="1">
      <c r="A61" s="3585">
        <v>0.05</v>
      </c>
      <c r="B61" s="3586" t="s">
        <v>3787</v>
      </c>
      <c r="C61" s="3596" t="s">
        <v>3760</v>
      </c>
      <c r="D61" s="3597" t="s">
        <v>3761</v>
      </c>
      <c r="E61" s="3615">
        <f>D17*H61*G61/(1+G61)</f>
        <v>0</v>
      </c>
      <c r="F61" s="3608" t="s">
        <v>3758</v>
      </c>
      <c r="G61" s="3959">
        <v>0.06</v>
      </c>
      <c r="H61" s="3581">
        <v>0.5</v>
      </c>
      <c r="I61" s="2179"/>
    </row>
    <row r="62" spans="1:9" ht="13.2" customHeight="1" thickBot="1">
      <c r="A62" s="3585">
        <v>0.05</v>
      </c>
      <c r="B62" s="3586" t="s">
        <v>3788</v>
      </c>
      <c r="C62" s="3599" t="s">
        <v>3746</v>
      </c>
      <c r="D62" s="3600" t="s">
        <v>3762</v>
      </c>
      <c r="E62" s="3616">
        <f>D17*H62*G62/(1+G62)</f>
        <v>0</v>
      </c>
      <c r="F62" s="3611" t="s">
        <v>3763</v>
      </c>
      <c r="G62" s="3961">
        <v>0.09</v>
      </c>
      <c r="H62" s="3581">
        <v>0.5</v>
      </c>
      <c r="I62" s="2179"/>
    </row>
    <row r="63" spans="1:9" ht="13.2" customHeight="1">
      <c r="A63" s="3585">
        <f>A55+A56+A60</f>
        <v>0.54</v>
      </c>
      <c r="B63" s="3586"/>
      <c r="C63" s="2179"/>
      <c r="D63" s="3586"/>
      <c r="E63" s="3586"/>
      <c r="F63" s="2179"/>
      <c r="G63" s="2179"/>
      <c r="H63" s="2066"/>
      <c r="I63" s="2066"/>
    </row>
    <row r="64" spans="1:9" ht="13.2" customHeight="1" thickBot="1">
      <c r="C64" s="2179"/>
      <c r="D64" s="2179"/>
      <c r="E64" s="2179"/>
      <c r="F64" s="2179"/>
      <c r="G64" s="2179"/>
      <c r="H64" s="2066"/>
      <c r="I64" s="2179"/>
    </row>
    <row r="65" spans="1:9" ht="14.4">
      <c r="C65" s="3589" t="s">
        <v>3764</v>
      </c>
      <c r="D65" s="3590" t="s">
        <v>3799</v>
      </c>
      <c r="E65" s="3962">
        <f>ROUND(D6*G65,0)</f>
        <v>0</v>
      </c>
      <c r="F65" s="3601" t="s">
        <v>3800</v>
      </c>
      <c r="G65" s="3963">
        <v>0.03</v>
      </c>
      <c r="H65" s="2066"/>
      <c r="I65" s="2179"/>
    </row>
    <row r="66" spans="1:9">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2" customHeight="1">
      <c r="C68" s="3618">
        <v>2</v>
      </c>
      <c r="D68" s="3592" t="s">
        <v>3770</v>
      </c>
      <c r="E68" s="3617">
        <f>SUM(E69:E70)</f>
        <v>0</v>
      </c>
      <c r="F68" s="3592"/>
      <c r="G68" s="3603"/>
      <c r="H68" s="2066"/>
      <c r="I68" s="2179"/>
    </row>
    <row r="69" spans="1:9" ht="13.2" customHeight="1">
      <c r="C69" s="3594" t="s">
        <v>3771</v>
      </c>
      <c r="D69" s="3595" t="s">
        <v>3772</v>
      </c>
      <c r="E69" s="3595"/>
      <c r="F69" s="3604" t="s">
        <v>3773</v>
      </c>
      <c r="G69" s="3605">
        <v>0.09</v>
      </c>
      <c r="H69" s="2066"/>
      <c r="I69" s="2179"/>
    </row>
    <row r="70" spans="1:9" ht="13.2" customHeight="1">
      <c r="C70" s="3594" t="s">
        <v>3752</v>
      </c>
      <c r="D70" s="3595" t="s">
        <v>3774</v>
      </c>
      <c r="E70" s="3595"/>
      <c r="F70" s="3604" t="s">
        <v>3775</v>
      </c>
      <c r="G70" s="3605">
        <v>0.06</v>
      </c>
      <c r="H70" s="2066"/>
      <c r="I70" s="2179"/>
    </row>
    <row r="71" spans="1:9" ht="13.2" customHeight="1">
      <c r="A71" s="2066" t="s">
        <v>3790</v>
      </c>
      <c r="C71" s="3618">
        <v>3</v>
      </c>
      <c r="D71" s="3592" t="s">
        <v>3776</v>
      </c>
      <c r="E71" s="3617">
        <f>E72+E77</f>
        <v>0</v>
      </c>
      <c r="F71" s="3592"/>
      <c r="G71" s="3603"/>
      <c r="H71" s="2066"/>
      <c r="I71" s="2179"/>
    </row>
    <row r="72" spans="1:9" ht="13.2" customHeight="1">
      <c r="A72" s="3585">
        <v>0.05</v>
      </c>
      <c r="B72" s="3588"/>
      <c r="C72" s="3594" t="s">
        <v>3771</v>
      </c>
      <c r="D72" s="3595" t="s">
        <v>3777</v>
      </c>
      <c r="E72" s="3595">
        <f>D9*G72/(1+G72)</f>
        <v>0</v>
      </c>
      <c r="F72" s="3606" t="s">
        <v>3789</v>
      </c>
      <c r="G72" s="3605">
        <v>0.13</v>
      </c>
      <c r="H72" s="2066"/>
      <c r="I72" s="2179"/>
    </row>
    <row r="73" spans="1:9" ht="13.2" customHeight="1">
      <c r="A73" s="3585">
        <f>SUM(A74:A76)</f>
        <v>0.2</v>
      </c>
      <c r="B73" s="3588"/>
      <c r="C73" s="3594" t="s">
        <v>3752</v>
      </c>
      <c r="D73" s="3595" t="s">
        <v>3778</v>
      </c>
      <c r="E73" s="3595">
        <f>SUM(E74:E76)</f>
        <v>0</v>
      </c>
      <c r="F73" s="3604"/>
      <c r="G73" s="3607"/>
      <c r="H73" s="2066" t="s">
        <v>3796</v>
      </c>
      <c r="I73" s="2066" t="s">
        <v>3797</v>
      </c>
    </row>
    <row r="74" spans="1:9" ht="13.2" customHeight="1">
      <c r="A74" s="3585">
        <v>0.05</v>
      </c>
      <c r="B74" s="3588" t="s">
        <v>3794</v>
      </c>
      <c r="C74" s="3619" t="s">
        <v>3779</v>
      </c>
      <c r="D74" s="3597" t="s">
        <v>3780</v>
      </c>
      <c r="E74" s="3597">
        <v>0</v>
      </c>
      <c r="F74" s="3608"/>
      <c r="G74" s="3609" t="s">
        <v>3781</v>
      </c>
      <c r="H74" s="3581">
        <v>0.25</v>
      </c>
      <c r="I74" s="3587">
        <f>A74/SUM(A74:A76)</f>
        <v>0.25</v>
      </c>
    </row>
    <row r="75" spans="1:9" ht="13.2" customHeight="1">
      <c r="A75" s="3585">
        <v>0.1</v>
      </c>
      <c r="B75" s="3588" t="s">
        <v>3792</v>
      </c>
      <c r="C75" s="3619" t="s">
        <v>3748</v>
      </c>
      <c r="D75" s="3598" t="s">
        <v>3791</v>
      </c>
      <c r="E75" s="3597">
        <f>D10*H75*G75/(1+G75)</f>
        <v>0</v>
      </c>
      <c r="F75" s="3608" t="s">
        <v>3782</v>
      </c>
      <c r="G75" s="3610">
        <v>0.09</v>
      </c>
      <c r="H75" s="3581">
        <v>0.5</v>
      </c>
      <c r="I75" s="3587">
        <f>A75/SUM(A74:A76)</f>
        <v>0.5</v>
      </c>
    </row>
    <row r="76" spans="1:9" ht="13.2" customHeight="1">
      <c r="A76" s="3585">
        <v>0.05</v>
      </c>
      <c r="B76" s="3588" t="s">
        <v>3795</v>
      </c>
      <c r="C76" s="3619" t="s">
        <v>3749</v>
      </c>
      <c r="D76" s="3597" t="s">
        <v>3757</v>
      </c>
      <c r="E76" s="3597">
        <f>D10*H76*G76/(1+G76)</f>
        <v>0</v>
      </c>
      <c r="F76" s="3608" t="s">
        <v>3758</v>
      </c>
      <c r="G76" s="3610">
        <v>0.06</v>
      </c>
      <c r="H76" s="3581">
        <v>0.25</v>
      </c>
      <c r="I76" s="3587">
        <f>1-I74-I75</f>
        <v>0.25</v>
      </c>
    </row>
    <row r="77" spans="1:9" ht="13.2" customHeight="1">
      <c r="A77" s="3585">
        <f>SUM(A78:A79)</f>
        <v>0.1</v>
      </c>
      <c r="B77" s="3588"/>
      <c r="C77" s="3594" t="s">
        <v>3754</v>
      </c>
      <c r="D77" s="3595" t="s">
        <v>3759</v>
      </c>
      <c r="E77" s="3595">
        <f>SUM(E78:E79)</f>
        <v>0</v>
      </c>
      <c r="F77" s="3604"/>
      <c r="G77" s="3607"/>
      <c r="I77" s="2179"/>
    </row>
    <row r="78" spans="1:9" ht="13.2" customHeight="1">
      <c r="A78" s="3585">
        <v>0.05</v>
      </c>
      <c r="B78" s="3588" t="s">
        <v>3785</v>
      </c>
      <c r="C78" s="3619" t="s">
        <v>3779</v>
      </c>
      <c r="D78" s="3597" t="s">
        <v>3761</v>
      </c>
      <c r="E78" s="3597">
        <f>D17*H78*G78/(1+G78)</f>
        <v>0</v>
      </c>
      <c r="F78" s="3608" t="s">
        <v>3758</v>
      </c>
      <c r="G78" s="3610">
        <v>0.06</v>
      </c>
      <c r="H78" s="3581">
        <v>0.5</v>
      </c>
      <c r="I78" s="2179"/>
    </row>
    <row r="79" spans="1:9" ht="13.2" customHeight="1" thickBot="1">
      <c r="A79" s="3585">
        <v>0.05</v>
      </c>
      <c r="B79" s="3588" t="s">
        <v>3793</v>
      </c>
      <c r="C79" s="3620" t="s">
        <v>3748</v>
      </c>
      <c r="D79" s="3600" t="s">
        <v>3762</v>
      </c>
      <c r="E79" s="3600">
        <f>D17*H79*G79/(1+G79)</f>
        <v>0</v>
      </c>
      <c r="F79" s="3611" t="s">
        <v>3763</v>
      </c>
      <c r="G79" s="3612">
        <v>0.09</v>
      </c>
      <c r="H79" s="3581">
        <v>0.5</v>
      </c>
      <c r="I79" s="2179"/>
    </row>
    <row r="80" spans="1:9" ht="13.2" customHeight="1">
      <c r="A80" s="3585">
        <f>A72+A73+A77</f>
        <v>0.35</v>
      </c>
      <c r="B80" s="3588"/>
      <c r="G80" s="2066"/>
      <c r="H80" s="2066"/>
      <c r="I80" s="2179"/>
    </row>
    <row r="81" spans="7:9" ht="13.2"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G65" sqref="G6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7"/>
      <c r="G1" s="1033"/>
      <c r="H1" s="1033"/>
      <c r="I1" s="1033"/>
      <c r="J1" s="1033"/>
      <c r="K1" s="1033"/>
      <c r="L1" s="1033"/>
      <c r="M1" s="1033"/>
      <c r="N1" s="1033"/>
      <c r="O1" s="1033"/>
      <c r="P1" s="1033"/>
      <c r="Q1" s="1033"/>
      <c r="R1" s="1033"/>
      <c r="S1" s="1033"/>
    </row>
    <row r="2" spans="1:22" ht="15.6">
      <c r="A2" s="1347" t="s">
        <v>1431</v>
      </c>
      <c r="B2" s="552">
        <f ca="1">SUMIF(B6:B13,"&lt;&gt;#ref!",B6:B13)</f>
        <v>146.32759999999999</v>
      </c>
      <c r="C2" s="1348" t="s">
        <v>1561</v>
      </c>
      <c r="D2" s="1349" t="s">
        <v>1562</v>
      </c>
      <c r="E2" s="2879">
        <f>SUM(E6:E13)</f>
        <v>110.59</v>
      </c>
      <c r="F2" s="1967"/>
      <c r="G2" s="1033"/>
      <c r="H2" s="1033"/>
      <c r="I2" s="1033"/>
      <c r="J2" s="1033"/>
      <c r="K2" s="1033"/>
      <c r="L2" s="1033"/>
      <c r="M2" s="1033"/>
      <c r="N2" s="1033"/>
      <c r="O2" s="1033"/>
      <c r="P2" s="1033"/>
      <c r="Q2" s="1033"/>
      <c r="R2" s="1033"/>
      <c r="S2" s="1033"/>
    </row>
    <row r="3" spans="1:22" ht="15.6">
      <c r="A3" s="1347" t="s">
        <v>672</v>
      </c>
      <c r="B3" s="2878">
        <f ca="1">ROUND(B2*10000/E2,0)</f>
        <v>13232</v>
      </c>
      <c r="C3" s="1348" t="s">
        <v>1569</v>
      </c>
      <c r="D3" s="1967"/>
      <c r="E3" s="1970"/>
      <c r="F3" s="1967"/>
      <c r="G3" s="1033"/>
      <c r="H3" s="1033"/>
      <c r="I3" s="1033"/>
      <c r="J3" s="1033"/>
      <c r="K3" s="1033"/>
      <c r="L3" s="1033"/>
      <c r="M3" s="1033"/>
      <c r="N3" s="1033"/>
      <c r="O3" s="1033"/>
      <c r="P3" s="1033"/>
      <c r="Q3" s="1033"/>
      <c r="R3" s="1033"/>
      <c r="S3" s="1033"/>
    </row>
    <row r="4" spans="1:22" ht="15.6">
      <c r="A4" s="1971"/>
      <c r="B4" s="1967"/>
      <c r="C4" s="1967"/>
      <c r="D4" s="1967"/>
      <c r="E4" s="1970"/>
      <c r="F4" s="1967"/>
      <c r="G4" s="1033"/>
      <c r="H4" s="1033"/>
      <c r="I4" s="1033"/>
      <c r="J4" s="1033"/>
      <c r="K4" s="1033"/>
      <c r="L4" s="1033"/>
      <c r="M4" s="1033"/>
      <c r="N4" s="1033"/>
      <c r="O4" s="1033"/>
      <c r="P4" s="1033"/>
      <c r="Q4" s="1033"/>
      <c r="R4" s="1033"/>
      <c r="S4" s="1033"/>
    </row>
    <row r="5" spans="1:22" ht="14.4">
      <c r="A5" s="1882" t="s">
        <v>1563</v>
      </c>
      <c r="B5" s="4541" t="s">
        <v>1564</v>
      </c>
      <c r="C5" s="4542"/>
      <c r="D5" s="1968"/>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2">
        <f ca="1">IF(F6="是",'数据-取费表'!AO6,0)</f>
        <v>146.32759999999999</v>
      </c>
      <c r="C6" s="1348" t="s">
        <v>1561</v>
      </c>
      <c r="D6" s="1967"/>
      <c r="E6" s="2880">
        <f>IF(OR(A6=0,F6="否"),0,'数据-取费表'!K6+'数据-取费表'!S6)</f>
        <v>110.59</v>
      </c>
      <c r="F6" s="1351" t="s">
        <v>1567</v>
      </c>
      <c r="G6" s="1033"/>
      <c r="H6" s="1033"/>
      <c r="I6" s="1033"/>
      <c r="J6" s="1033"/>
      <c r="K6" s="1033"/>
      <c r="L6" s="1033"/>
      <c r="M6" s="1033"/>
      <c r="N6" s="1033"/>
      <c r="O6" s="1033"/>
      <c r="P6" s="1033"/>
      <c r="Q6" s="1033"/>
      <c r="R6" s="1033"/>
      <c r="S6" s="1033"/>
    </row>
    <row r="7" spans="1:22" ht="14.4">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6" t="s">
        <v>1994</v>
      </c>
      <c r="D1" s="4547"/>
      <c r="E1" s="4547"/>
      <c r="F1" s="4547"/>
      <c r="G1" s="4547"/>
      <c r="H1" s="4547"/>
      <c r="I1" s="4547"/>
      <c r="J1" s="4547"/>
      <c r="K1" s="4547"/>
      <c r="L1" s="4547"/>
      <c r="M1" s="4547"/>
      <c r="N1" s="4547"/>
      <c r="O1" s="4547"/>
      <c r="P1" s="4547"/>
      <c r="Q1" s="4547"/>
      <c r="R1" s="4547"/>
      <c r="S1" s="4548"/>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8"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2"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6">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3" t="s">
        <v>25</v>
      </c>
      <c r="D22" s="4544"/>
      <c r="E22" s="4544"/>
      <c r="F22" s="4544"/>
      <c r="G22" s="4544"/>
      <c r="H22" s="4544"/>
      <c r="I22" s="4544"/>
      <c r="J22" s="4544"/>
      <c r="K22" s="4544"/>
      <c r="L22" s="4544"/>
      <c r="M22" s="4544"/>
      <c r="N22" s="4544"/>
      <c r="O22" s="4544"/>
      <c r="P22" s="4544"/>
      <c r="Q22" s="4545"/>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110.59</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4.4">
      <c r="A4" s="235" t="s">
        <v>1576</v>
      </c>
      <c r="B4" s="236"/>
      <c r="C4" s="4560" t="s">
        <v>1577</v>
      </c>
      <c r="D4" s="4561"/>
      <c r="E4" s="4562" t="s">
        <v>1578</v>
      </c>
      <c r="F4" s="4563"/>
      <c r="G4" s="4560" t="s">
        <v>1579</v>
      </c>
      <c r="H4" s="4561"/>
      <c r="I4" s="4560" t="s">
        <v>1580</v>
      </c>
      <c r="J4" s="4561"/>
      <c r="K4" s="2810" t="s">
        <v>1581</v>
      </c>
      <c r="L4" s="1974"/>
      <c r="M4" s="1975"/>
      <c r="N4" s="1975"/>
      <c r="O4" s="1975"/>
      <c r="P4" s="4564" t="s">
        <v>1582</v>
      </c>
      <c r="Q4" s="4565"/>
      <c r="R4" s="4550" t="s">
        <v>1578</v>
      </c>
      <c r="S4" s="4551"/>
      <c r="T4" s="4550" t="s">
        <v>1579</v>
      </c>
      <c r="U4" s="4551"/>
      <c r="V4" s="4492" t="s">
        <v>1580</v>
      </c>
      <c r="W4" s="4492"/>
      <c r="X4" s="910"/>
      <c r="Y4" s="4569" t="s">
        <v>1582</v>
      </c>
      <c r="Z4" s="4570"/>
      <c r="AA4" s="4549" t="s">
        <v>1578</v>
      </c>
      <c r="AB4" s="4549" t="s">
        <v>1579</v>
      </c>
      <c r="AC4" s="4549" t="s">
        <v>1580</v>
      </c>
    </row>
    <row r="5" spans="1:29">
      <c r="A5" s="238"/>
      <c r="B5" s="239"/>
      <c r="C5" s="4554" t="s">
        <v>1583</v>
      </c>
      <c r="D5" s="4555"/>
      <c r="E5" s="4552" t="s">
        <v>1584</v>
      </c>
      <c r="F5" s="4553"/>
      <c r="G5" s="4554" t="s">
        <v>1585</v>
      </c>
      <c r="H5" s="4555"/>
      <c r="I5" s="4554" t="s">
        <v>1586</v>
      </c>
      <c r="J5" s="4555"/>
      <c r="K5" s="2811"/>
      <c r="L5" s="1974"/>
      <c r="M5" s="1975"/>
      <c r="N5" s="1975"/>
      <c r="O5" s="1975"/>
      <c r="P5" s="4566"/>
      <c r="Q5" s="4486"/>
      <c r="R5" s="4466"/>
      <c r="S5" s="4467"/>
      <c r="T5" s="4466"/>
      <c r="U5" s="4467"/>
      <c r="V5" s="4492"/>
      <c r="W5" s="4492"/>
      <c r="X5" s="910"/>
      <c r="Y5" s="4497"/>
      <c r="Z5" s="4498"/>
      <c r="AA5" s="4460"/>
      <c r="AB5" s="4460"/>
      <c r="AC5" s="4460"/>
    </row>
    <row r="6" spans="1:29" ht="15" thickBot="1">
      <c r="A6" s="240"/>
      <c r="B6" s="241"/>
      <c r="C6" s="4556" t="s">
        <v>1587</v>
      </c>
      <c r="D6" s="4557"/>
      <c r="E6" s="4558" t="s">
        <v>1587</v>
      </c>
      <c r="F6" s="4559"/>
      <c r="G6" s="4556" t="s">
        <v>1587</v>
      </c>
      <c r="H6" s="4557"/>
      <c r="I6" s="4556" t="s">
        <v>1587</v>
      </c>
      <c r="J6" s="4557"/>
      <c r="K6" s="2811" t="s">
        <v>1588</v>
      </c>
      <c r="L6" s="1974"/>
      <c r="M6" s="1975"/>
      <c r="N6" s="1975"/>
      <c r="O6" s="1975"/>
      <c r="P6" s="4567"/>
      <c r="Q6" s="4488"/>
      <c r="R6" s="4466"/>
      <c r="S6" s="4467"/>
      <c r="T6" s="4489"/>
      <c r="U6" s="4490"/>
      <c r="V6" s="4492"/>
      <c r="W6" s="4492"/>
      <c r="X6" s="910"/>
      <c r="Y6" s="4499"/>
      <c r="Z6" s="4500"/>
      <c r="AA6" s="4461"/>
      <c r="AB6" s="4461"/>
      <c r="AC6" s="4461"/>
    </row>
    <row r="7" spans="1:29" s="46" customFormat="1" ht="1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68" t="s">
        <v>1590</v>
      </c>
      <c r="Q7" s="4501"/>
      <c r="R7" s="3637" t="s">
        <v>18</v>
      </c>
      <c r="S7" s="3157">
        <f t="shared" ref="S7:S15" si="0">F7</f>
        <v>0</v>
      </c>
      <c r="T7" s="3637" t="s">
        <v>18</v>
      </c>
      <c r="U7" s="3157">
        <f t="shared" ref="U7:U15" si="1">H7</f>
        <v>0</v>
      </c>
      <c r="V7" s="3637" t="s">
        <v>18</v>
      </c>
      <c r="W7" s="3157">
        <f t="shared" ref="W7:W15" si="2">J7</f>
        <v>0</v>
      </c>
      <c r="X7" s="482"/>
      <c r="Y7" s="4462" t="s">
        <v>1590</v>
      </c>
      <c r="Z7" s="4463"/>
      <c r="AA7" s="28" t="e">
        <f>D7/F7</f>
        <v>#DIV/0!</v>
      </c>
      <c r="AB7" s="28" t="e">
        <f>D7/H7</f>
        <v>#DIV/0!</v>
      </c>
      <c r="AC7" s="28" t="e">
        <f>D7/J7</f>
        <v>#DIV/0!</v>
      </c>
    </row>
    <row r="8" spans="1:29" s="46" customFormat="1" ht="1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68" t="s">
        <v>1593</v>
      </c>
      <c r="Q8" s="4494"/>
      <c r="R8" s="3637" t="s">
        <v>18</v>
      </c>
      <c r="S8" s="3157">
        <f t="shared" si="0"/>
        <v>100</v>
      </c>
      <c r="T8" s="3637" t="s">
        <v>18</v>
      </c>
      <c r="U8" s="3157">
        <f t="shared" si="1"/>
        <v>100</v>
      </c>
      <c r="V8" s="3637" t="s">
        <v>18</v>
      </c>
      <c r="W8" s="3157">
        <f t="shared" si="2"/>
        <v>100</v>
      </c>
      <c r="X8" s="482"/>
      <c r="Y8" s="4462" t="s">
        <v>1593</v>
      </c>
      <c r="Z8" s="4463"/>
      <c r="AA8" s="28">
        <f t="shared" ref="AA8:AA19" si="3">D8/F8</f>
        <v>1</v>
      </c>
      <c r="AB8" s="28">
        <f t="shared" ref="AB8:AB19" si="4">D8/H8</f>
        <v>1</v>
      </c>
      <c r="AC8" s="28">
        <f t="shared" ref="AC8:AC19" si="5">D8/J8</f>
        <v>1</v>
      </c>
    </row>
    <row r="9" spans="1:29" s="46" customFormat="1" ht="14.4">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74" t="s">
        <v>1596</v>
      </c>
      <c r="Q9" s="1698" t="str">
        <f t="shared" ref="Q9:Q15" si="6">B9</f>
        <v>用途</v>
      </c>
      <c r="R9" s="3637" t="s">
        <v>13</v>
      </c>
      <c r="S9" s="3157">
        <f t="shared" si="0"/>
        <v>100</v>
      </c>
      <c r="T9" s="3637" t="s">
        <v>13</v>
      </c>
      <c r="U9" s="3157">
        <f t="shared" si="1"/>
        <v>100</v>
      </c>
      <c r="V9" s="3637" t="s">
        <v>13</v>
      </c>
      <c r="W9" s="3157">
        <f t="shared" si="2"/>
        <v>100</v>
      </c>
      <c r="X9" s="482"/>
      <c r="Y9" s="4475" t="s">
        <v>1597</v>
      </c>
      <c r="Z9" s="28" t="str">
        <f t="shared" ref="Z9:Z15" si="7">Q9</f>
        <v>用途</v>
      </c>
      <c r="AA9" s="28">
        <f t="shared" si="3"/>
        <v>1</v>
      </c>
      <c r="AB9" s="28">
        <f t="shared" si="4"/>
        <v>1</v>
      </c>
      <c r="AC9" s="28">
        <f t="shared" si="5"/>
        <v>1</v>
      </c>
    </row>
    <row r="10" spans="1:29" s="253" customFormat="1" ht="28.8">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74"/>
      <c r="Q10" s="1698" t="str">
        <f t="shared" si="6"/>
        <v>土地使用年限（年）</v>
      </c>
      <c r="R10" s="3637" t="s">
        <v>13</v>
      </c>
      <c r="S10" s="3157">
        <f t="shared" si="0"/>
        <v>100</v>
      </c>
      <c r="T10" s="3637" t="s">
        <v>13</v>
      </c>
      <c r="U10" s="3157">
        <f t="shared" si="1"/>
        <v>100</v>
      </c>
      <c r="V10" s="3637" t="s">
        <v>13</v>
      </c>
      <c r="W10" s="3157">
        <f t="shared" si="2"/>
        <v>100</v>
      </c>
      <c r="X10" s="482"/>
      <c r="Y10" s="4475"/>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74"/>
      <c r="Q11" s="1698" t="str">
        <f t="shared" si="6"/>
        <v>容积率</v>
      </c>
      <c r="R11" s="3637" t="s">
        <v>16</v>
      </c>
      <c r="S11" s="3157">
        <f t="shared" si="0"/>
        <v>100</v>
      </c>
      <c r="T11" s="3637" t="s">
        <v>16</v>
      </c>
      <c r="U11" s="3157">
        <f t="shared" si="1"/>
        <v>100</v>
      </c>
      <c r="V11" s="3637" t="s">
        <v>16</v>
      </c>
      <c r="W11" s="3157">
        <f t="shared" si="2"/>
        <v>100</v>
      </c>
      <c r="X11" s="482"/>
      <c r="Y11" s="4475"/>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74"/>
      <c r="Q12" s="1698">
        <f t="shared" si="6"/>
        <v>111</v>
      </c>
      <c r="R12" s="3637" t="s">
        <v>16</v>
      </c>
      <c r="S12" s="3157">
        <f t="shared" si="0"/>
        <v>100</v>
      </c>
      <c r="T12" s="3637" t="s">
        <v>16</v>
      </c>
      <c r="U12" s="3157">
        <f t="shared" si="1"/>
        <v>100</v>
      </c>
      <c r="V12" s="3637" t="s">
        <v>16</v>
      </c>
      <c r="W12" s="3157">
        <f t="shared" si="2"/>
        <v>100</v>
      </c>
      <c r="X12" s="482"/>
      <c r="Y12" s="4475"/>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74"/>
      <c r="Q13" s="1698">
        <f t="shared" si="6"/>
        <v>111</v>
      </c>
      <c r="R13" s="3637" t="s">
        <v>16</v>
      </c>
      <c r="S13" s="3157">
        <f t="shared" si="0"/>
        <v>100</v>
      </c>
      <c r="T13" s="3637" t="s">
        <v>16</v>
      </c>
      <c r="U13" s="3157">
        <f t="shared" si="1"/>
        <v>100</v>
      </c>
      <c r="V13" s="3637" t="s">
        <v>16</v>
      </c>
      <c r="W13" s="3157">
        <f t="shared" si="2"/>
        <v>100</v>
      </c>
      <c r="X13" s="482"/>
      <c r="Y13" s="4475"/>
      <c r="Z13" s="28">
        <f t="shared" si="7"/>
        <v>111</v>
      </c>
      <c r="AA13" s="28">
        <f t="shared" si="3"/>
        <v>1</v>
      </c>
      <c r="AB13" s="28">
        <f t="shared" si="4"/>
        <v>1</v>
      </c>
      <c r="AC13" s="28">
        <f t="shared" si="5"/>
        <v>1</v>
      </c>
    </row>
    <row r="14" spans="1:29" ht="15.6"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74"/>
      <c r="Q14" s="1698">
        <f t="shared" si="6"/>
        <v>111</v>
      </c>
      <c r="R14" s="3637" t="s">
        <v>16</v>
      </c>
      <c r="S14" s="3157">
        <f t="shared" si="0"/>
        <v>100</v>
      </c>
      <c r="T14" s="3637" t="s">
        <v>16</v>
      </c>
      <c r="U14" s="3157">
        <f t="shared" si="1"/>
        <v>100</v>
      </c>
      <c r="V14" s="3637" t="s">
        <v>16</v>
      </c>
      <c r="W14" s="3157">
        <f t="shared" si="2"/>
        <v>100</v>
      </c>
      <c r="X14" s="482"/>
      <c r="Y14" s="4475"/>
      <c r="Z14" s="28">
        <f t="shared" si="7"/>
        <v>111</v>
      </c>
      <c r="AA14" s="28">
        <f t="shared" si="3"/>
        <v>1</v>
      </c>
      <c r="AB14" s="28">
        <f t="shared" si="4"/>
        <v>1</v>
      </c>
      <c r="AC14" s="28">
        <f t="shared" si="5"/>
        <v>1</v>
      </c>
    </row>
    <row r="15" spans="1:29" ht="96.6">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502" t="s">
        <v>1601</v>
      </c>
      <c r="Q15" s="1507" t="str">
        <f t="shared" si="6"/>
        <v>居住社区成熟度</v>
      </c>
      <c r="R15" s="3739" t="s">
        <v>16</v>
      </c>
      <c r="S15" s="3158">
        <f t="shared" si="0"/>
        <v>100</v>
      </c>
      <c r="T15" s="3739" t="s">
        <v>16</v>
      </c>
      <c r="U15" s="3158">
        <f t="shared" si="1"/>
        <v>100</v>
      </c>
      <c r="V15" s="3739" t="s">
        <v>16</v>
      </c>
      <c r="W15" s="3158">
        <f t="shared" si="2"/>
        <v>100</v>
      </c>
      <c r="X15" s="910"/>
      <c r="Y15" s="4504"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503"/>
      <c r="Q16" s="1507"/>
      <c r="R16" s="3739"/>
      <c r="S16" s="3158"/>
      <c r="T16" s="3739"/>
      <c r="U16" s="3158"/>
      <c r="V16" s="3739"/>
      <c r="W16" s="3158"/>
      <c r="X16" s="910"/>
      <c r="Y16" s="4505"/>
      <c r="Z16" s="908"/>
      <c r="AA16" s="908">
        <v>1</v>
      </c>
      <c r="AB16" s="908">
        <v>1</v>
      </c>
      <c r="AC16" s="908">
        <v>1</v>
      </c>
    </row>
    <row r="17" spans="1:29" ht="82.8">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503"/>
      <c r="Q17" s="1507" t="str">
        <f>B17</f>
        <v>交通便捷度</v>
      </c>
      <c r="R17" s="3739" t="s">
        <v>16</v>
      </c>
      <c r="S17" s="3158">
        <f>F17</f>
        <v>100</v>
      </c>
      <c r="T17" s="3739" t="s">
        <v>16</v>
      </c>
      <c r="U17" s="3158">
        <f>H17</f>
        <v>100</v>
      </c>
      <c r="V17" s="3739" t="s">
        <v>16</v>
      </c>
      <c r="W17" s="3158">
        <f>J17</f>
        <v>100</v>
      </c>
      <c r="X17" s="910"/>
      <c r="Y17" s="4505"/>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503"/>
      <c r="Q18" s="1507"/>
      <c r="R18" s="3739"/>
      <c r="S18" s="3158"/>
      <c r="T18" s="3739"/>
      <c r="U18" s="3158"/>
      <c r="V18" s="3739"/>
      <c r="W18" s="3158"/>
      <c r="X18" s="910"/>
      <c r="Y18" s="4505"/>
      <c r="Z18" s="908"/>
      <c r="AA18" s="908">
        <v>1</v>
      </c>
      <c r="AB18" s="908">
        <v>1</v>
      </c>
      <c r="AC18" s="908">
        <v>1</v>
      </c>
    </row>
    <row r="19" spans="1:29" ht="41.4">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503"/>
      <c r="Q19" s="1507" t="str">
        <f>B19</f>
        <v>公共配套设施</v>
      </c>
      <c r="R19" s="3739" t="s">
        <v>16</v>
      </c>
      <c r="S19" s="3158">
        <f>F19</f>
        <v>100</v>
      </c>
      <c r="T19" s="3739" t="s">
        <v>16</v>
      </c>
      <c r="U19" s="3158">
        <f>H19</f>
        <v>100</v>
      </c>
      <c r="V19" s="3739" t="s">
        <v>16</v>
      </c>
      <c r="W19" s="3158">
        <f>J19</f>
        <v>100</v>
      </c>
      <c r="X19" s="910"/>
      <c r="Y19" s="4505"/>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503"/>
      <c r="Q20" s="1507"/>
      <c r="R20" s="3739"/>
      <c r="S20" s="3158"/>
      <c r="T20" s="3739"/>
      <c r="U20" s="3158"/>
      <c r="V20" s="3739"/>
      <c r="W20" s="3158"/>
      <c r="X20" s="910"/>
      <c r="Y20" s="4505"/>
      <c r="Z20" s="908"/>
      <c r="AA20" s="908">
        <v>1</v>
      </c>
      <c r="AB20" s="908">
        <v>1</v>
      </c>
      <c r="AC20" s="908">
        <v>1</v>
      </c>
    </row>
    <row r="21" spans="1:29" ht="27.6">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503"/>
      <c r="Q21" s="1507" t="str">
        <f>B21</f>
        <v>基础设施水平</v>
      </c>
      <c r="R21" s="3739" t="s">
        <v>13</v>
      </c>
      <c r="S21" s="3158">
        <f>F21</f>
        <v>100</v>
      </c>
      <c r="T21" s="3739" t="s">
        <v>13</v>
      </c>
      <c r="U21" s="3158">
        <f>H21</f>
        <v>100</v>
      </c>
      <c r="V21" s="3739" t="s">
        <v>13</v>
      </c>
      <c r="W21" s="3158">
        <f>J21</f>
        <v>100</v>
      </c>
      <c r="X21" s="910"/>
      <c r="Y21" s="4505"/>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503"/>
      <c r="Q22" s="1507"/>
      <c r="R22" s="3739"/>
      <c r="S22" s="3158"/>
      <c r="T22" s="3739"/>
      <c r="U22" s="3158"/>
      <c r="V22" s="3739"/>
      <c r="W22" s="3158"/>
      <c r="X22" s="910"/>
      <c r="Y22" s="4505"/>
      <c r="Z22" s="908"/>
      <c r="AA22" s="908">
        <v>1</v>
      </c>
      <c r="AB22" s="908">
        <v>1</v>
      </c>
      <c r="AC22" s="908">
        <v>1</v>
      </c>
    </row>
    <row r="23" spans="1:29" ht="55.2">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503"/>
      <c r="Q23" s="1507" t="str">
        <f>B23</f>
        <v>自然及人文环境</v>
      </c>
      <c r="R23" s="3739" t="s">
        <v>16</v>
      </c>
      <c r="S23" s="3158">
        <f>F23</f>
        <v>100</v>
      </c>
      <c r="T23" s="3739" t="s">
        <v>16</v>
      </c>
      <c r="U23" s="3158">
        <f>H23</f>
        <v>100</v>
      </c>
      <c r="V23" s="3739" t="s">
        <v>16</v>
      </c>
      <c r="W23" s="3158">
        <f>J23</f>
        <v>100</v>
      </c>
      <c r="X23" s="910"/>
      <c r="Y23" s="4505"/>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503"/>
      <c r="Q24" s="1507"/>
      <c r="R24" s="3739"/>
      <c r="S24" s="3158"/>
      <c r="T24" s="3739"/>
      <c r="U24" s="3158"/>
      <c r="V24" s="3739"/>
      <c r="W24" s="3158"/>
      <c r="X24" s="910"/>
      <c r="Y24" s="4505"/>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503"/>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505"/>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503"/>
      <c r="Q26" s="1507" t="str">
        <f t="shared" si="11"/>
        <v>朝向</v>
      </c>
      <c r="R26" s="3739" t="s">
        <v>16</v>
      </c>
      <c r="S26" s="3158">
        <f t="shared" si="12"/>
        <v>100</v>
      </c>
      <c r="T26" s="3739" t="s">
        <v>16</v>
      </c>
      <c r="U26" s="3158">
        <f t="shared" si="13"/>
        <v>100</v>
      </c>
      <c r="V26" s="3739" t="s">
        <v>16</v>
      </c>
      <c r="W26" s="3158">
        <f t="shared" si="14"/>
        <v>100</v>
      </c>
      <c r="X26" s="910"/>
      <c r="Y26" s="4505"/>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503"/>
      <c r="Q27" s="1698">
        <f t="shared" si="11"/>
        <v>111</v>
      </c>
      <c r="R27" s="3637" t="s">
        <v>16</v>
      </c>
      <c r="S27" s="3157">
        <f t="shared" si="12"/>
        <v>100</v>
      </c>
      <c r="T27" s="3637" t="s">
        <v>16</v>
      </c>
      <c r="U27" s="3157">
        <f t="shared" si="13"/>
        <v>100</v>
      </c>
      <c r="V27" s="3637" t="s">
        <v>16</v>
      </c>
      <c r="W27" s="3157">
        <f t="shared" si="14"/>
        <v>100</v>
      </c>
      <c r="X27" s="482"/>
      <c r="Y27" s="4505"/>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503"/>
      <c r="Q28" s="1507">
        <f t="shared" si="11"/>
        <v>111</v>
      </c>
      <c r="R28" s="3739" t="s">
        <v>16</v>
      </c>
      <c r="S28" s="3158">
        <f t="shared" si="12"/>
        <v>100</v>
      </c>
      <c r="T28" s="3739" t="s">
        <v>16</v>
      </c>
      <c r="U28" s="3158">
        <f t="shared" si="13"/>
        <v>100</v>
      </c>
      <c r="V28" s="3739" t="s">
        <v>16</v>
      </c>
      <c r="W28" s="3158">
        <f t="shared" si="14"/>
        <v>100</v>
      </c>
      <c r="X28" s="910"/>
      <c r="Y28" s="4505"/>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503"/>
      <c r="Q29" s="1507">
        <f t="shared" si="11"/>
        <v>111</v>
      </c>
      <c r="R29" s="3739" t="s">
        <v>16</v>
      </c>
      <c r="S29" s="3158">
        <f t="shared" si="12"/>
        <v>100</v>
      </c>
      <c r="T29" s="3739" t="s">
        <v>16</v>
      </c>
      <c r="U29" s="3158">
        <f t="shared" si="13"/>
        <v>100</v>
      </c>
      <c r="V29" s="3739" t="s">
        <v>16</v>
      </c>
      <c r="W29" s="3158">
        <f t="shared" si="14"/>
        <v>100</v>
      </c>
      <c r="X29" s="910"/>
      <c r="Y29" s="4505"/>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503"/>
      <c r="Q30" s="1507">
        <f t="shared" si="11"/>
        <v>111</v>
      </c>
      <c r="R30" s="3739" t="s">
        <v>16</v>
      </c>
      <c r="S30" s="3158">
        <f t="shared" si="12"/>
        <v>100</v>
      </c>
      <c r="T30" s="3739" t="s">
        <v>16</v>
      </c>
      <c r="U30" s="3158">
        <f t="shared" si="13"/>
        <v>100</v>
      </c>
      <c r="V30" s="3739" t="s">
        <v>16</v>
      </c>
      <c r="W30" s="3158">
        <f t="shared" si="14"/>
        <v>100</v>
      </c>
      <c r="X30" s="910"/>
      <c r="Y30" s="4505"/>
      <c r="Z30" s="908">
        <f t="shared" si="18"/>
        <v>111</v>
      </c>
      <c r="AA30" s="908">
        <f t="shared" si="15"/>
        <v>1</v>
      </c>
      <c r="AB30" s="908">
        <f t="shared" si="16"/>
        <v>1</v>
      </c>
      <c r="AC30" s="908">
        <f t="shared" si="17"/>
        <v>1</v>
      </c>
    </row>
    <row r="31" spans="1:29" ht="15.6"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503"/>
      <c r="Q31" s="1507">
        <f t="shared" si="11"/>
        <v>111</v>
      </c>
      <c r="R31" s="3739" t="s">
        <v>16</v>
      </c>
      <c r="S31" s="3158">
        <f t="shared" si="12"/>
        <v>100</v>
      </c>
      <c r="T31" s="3739" t="s">
        <v>16</v>
      </c>
      <c r="U31" s="3158">
        <f t="shared" si="13"/>
        <v>100</v>
      </c>
      <c r="V31" s="3739" t="s">
        <v>16</v>
      </c>
      <c r="W31" s="3158">
        <f t="shared" si="14"/>
        <v>100</v>
      </c>
      <c r="X31" s="910"/>
      <c r="Y31" s="4505"/>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506" t="s">
        <v>1606</v>
      </c>
      <c r="Q32" s="1507" t="str">
        <f t="shared" si="11"/>
        <v>建筑类型</v>
      </c>
      <c r="R32" s="3739" t="s">
        <v>16</v>
      </c>
      <c r="S32" s="3158">
        <f t="shared" si="12"/>
        <v>100</v>
      </c>
      <c r="T32" s="3739" t="s">
        <v>16</v>
      </c>
      <c r="U32" s="3158">
        <f t="shared" si="13"/>
        <v>100</v>
      </c>
      <c r="V32" s="3739" t="s">
        <v>16</v>
      </c>
      <c r="W32" s="3158">
        <f t="shared" si="14"/>
        <v>100</v>
      </c>
      <c r="X32" s="910"/>
      <c r="Y32" s="4509"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507"/>
      <c r="Q33" s="2865" t="str">
        <f t="shared" si="11"/>
        <v>项目建筑规模</v>
      </c>
      <c r="R33" s="3740" t="s">
        <v>16</v>
      </c>
      <c r="S33" s="3159" t="e">
        <f t="shared" si="12"/>
        <v>#N/A</v>
      </c>
      <c r="T33" s="3740" t="s">
        <v>16</v>
      </c>
      <c r="U33" s="3159" t="e">
        <f t="shared" si="13"/>
        <v>#N/A</v>
      </c>
      <c r="V33" s="3740" t="s">
        <v>16</v>
      </c>
      <c r="W33" s="3159" t="e">
        <f t="shared" si="14"/>
        <v>#N/A</v>
      </c>
      <c r="X33" s="484"/>
      <c r="Y33" s="4509"/>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507"/>
      <c r="Q34" s="1507" t="str">
        <f t="shared" si="11"/>
        <v>建筑结构</v>
      </c>
      <c r="R34" s="3739" t="s">
        <v>16</v>
      </c>
      <c r="S34" s="3158">
        <f t="shared" si="12"/>
        <v>100</v>
      </c>
      <c r="T34" s="3739" t="s">
        <v>16</v>
      </c>
      <c r="U34" s="3158">
        <f t="shared" si="13"/>
        <v>100</v>
      </c>
      <c r="V34" s="3739" t="s">
        <v>16</v>
      </c>
      <c r="W34" s="3158">
        <f t="shared" si="14"/>
        <v>100</v>
      </c>
      <c r="X34" s="910"/>
      <c r="Y34" s="4509"/>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507"/>
      <c r="Q35" s="1507" t="str">
        <f t="shared" si="11"/>
        <v>建筑品质</v>
      </c>
      <c r="R35" s="3739" t="s">
        <v>16</v>
      </c>
      <c r="S35" s="3158">
        <f t="shared" si="12"/>
        <v>100</v>
      </c>
      <c r="T35" s="3739" t="s">
        <v>16</v>
      </c>
      <c r="U35" s="3158">
        <f t="shared" si="13"/>
        <v>100</v>
      </c>
      <c r="V35" s="3739" t="s">
        <v>16</v>
      </c>
      <c r="W35" s="3158">
        <f t="shared" si="14"/>
        <v>100</v>
      </c>
      <c r="X35" s="910"/>
      <c r="Y35" s="4509"/>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507"/>
      <c r="Q36" s="1507" t="str">
        <f t="shared" si="11"/>
        <v>公共部分装修</v>
      </c>
      <c r="R36" s="3739" t="s">
        <v>16</v>
      </c>
      <c r="S36" s="3158">
        <f t="shared" si="12"/>
        <v>100</v>
      </c>
      <c r="T36" s="3739" t="s">
        <v>16</v>
      </c>
      <c r="U36" s="3158">
        <f t="shared" si="13"/>
        <v>100</v>
      </c>
      <c r="V36" s="3739" t="s">
        <v>16</v>
      </c>
      <c r="W36" s="3158">
        <f t="shared" si="14"/>
        <v>100</v>
      </c>
      <c r="X36" s="910"/>
      <c r="Y36" s="4509"/>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507"/>
      <c r="Q37" s="1698" t="str">
        <f t="shared" si="11"/>
        <v>成新度</v>
      </c>
      <c r="R37" s="3637" t="s">
        <v>16</v>
      </c>
      <c r="S37" s="3157" t="e">
        <f t="shared" si="12"/>
        <v>#N/A</v>
      </c>
      <c r="T37" s="3637" t="s">
        <v>16</v>
      </c>
      <c r="U37" s="3157" t="e">
        <f t="shared" si="13"/>
        <v>#N/A</v>
      </c>
      <c r="V37" s="3637" t="s">
        <v>16</v>
      </c>
      <c r="W37" s="3157" t="e">
        <f t="shared" si="14"/>
        <v>#N/A</v>
      </c>
      <c r="X37" s="482"/>
      <c r="Y37" s="4509"/>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507" t="s">
        <v>1606</v>
      </c>
      <c r="Q38" s="1507" t="str">
        <f t="shared" si="11"/>
        <v>物业管理</v>
      </c>
      <c r="R38" s="3739" t="s">
        <v>16</v>
      </c>
      <c r="S38" s="3158">
        <f t="shared" si="12"/>
        <v>100</v>
      </c>
      <c r="T38" s="3739" t="s">
        <v>16</v>
      </c>
      <c r="U38" s="3158">
        <f t="shared" si="13"/>
        <v>100</v>
      </c>
      <c r="V38" s="3739" t="s">
        <v>16</v>
      </c>
      <c r="W38" s="3158">
        <f t="shared" si="14"/>
        <v>100</v>
      </c>
      <c r="X38" s="910"/>
      <c r="Y38" s="4509"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507"/>
      <c r="Q39" s="1507" t="str">
        <f t="shared" si="11"/>
        <v>市政基础设施</v>
      </c>
      <c r="R39" s="3739" t="s">
        <v>16</v>
      </c>
      <c r="S39" s="3158">
        <f t="shared" si="12"/>
        <v>100</v>
      </c>
      <c r="T39" s="3739" t="s">
        <v>16</v>
      </c>
      <c r="U39" s="3158">
        <f t="shared" si="13"/>
        <v>100</v>
      </c>
      <c r="V39" s="3739" t="s">
        <v>16</v>
      </c>
      <c r="W39" s="3158">
        <f t="shared" si="14"/>
        <v>100</v>
      </c>
      <c r="X39" s="910"/>
      <c r="Y39" s="4509"/>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507"/>
      <c r="Q40" s="1507" t="str">
        <f t="shared" si="11"/>
        <v>房型</v>
      </c>
      <c r="R40" s="3739" t="s">
        <v>16</v>
      </c>
      <c r="S40" s="3158">
        <f t="shared" si="12"/>
        <v>100</v>
      </c>
      <c r="T40" s="3739" t="s">
        <v>16</v>
      </c>
      <c r="U40" s="3158">
        <f t="shared" si="13"/>
        <v>100</v>
      </c>
      <c r="V40" s="3739" t="s">
        <v>16</v>
      </c>
      <c r="W40" s="3158">
        <f t="shared" si="14"/>
        <v>100</v>
      </c>
      <c r="X40" s="910"/>
      <c r="Y40" s="4509"/>
      <c r="Z40" s="908" t="str">
        <f t="shared" si="18"/>
        <v>房型</v>
      </c>
      <c r="AA40" s="908">
        <f t="shared" si="15"/>
        <v>1</v>
      </c>
      <c r="AB40" s="908">
        <f t="shared" si="16"/>
        <v>1</v>
      </c>
      <c r="AC40" s="908">
        <f t="shared" si="17"/>
        <v>1</v>
      </c>
    </row>
    <row r="41" spans="1:29" s="279" customFormat="1" ht="28.8">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507"/>
      <c r="Q41" s="2865" t="str">
        <f t="shared" si="11"/>
        <v>单套/主力户型建筑面积</v>
      </c>
      <c r="R41" s="3740" t="s">
        <v>16</v>
      </c>
      <c r="S41" s="3159">
        <f t="shared" si="12"/>
        <v>100</v>
      </c>
      <c r="T41" s="3740" t="s">
        <v>16</v>
      </c>
      <c r="U41" s="3159">
        <f t="shared" si="13"/>
        <v>100</v>
      </c>
      <c r="V41" s="3740" t="s">
        <v>16</v>
      </c>
      <c r="W41" s="3159">
        <f t="shared" si="14"/>
        <v>100</v>
      </c>
      <c r="X41" s="484"/>
      <c r="Y41" s="4509"/>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507"/>
      <c r="Q42" s="1507" t="str">
        <f t="shared" si="11"/>
        <v>内部装修</v>
      </c>
      <c r="R42" s="3739" t="s">
        <v>16</v>
      </c>
      <c r="S42" s="3158">
        <f t="shared" si="12"/>
        <v>100</v>
      </c>
      <c r="T42" s="3739" t="s">
        <v>16</v>
      </c>
      <c r="U42" s="3158">
        <f t="shared" si="13"/>
        <v>100</v>
      </c>
      <c r="V42" s="3739" t="s">
        <v>16</v>
      </c>
      <c r="W42" s="3158">
        <f t="shared" si="14"/>
        <v>100</v>
      </c>
      <c r="X42" s="910"/>
      <c r="Y42" s="4509"/>
      <c r="Z42" s="908" t="str">
        <f t="shared" si="18"/>
        <v>内部装修</v>
      </c>
      <c r="AA42" s="908">
        <f t="shared" si="15"/>
        <v>1</v>
      </c>
      <c r="AB42" s="908">
        <f t="shared" si="16"/>
        <v>1</v>
      </c>
      <c r="AC42" s="908">
        <f t="shared" si="17"/>
        <v>1</v>
      </c>
    </row>
    <row r="43" spans="1:29" ht="28.8">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507"/>
      <c r="Q43" s="1507" t="str">
        <f t="shared" si="11"/>
        <v>内部装修维护情况</v>
      </c>
      <c r="R43" s="3739" t="s">
        <v>16</v>
      </c>
      <c r="S43" s="3158">
        <f t="shared" si="12"/>
        <v>100</v>
      </c>
      <c r="T43" s="3739" t="s">
        <v>16</v>
      </c>
      <c r="U43" s="3158">
        <f t="shared" si="13"/>
        <v>100</v>
      </c>
      <c r="V43" s="3739" t="s">
        <v>16</v>
      </c>
      <c r="W43" s="3158">
        <f t="shared" si="14"/>
        <v>100</v>
      </c>
      <c r="X43" s="910"/>
      <c r="Y43" s="4509"/>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507"/>
      <c r="Q44" s="1698">
        <f t="shared" si="11"/>
        <v>111</v>
      </c>
      <c r="R44" s="3637" t="s">
        <v>16</v>
      </c>
      <c r="S44" s="3157">
        <f t="shared" si="12"/>
        <v>100</v>
      </c>
      <c r="T44" s="3637" t="s">
        <v>16</v>
      </c>
      <c r="U44" s="3157">
        <f t="shared" si="13"/>
        <v>100</v>
      </c>
      <c r="V44" s="3637" t="s">
        <v>16</v>
      </c>
      <c r="W44" s="3157">
        <f t="shared" si="14"/>
        <v>100</v>
      </c>
      <c r="X44" s="482"/>
      <c r="Y44" s="4509"/>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507"/>
      <c r="Q45" s="1507">
        <f t="shared" si="11"/>
        <v>111</v>
      </c>
      <c r="R45" s="3739" t="s">
        <v>16</v>
      </c>
      <c r="S45" s="3158">
        <f t="shared" si="12"/>
        <v>100</v>
      </c>
      <c r="T45" s="3739" t="s">
        <v>16</v>
      </c>
      <c r="U45" s="3158">
        <f t="shared" si="13"/>
        <v>100</v>
      </c>
      <c r="V45" s="3739" t="s">
        <v>16</v>
      </c>
      <c r="W45" s="3158">
        <f t="shared" si="14"/>
        <v>100</v>
      </c>
      <c r="X45" s="910"/>
      <c r="Y45" s="4509"/>
      <c r="Z45" s="908">
        <f t="shared" si="18"/>
        <v>111</v>
      </c>
      <c r="AA45" s="908">
        <f t="shared" si="15"/>
        <v>1</v>
      </c>
      <c r="AB45" s="908">
        <f t="shared" si="16"/>
        <v>1</v>
      </c>
      <c r="AC45" s="908">
        <f t="shared" si="17"/>
        <v>1</v>
      </c>
    </row>
    <row r="46" spans="1:29" ht="15.6"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508"/>
      <c r="Q46" s="1507">
        <f t="shared" si="11"/>
        <v>111</v>
      </c>
      <c r="R46" s="3739" t="s">
        <v>15</v>
      </c>
      <c r="S46" s="3158">
        <f t="shared" si="12"/>
        <v>100</v>
      </c>
      <c r="T46" s="3739" t="s">
        <v>15</v>
      </c>
      <c r="U46" s="3158">
        <f t="shared" si="13"/>
        <v>100</v>
      </c>
      <c r="V46" s="3739" t="s">
        <v>15</v>
      </c>
      <c r="W46" s="3158">
        <f t="shared" si="14"/>
        <v>100</v>
      </c>
      <c r="X46" s="910"/>
      <c r="Y46" s="4510"/>
      <c r="Z46" s="908">
        <f t="shared" si="18"/>
        <v>111</v>
      </c>
      <c r="AA46" s="908">
        <f t="shared" si="15"/>
        <v>1</v>
      </c>
      <c r="AB46" s="908">
        <f t="shared" si="16"/>
        <v>1</v>
      </c>
      <c r="AC46" s="908">
        <f t="shared" si="17"/>
        <v>1</v>
      </c>
    </row>
    <row r="47" spans="1:29" ht="14.4">
      <c r="A47" s="286" t="s">
        <v>1618</v>
      </c>
      <c r="B47" s="287"/>
      <c r="C47" s="765" t="s">
        <v>14</v>
      </c>
      <c r="D47" s="288"/>
      <c r="E47" s="3206"/>
      <c r="F47" s="766"/>
      <c r="G47" s="3207"/>
      <c r="H47" s="767"/>
      <c r="I47" s="3206"/>
      <c r="J47" s="767"/>
      <c r="K47" s="2809"/>
      <c r="L47" s="1982"/>
      <c r="M47" s="1975"/>
      <c r="N47" s="1975"/>
      <c r="O47" s="1975"/>
      <c r="P47" s="4511" t="str">
        <f>A47</f>
        <v>成交单价（元/平方米）</v>
      </c>
      <c r="Q47" s="4511"/>
      <c r="R47" s="4512">
        <f>E47</f>
        <v>0</v>
      </c>
      <c r="S47" s="4512"/>
      <c r="T47" s="4512">
        <f>G47</f>
        <v>0</v>
      </c>
      <c r="U47" s="4512"/>
      <c r="V47" s="4512">
        <f>I47</f>
        <v>0</v>
      </c>
      <c r="W47" s="4512"/>
      <c r="X47" s="265"/>
      <c r="Y47" s="486"/>
      <c r="Z47" s="265"/>
      <c r="AA47" s="265"/>
      <c r="AB47" s="265"/>
      <c r="AC47" s="265"/>
    </row>
    <row r="48" spans="1:29" ht="1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511" t="str">
        <f>A48</f>
        <v>比较价值（元/平方米）</v>
      </c>
      <c r="Q48" s="4511"/>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265"/>
      <c r="Y48" s="265"/>
      <c r="Z48" s="265"/>
      <c r="AA48" s="265"/>
      <c r="AB48" s="265"/>
      <c r="AC48" s="265"/>
    </row>
    <row r="49" spans="1:29" ht="15" thickBot="1">
      <c r="A49" s="291" t="s">
        <v>1620</v>
      </c>
      <c r="B49" s="292"/>
      <c r="C49" s="3738" t="e">
        <f>R49</f>
        <v>#DIV/0!</v>
      </c>
      <c r="D49" s="241"/>
      <c r="E49" s="241"/>
      <c r="F49" s="241"/>
      <c r="G49" s="241"/>
      <c r="H49" s="241"/>
      <c r="I49" s="241"/>
      <c r="J49" s="241"/>
      <c r="K49" s="1372"/>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2.2" thickBot="1">
      <c r="A57" s="476" t="s">
        <v>1624</v>
      </c>
      <c r="B57" s="265"/>
      <c r="C57" s="477"/>
      <c r="D57" s="477"/>
      <c r="E57" s="477"/>
      <c r="F57" s="478"/>
      <c r="G57" s="478"/>
      <c r="H57" s="477"/>
      <c r="I57" s="477"/>
      <c r="J57" s="477"/>
      <c r="K57" s="619"/>
      <c r="L57" s="620"/>
      <c r="M57" s="618"/>
      <c r="N57" s="618"/>
      <c r="O57" s="618"/>
      <c r="P57" s="1375"/>
      <c r="Q57" s="302"/>
    </row>
    <row r="58" spans="1:29" s="305" customFormat="1" ht="14.4">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1626</v>
      </c>
      <c r="B60" s="313"/>
      <c r="C60" s="314"/>
      <c r="D60" s="315"/>
      <c r="E60" s="315"/>
      <c r="F60" s="315"/>
      <c r="G60" s="315"/>
      <c r="H60" s="315"/>
      <c r="I60" s="315"/>
      <c r="J60" s="315"/>
      <c r="K60" s="315"/>
      <c r="L60" s="315"/>
      <c r="M60" s="316"/>
      <c r="N60" s="315"/>
      <c r="O60" s="316"/>
      <c r="P60" s="1377"/>
      <c r="Q60" s="302"/>
    </row>
    <row r="61" spans="1:29" s="46" customFormat="1" ht="14.4">
      <c r="A61" s="318" t="s">
        <v>1627</v>
      </c>
      <c r="B61" s="307"/>
      <c r="C61" s="319" t="s">
        <v>1628</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1629</v>
      </c>
      <c r="B63" s="322" t="s">
        <v>1595</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1598</v>
      </c>
      <c r="C65" s="372"/>
      <c r="D65" s="372"/>
      <c r="E65" s="372"/>
      <c r="F65" s="372"/>
      <c r="G65" s="372"/>
      <c r="H65" s="372"/>
      <c r="I65" s="372"/>
      <c r="J65" s="372"/>
      <c r="K65" s="372"/>
      <c r="L65" s="372"/>
      <c r="M65" s="372"/>
      <c r="N65" s="612"/>
      <c r="O65" s="612"/>
      <c r="P65" s="1379"/>
      <c r="Q65" s="302"/>
    </row>
    <row r="66" spans="1:17" ht="15" thickBot="1">
      <c r="A66" s="254"/>
      <c r="B66" s="336" t="s">
        <v>3885</v>
      </c>
      <c r="C66" s="329"/>
      <c r="D66" s="329"/>
      <c r="E66" s="329"/>
      <c r="F66" s="329"/>
      <c r="G66" s="329"/>
      <c r="H66" s="329"/>
      <c r="I66" s="329"/>
      <c r="J66" s="329"/>
      <c r="K66" s="329"/>
      <c r="L66" s="329"/>
      <c r="M66" s="330"/>
      <c r="N66" s="612"/>
      <c r="O66" s="612"/>
      <c r="P66" s="1379"/>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1644</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1645</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1604</v>
      </c>
      <c r="B100" s="322" t="s">
        <v>1646</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6.2"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ht="14.4">
      <c r="B147" s="1385" t="s">
        <v>1674</v>
      </c>
    </row>
    <row r="148" spans="2:11" ht="14.4">
      <c r="B148" s="1385"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17.399999999999999">
      <c r="A4" s="1026" t="str">
        <f>"受贵公司委托，我公司对"&amp;项目基本情况!S1&amp;"进行了预评估。"</f>
        <v>受贵公司委托，我公司对北京市房地产抵押价值进行了预评估。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估价对象为北京市房地产，为所有。根据《国有土地使用证》[]，估价对象（分摊）出让国有建设用地使用权面积为0平方米，建筑面积为110.59平方米。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估价对象为北京市房地产,属开发建设的办公项目，该项目尚在开发建设中。根据《国有土地使用证》[]，估价对象（分摊）出让国有建设用地使用权面积为0平方米，规划建筑面积为110.59平方米。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2026年1月29日（评估专业人员实地查勘之日）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110.59</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4.4">
      <c r="A4" s="235" t="s">
        <v>1679</v>
      </c>
      <c r="B4" s="236"/>
      <c r="C4" s="4560" t="s">
        <v>1680</v>
      </c>
      <c r="D4" s="4561"/>
      <c r="E4" s="4562" t="s">
        <v>1681</v>
      </c>
      <c r="F4" s="4563"/>
      <c r="G4" s="4560" t="s">
        <v>1682</v>
      </c>
      <c r="H4" s="4561"/>
      <c r="I4" s="4560" t="s">
        <v>1683</v>
      </c>
      <c r="J4" s="4561"/>
      <c r="K4" s="2864" t="s">
        <v>1684</v>
      </c>
      <c r="L4" s="1974"/>
      <c r="M4" s="1975"/>
      <c r="N4" s="1975"/>
      <c r="O4" s="1975"/>
      <c r="P4" s="4564" t="s">
        <v>1685</v>
      </c>
      <c r="Q4" s="4565"/>
      <c r="R4" s="4550" t="s">
        <v>1681</v>
      </c>
      <c r="S4" s="4551"/>
      <c r="T4" s="4550" t="s">
        <v>1682</v>
      </c>
      <c r="U4" s="4551"/>
      <c r="V4" s="4492" t="s">
        <v>1683</v>
      </c>
      <c r="W4" s="4492"/>
      <c r="X4" s="910"/>
      <c r="Y4" s="4569" t="s">
        <v>1685</v>
      </c>
      <c r="Z4" s="4570"/>
      <c r="AA4" s="4549" t="s">
        <v>1681</v>
      </c>
      <c r="AB4" s="4574" t="s">
        <v>1682</v>
      </c>
      <c r="AC4" s="4549" t="s">
        <v>1683</v>
      </c>
    </row>
    <row r="5" spans="1:29">
      <c r="A5" s="238"/>
      <c r="B5" s="239"/>
      <c r="C5" s="4554" t="s">
        <v>1583</v>
      </c>
      <c r="D5" s="4555"/>
      <c r="E5" s="4552" t="s">
        <v>1584</v>
      </c>
      <c r="F5" s="4553"/>
      <c r="G5" s="4554" t="s">
        <v>1585</v>
      </c>
      <c r="H5" s="4555"/>
      <c r="I5" s="4554" t="s">
        <v>1586</v>
      </c>
      <c r="J5" s="4555"/>
      <c r="K5" s="2864"/>
      <c r="L5" s="1974"/>
      <c r="M5" s="1975"/>
      <c r="N5" s="1975"/>
      <c r="O5" s="1975"/>
      <c r="P5" s="4566"/>
      <c r="Q5" s="4486"/>
      <c r="R5" s="4466"/>
      <c r="S5" s="4467"/>
      <c r="T5" s="4466"/>
      <c r="U5" s="4467"/>
      <c r="V5" s="4492"/>
      <c r="W5" s="4492"/>
      <c r="X5" s="910"/>
      <c r="Y5" s="4497"/>
      <c r="Z5" s="4498"/>
      <c r="AA5" s="4460"/>
      <c r="AB5" s="4574"/>
      <c r="AC5" s="4460"/>
    </row>
    <row r="6" spans="1:29" ht="15" thickBot="1">
      <c r="A6" s="240"/>
      <c r="B6" s="241"/>
      <c r="C6" s="4556" t="s">
        <v>1587</v>
      </c>
      <c r="D6" s="4557"/>
      <c r="E6" s="4558" t="s">
        <v>1587</v>
      </c>
      <c r="F6" s="4559"/>
      <c r="G6" s="4556" t="s">
        <v>1587</v>
      </c>
      <c r="H6" s="4557"/>
      <c r="I6" s="4556" t="s">
        <v>1587</v>
      </c>
      <c r="J6" s="4557"/>
      <c r="K6" s="2864" t="s">
        <v>1588</v>
      </c>
      <c r="L6" s="1974"/>
      <c r="M6" s="1975"/>
      <c r="N6" s="1975"/>
      <c r="O6" s="1975"/>
      <c r="P6" s="4567"/>
      <c r="Q6" s="4488"/>
      <c r="R6" s="4466"/>
      <c r="S6" s="4467"/>
      <c r="T6" s="4489"/>
      <c r="U6" s="4490"/>
      <c r="V6" s="4492"/>
      <c r="W6" s="4492"/>
      <c r="X6" s="910"/>
      <c r="Y6" s="4499"/>
      <c r="Z6" s="4500"/>
      <c r="AA6" s="4461"/>
      <c r="AB6" s="4574"/>
      <c r="AC6" s="4461"/>
    </row>
    <row r="7" spans="1:29" s="46" customFormat="1" ht="1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68" t="s">
        <v>1590</v>
      </c>
      <c r="Q7" s="4501"/>
      <c r="R7" s="3637" t="s">
        <v>13</v>
      </c>
      <c r="S7" s="3157">
        <f t="shared" ref="S7:S15" si="0">F7</f>
        <v>0</v>
      </c>
      <c r="T7" s="3637" t="s">
        <v>13</v>
      </c>
      <c r="U7" s="3157">
        <f t="shared" ref="U7:U15" si="1">H7</f>
        <v>0</v>
      </c>
      <c r="V7" s="3637" t="s">
        <v>13</v>
      </c>
      <c r="W7" s="3157">
        <f t="shared" ref="W7:W15" si="2">J7</f>
        <v>0</v>
      </c>
      <c r="X7" s="482"/>
      <c r="Y7" s="4462" t="s">
        <v>1590</v>
      </c>
      <c r="Z7" s="4463"/>
      <c r="AA7" s="28" t="e">
        <f>D7/F7</f>
        <v>#DIV/0!</v>
      </c>
      <c r="AB7" s="28" t="e">
        <f>D7/H7</f>
        <v>#DIV/0!</v>
      </c>
      <c r="AC7" s="28" t="e">
        <f>D7/J7</f>
        <v>#DIV/0!</v>
      </c>
    </row>
    <row r="8" spans="1:29" s="46" customFormat="1" ht="1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68" t="s">
        <v>1593</v>
      </c>
      <c r="Q8" s="4494"/>
      <c r="R8" s="3637" t="s">
        <v>13</v>
      </c>
      <c r="S8" s="3157">
        <f t="shared" si="0"/>
        <v>100</v>
      </c>
      <c r="T8" s="3637" t="s">
        <v>13</v>
      </c>
      <c r="U8" s="3157">
        <f t="shared" si="1"/>
        <v>100</v>
      </c>
      <c r="V8" s="3637" t="s">
        <v>13</v>
      </c>
      <c r="W8" s="3157">
        <f t="shared" si="2"/>
        <v>100</v>
      </c>
      <c r="X8" s="482"/>
      <c r="Y8" s="4462" t="s">
        <v>1593</v>
      </c>
      <c r="Z8" s="4463"/>
      <c r="AA8" s="28">
        <f t="shared" ref="AA8:AA46" si="3">D8/F8</f>
        <v>1</v>
      </c>
      <c r="AB8" s="28">
        <f t="shared" ref="AB8:AB46" si="4">D8/H8</f>
        <v>1</v>
      </c>
      <c r="AC8" s="28">
        <f t="shared" ref="AC8:AC46" si="5">D8/J8</f>
        <v>1</v>
      </c>
    </row>
    <row r="9" spans="1:29" s="46" customFormat="1" ht="14.4">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74" t="s">
        <v>1596</v>
      </c>
      <c r="Q9" s="1698" t="str">
        <f t="shared" ref="Q9:Q15" si="6">B9</f>
        <v>用途</v>
      </c>
      <c r="R9" s="3637" t="s">
        <v>13</v>
      </c>
      <c r="S9" s="3157">
        <f t="shared" si="0"/>
        <v>100</v>
      </c>
      <c r="T9" s="3637" t="s">
        <v>13</v>
      </c>
      <c r="U9" s="3157">
        <f t="shared" si="1"/>
        <v>100</v>
      </c>
      <c r="V9" s="3637" t="s">
        <v>13</v>
      </c>
      <c r="W9" s="3157">
        <f t="shared" si="2"/>
        <v>100</v>
      </c>
      <c r="X9" s="482"/>
      <c r="Y9" s="4475" t="s">
        <v>1597</v>
      </c>
      <c r="Z9" s="28" t="str">
        <f t="shared" ref="Z9:Z15" si="7">Q9</f>
        <v>用途</v>
      </c>
      <c r="AA9" s="28">
        <f t="shared" si="3"/>
        <v>1</v>
      </c>
      <c r="AB9" s="28">
        <f t="shared" si="4"/>
        <v>1</v>
      </c>
      <c r="AC9" s="28">
        <f t="shared" si="5"/>
        <v>1</v>
      </c>
    </row>
    <row r="10" spans="1:29" s="253" customFormat="1" ht="28.8">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74"/>
      <c r="Q10" s="1698" t="str">
        <f t="shared" si="6"/>
        <v>土地使用年限（年）</v>
      </c>
      <c r="R10" s="3637" t="s">
        <v>13</v>
      </c>
      <c r="S10" s="3157">
        <f t="shared" si="0"/>
        <v>100</v>
      </c>
      <c r="T10" s="3637" t="s">
        <v>13</v>
      </c>
      <c r="U10" s="3157">
        <f t="shared" si="1"/>
        <v>100</v>
      </c>
      <c r="V10" s="3637" t="s">
        <v>13</v>
      </c>
      <c r="W10" s="3157">
        <f t="shared" si="2"/>
        <v>100</v>
      </c>
      <c r="X10" s="482"/>
      <c r="Y10" s="4475"/>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74"/>
      <c r="Q11" s="1698" t="str">
        <f t="shared" si="6"/>
        <v>容积率</v>
      </c>
      <c r="R11" s="3637" t="s">
        <v>13</v>
      </c>
      <c r="S11" s="3157">
        <f t="shared" si="0"/>
        <v>100</v>
      </c>
      <c r="T11" s="3637" t="s">
        <v>13</v>
      </c>
      <c r="U11" s="3157">
        <f t="shared" si="1"/>
        <v>100</v>
      </c>
      <c r="V11" s="3637" t="s">
        <v>13</v>
      </c>
      <c r="W11" s="3157">
        <f t="shared" si="2"/>
        <v>100</v>
      </c>
      <c r="X11" s="482"/>
      <c r="Y11" s="4475"/>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74"/>
      <c r="Q12" s="1698">
        <f t="shared" si="6"/>
        <v>111</v>
      </c>
      <c r="R12" s="3637" t="s">
        <v>13</v>
      </c>
      <c r="S12" s="3157">
        <f t="shared" si="0"/>
        <v>100</v>
      </c>
      <c r="T12" s="3637" t="s">
        <v>13</v>
      </c>
      <c r="U12" s="3157">
        <f t="shared" si="1"/>
        <v>100</v>
      </c>
      <c r="V12" s="3637" t="s">
        <v>13</v>
      </c>
      <c r="W12" s="3157">
        <f t="shared" si="2"/>
        <v>100</v>
      </c>
      <c r="X12" s="482"/>
      <c r="Y12" s="4475"/>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74"/>
      <c r="Q13" s="1698">
        <f t="shared" si="6"/>
        <v>111</v>
      </c>
      <c r="R13" s="3637" t="s">
        <v>13</v>
      </c>
      <c r="S13" s="3157">
        <f t="shared" si="0"/>
        <v>100</v>
      </c>
      <c r="T13" s="3637" t="s">
        <v>13</v>
      </c>
      <c r="U13" s="3157">
        <f t="shared" si="1"/>
        <v>100</v>
      </c>
      <c r="V13" s="3637" t="s">
        <v>13</v>
      </c>
      <c r="W13" s="3157">
        <f t="shared" si="2"/>
        <v>100</v>
      </c>
      <c r="X13" s="482"/>
      <c r="Y13" s="4475"/>
      <c r="Z13" s="28">
        <f t="shared" si="7"/>
        <v>111</v>
      </c>
      <c r="AA13" s="28">
        <f t="shared" si="3"/>
        <v>1</v>
      </c>
      <c r="AB13" s="28">
        <f t="shared" si="4"/>
        <v>1</v>
      </c>
      <c r="AC13" s="28">
        <f t="shared" si="5"/>
        <v>1</v>
      </c>
    </row>
    <row r="14" spans="1:29" ht="15.6"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74"/>
      <c r="Q14" s="1698">
        <f t="shared" si="6"/>
        <v>111</v>
      </c>
      <c r="R14" s="3637" t="s">
        <v>13</v>
      </c>
      <c r="S14" s="3157">
        <f t="shared" si="0"/>
        <v>100</v>
      </c>
      <c r="T14" s="3637" t="s">
        <v>13</v>
      </c>
      <c r="U14" s="3157">
        <f t="shared" si="1"/>
        <v>100</v>
      </c>
      <c r="V14" s="3637" t="s">
        <v>13</v>
      </c>
      <c r="W14" s="3157">
        <f t="shared" si="2"/>
        <v>100</v>
      </c>
      <c r="X14" s="482"/>
      <c r="Y14" s="4475"/>
      <c r="Z14" s="28">
        <f t="shared" si="7"/>
        <v>111</v>
      </c>
      <c r="AA14" s="28">
        <f t="shared" si="3"/>
        <v>1</v>
      </c>
      <c r="AB14" s="28">
        <f t="shared" si="4"/>
        <v>1</v>
      </c>
      <c r="AC14" s="28">
        <f t="shared" si="5"/>
        <v>1</v>
      </c>
    </row>
    <row r="15" spans="1:29" ht="69">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502" t="s">
        <v>1601</v>
      </c>
      <c r="Q15" s="1507" t="str">
        <f t="shared" si="6"/>
        <v>商业繁华度</v>
      </c>
      <c r="R15" s="3739" t="s">
        <v>13</v>
      </c>
      <c r="S15" s="3158">
        <f t="shared" si="0"/>
        <v>100</v>
      </c>
      <c r="T15" s="3739" t="s">
        <v>13</v>
      </c>
      <c r="U15" s="3158">
        <f t="shared" si="1"/>
        <v>100</v>
      </c>
      <c r="V15" s="3739" t="s">
        <v>13</v>
      </c>
      <c r="W15" s="3158">
        <f t="shared" si="2"/>
        <v>100</v>
      </c>
      <c r="X15" s="910"/>
      <c r="Y15" s="4504"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503"/>
      <c r="Q16" s="1507"/>
      <c r="R16" s="3739"/>
      <c r="S16" s="3158"/>
      <c r="T16" s="3739"/>
      <c r="U16" s="3158"/>
      <c r="V16" s="3739"/>
      <c r="W16" s="3158"/>
      <c r="X16" s="910"/>
      <c r="Y16" s="4505"/>
      <c r="Z16" s="908"/>
      <c r="AA16" s="908">
        <v>1</v>
      </c>
      <c r="AB16" s="908">
        <v>1</v>
      </c>
      <c r="AC16" s="908">
        <v>1</v>
      </c>
    </row>
    <row r="17" spans="1:29" ht="82.8">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503"/>
      <c r="Q17" s="1507" t="str">
        <f>B17</f>
        <v>交通便捷度</v>
      </c>
      <c r="R17" s="3739" t="s">
        <v>13</v>
      </c>
      <c r="S17" s="3158">
        <f>F17</f>
        <v>100</v>
      </c>
      <c r="T17" s="3739" t="s">
        <v>13</v>
      </c>
      <c r="U17" s="3158">
        <f>H17</f>
        <v>100</v>
      </c>
      <c r="V17" s="3739" t="s">
        <v>13</v>
      </c>
      <c r="W17" s="3158">
        <f>J17</f>
        <v>100</v>
      </c>
      <c r="X17" s="910"/>
      <c r="Y17" s="4505"/>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503"/>
      <c r="Q18" s="1507"/>
      <c r="R18" s="3739"/>
      <c r="S18" s="3158"/>
      <c r="T18" s="3739"/>
      <c r="U18" s="3158"/>
      <c r="V18" s="3739"/>
      <c r="W18" s="3158"/>
      <c r="X18" s="910"/>
      <c r="Y18" s="4505"/>
      <c r="Z18" s="908"/>
      <c r="AA18" s="908">
        <v>1</v>
      </c>
      <c r="AB18" s="908">
        <v>1</v>
      </c>
      <c r="AC18" s="908">
        <v>1</v>
      </c>
    </row>
    <row r="19" spans="1:29" ht="41.4">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503"/>
      <c r="Q19" s="1507" t="str">
        <f>B19</f>
        <v>公共配套设施</v>
      </c>
      <c r="R19" s="3739" t="s">
        <v>13</v>
      </c>
      <c r="S19" s="3158">
        <f>F19</f>
        <v>100</v>
      </c>
      <c r="T19" s="3739" t="s">
        <v>13</v>
      </c>
      <c r="U19" s="3158">
        <f>H19</f>
        <v>100</v>
      </c>
      <c r="V19" s="3739" t="s">
        <v>13</v>
      </c>
      <c r="W19" s="3158">
        <f>J19</f>
        <v>100</v>
      </c>
      <c r="X19" s="910"/>
      <c r="Y19" s="4505"/>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503"/>
      <c r="Q20" s="1507"/>
      <c r="R20" s="3739"/>
      <c r="S20" s="3158"/>
      <c r="T20" s="3739"/>
      <c r="U20" s="3158"/>
      <c r="V20" s="3739"/>
      <c r="W20" s="3158"/>
      <c r="X20" s="910"/>
      <c r="Y20" s="4505"/>
      <c r="Z20" s="908"/>
      <c r="AA20" s="908">
        <v>1</v>
      </c>
      <c r="AB20" s="908">
        <v>1</v>
      </c>
      <c r="AC20" s="908">
        <v>1</v>
      </c>
    </row>
    <row r="21" spans="1:29" ht="27.6">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503"/>
      <c r="Q21" s="1507" t="str">
        <f>B21</f>
        <v>基础设施水平</v>
      </c>
      <c r="R21" s="3739" t="s">
        <v>13</v>
      </c>
      <c r="S21" s="3158">
        <f>F21</f>
        <v>100</v>
      </c>
      <c r="T21" s="3739" t="s">
        <v>13</v>
      </c>
      <c r="U21" s="3158">
        <f>H21</f>
        <v>100</v>
      </c>
      <c r="V21" s="3739" t="s">
        <v>13</v>
      </c>
      <c r="W21" s="3158">
        <f>J21</f>
        <v>100</v>
      </c>
      <c r="X21" s="910"/>
      <c r="Y21" s="4505"/>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503"/>
      <c r="Q22" s="1507"/>
      <c r="R22" s="3739"/>
      <c r="S22" s="3158"/>
      <c r="T22" s="3739"/>
      <c r="U22" s="3158"/>
      <c r="V22" s="3739"/>
      <c r="W22" s="3158"/>
      <c r="X22" s="910"/>
      <c r="Y22" s="4505"/>
      <c r="Z22" s="908"/>
      <c r="AA22" s="908">
        <v>1</v>
      </c>
      <c r="AB22" s="908">
        <v>1</v>
      </c>
      <c r="AC22" s="908">
        <v>1</v>
      </c>
    </row>
    <row r="23" spans="1:29" ht="55.2">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503"/>
      <c r="Q23" s="1507" t="str">
        <f>B23</f>
        <v>自然及人文环境</v>
      </c>
      <c r="R23" s="3739" t="s">
        <v>13</v>
      </c>
      <c r="S23" s="3158">
        <f>F23</f>
        <v>100</v>
      </c>
      <c r="T23" s="3739" t="s">
        <v>13</v>
      </c>
      <c r="U23" s="3158">
        <f>H23</f>
        <v>100</v>
      </c>
      <c r="V23" s="3739" t="s">
        <v>13</v>
      </c>
      <c r="W23" s="3158">
        <f>J23</f>
        <v>100</v>
      </c>
      <c r="X23" s="910"/>
      <c r="Y23" s="4505"/>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503"/>
      <c r="Q24" s="1507"/>
      <c r="R24" s="3739"/>
      <c r="S24" s="3158"/>
      <c r="T24" s="3739"/>
      <c r="U24" s="3158"/>
      <c r="V24" s="3739"/>
      <c r="W24" s="3158"/>
      <c r="X24" s="910"/>
      <c r="Y24" s="4505"/>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503"/>
      <c r="Q25" s="1507" t="str">
        <f t="shared" ref="Q25:Q46" si="11">B25</f>
        <v>临街状况</v>
      </c>
      <c r="R25" s="3739" t="s">
        <v>13</v>
      </c>
      <c r="S25" s="3158">
        <f>F25</f>
        <v>100</v>
      </c>
      <c r="T25" s="3739" t="s">
        <v>13</v>
      </c>
      <c r="U25" s="3158">
        <f>H25</f>
        <v>100</v>
      </c>
      <c r="V25" s="3739" t="s">
        <v>13</v>
      </c>
      <c r="W25" s="3158">
        <f>J25</f>
        <v>100</v>
      </c>
      <c r="X25" s="910"/>
      <c r="Y25" s="4505"/>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503"/>
      <c r="Q26" s="1507" t="str">
        <f t="shared" si="11"/>
        <v>平面位置/可视性</v>
      </c>
      <c r="R26" s="3739" t="s">
        <v>13</v>
      </c>
      <c r="S26" s="3158">
        <f>F26</f>
        <v>100</v>
      </c>
      <c r="T26" s="3739" t="s">
        <v>13</v>
      </c>
      <c r="U26" s="3158">
        <f>H26</f>
        <v>100</v>
      </c>
      <c r="V26" s="3739" t="s">
        <v>13</v>
      </c>
      <c r="W26" s="3158">
        <f>J26</f>
        <v>100</v>
      </c>
      <c r="X26" s="910"/>
      <c r="Y26" s="4505"/>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503"/>
      <c r="Q27" s="1698" t="str">
        <f t="shared" si="11"/>
        <v>人流量</v>
      </c>
      <c r="R27" s="3637" t="s">
        <v>13</v>
      </c>
      <c r="S27" s="3157">
        <f>F27</f>
        <v>100</v>
      </c>
      <c r="T27" s="3637" t="s">
        <v>13</v>
      </c>
      <c r="U27" s="3157">
        <f>H27</f>
        <v>100</v>
      </c>
      <c r="V27" s="3637" t="s">
        <v>13</v>
      </c>
      <c r="W27" s="3157">
        <f>J27</f>
        <v>100</v>
      </c>
      <c r="X27" s="482"/>
      <c r="Y27" s="4505"/>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503"/>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505"/>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503"/>
      <c r="Q29" s="1507">
        <f t="shared" si="11"/>
        <v>111</v>
      </c>
      <c r="R29" s="3739" t="s">
        <v>13</v>
      </c>
      <c r="S29" s="3158">
        <f t="shared" si="12"/>
        <v>100</v>
      </c>
      <c r="T29" s="3739" t="s">
        <v>13</v>
      </c>
      <c r="U29" s="3158">
        <f t="shared" si="13"/>
        <v>100</v>
      </c>
      <c r="V29" s="3739" t="s">
        <v>13</v>
      </c>
      <c r="W29" s="3158">
        <f t="shared" si="14"/>
        <v>100</v>
      </c>
      <c r="X29" s="910"/>
      <c r="Y29" s="4505"/>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503"/>
      <c r="Q30" s="1507">
        <f t="shared" si="11"/>
        <v>111</v>
      </c>
      <c r="R30" s="3739" t="s">
        <v>13</v>
      </c>
      <c r="S30" s="3158">
        <f t="shared" si="12"/>
        <v>100</v>
      </c>
      <c r="T30" s="3739" t="s">
        <v>13</v>
      </c>
      <c r="U30" s="3158">
        <f t="shared" si="13"/>
        <v>100</v>
      </c>
      <c r="V30" s="3739" t="s">
        <v>13</v>
      </c>
      <c r="W30" s="3158">
        <f t="shared" si="14"/>
        <v>100</v>
      </c>
      <c r="X30" s="910"/>
      <c r="Y30" s="4505"/>
      <c r="Z30" s="908">
        <f t="shared" si="15"/>
        <v>111</v>
      </c>
      <c r="AA30" s="908">
        <f t="shared" si="3"/>
        <v>1</v>
      </c>
      <c r="AB30" s="908">
        <f t="shared" si="4"/>
        <v>1</v>
      </c>
      <c r="AC30" s="908">
        <f t="shared" si="5"/>
        <v>1</v>
      </c>
    </row>
    <row r="31" spans="1:29" ht="15.6"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503"/>
      <c r="Q31" s="1507">
        <f t="shared" si="11"/>
        <v>111</v>
      </c>
      <c r="R31" s="3739" t="s">
        <v>13</v>
      </c>
      <c r="S31" s="3158">
        <f t="shared" si="12"/>
        <v>100</v>
      </c>
      <c r="T31" s="3739" t="s">
        <v>13</v>
      </c>
      <c r="U31" s="3158">
        <f t="shared" si="13"/>
        <v>100</v>
      </c>
      <c r="V31" s="3739" t="s">
        <v>13</v>
      </c>
      <c r="W31" s="3158">
        <f t="shared" si="14"/>
        <v>100</v>
      </c>
      <c r="X31" s="910"/>
      <c r="Y31" s="4505"/>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506" t="s">
        <v>1606</v>
      </c>
      <c r="Q32" s="1507" t="str">
        <f t="shared" si="11"/>
        <v>商业类型</v>
      </c>
      <c r="R32" s="3739" t="s">
        <v>13</v>
      </c>
      <c r="S32" s="3158">
        <f t="shared" si="12"/>
        <v>100</v>
      </c>
      <c r="T32" s="3739" t="s">
        <v>13</v>
      </c>
      <c r="U32" s="3158">
        <f t="shared" si="13"/>
        <v>100</v>
      </c>
      <c r="V32" s="3739" t="s">
        <v>13</v>
      </c>
      <c r="W32" s="3158">
        <f t="shared" si="14"/>
        <v>100</v>
      </c>
      <c r="X32" s="910"/>
      <c r="Y32" s="4509"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507"/>
      <c r="Q33" s="2865" t="str">
        <f t="shared" si="11"/>
        <v>项目建筑规模</v>
      </c>
      <c r="R33" s="3740" t="s">
        <v>13</v>
      </c>
      <c r="S33" s="3159" t="e">
        <f t="shared" si="12"/>
        <v>#N/A</v>
      </c>
      <c r="T33" s="3740" t="s">
        <v>13</v>
      </c>
      <c r="U33" s="3159" t="e">
        <f t="shared" si="13"/>
        <v>#N/A</v>
      </c>
      <c r="V33" s="3740" t="s">
        <v>13</v>
      </c>
      <c r="W33" s="3159" t="e">
        <f t="shared" si="14"/>
        <v>#N/A</v>
      </c>
      <c r="X33" s="484"/>
      <c r="Y33" s="4509"/>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507"/>
      <c r="Q34" s="1507" t="str">
        <f t="shared" si="11"/>
        <v>建筑结构</v>
      </c>
      <c r="R34" s="3739" t="s">
        <v>13</v>
      </c>
      <c r="S34" s="3158">
        <f t="shared" si="12"/>
        <v>100</v>
      </c>
      <c r="T34" s="3739" t="s">
        <v>13</v>
      </c>
      <c r="U34" s="3158">
        <f t="shared" si="13"/>
        <v>100</v>
      </c>
      <c r="V34" s="3739" t="s">
        <v>13</v>
      </c>
      <c r="W34" s="3158">
        <f t="shared" si="14"/>
        <v>100</v>
      </c>
      <c r="X34" s="910"/>
      <c r="Y34" s="4509"/>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507"/>
      <c r="Q35" s="1507" t="str">
        <f t="shared" si="11"/>
        <v>公共部分装修</v>
      </c>
      <c r="R35" s="3739" t="s">
        <v>13</v>
      </c>
      <c r="S35" s="3158">
        <f t="shared" si="12"/>
        <v>100</v>
      </c>
      <c r="T35" s="3739" t="s">
        <v>13</v>
      </c>
      <c r="U35" s="3158">
        <f t="shared" si="13"/>
        <v>100</v>
      </c>
      <c r="V35" s="3739" t="s">
        <v>13</v>
      </c>
      <c r="W35" s="3158">
        <f t="shared" si="14"/>
        <v>100</v>
      </c>
      <c r="X35" s="910"/>
      <c r="Y35" s="4509"/>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507"/>
      <c r="Q36" s="1507" t="str">
        <f t="shared" si="11"/>
        <v>成新度</v>
      </c>
      <c r="R36" s="3739" t="s">
        <v>13</v>
      </c>
      <c r="S36" s="3158" t="e">
        <f t="shared" si="12"/>
        <v>#N/A</v>
      </c>
      <c r="T36" s="3739" t="s">
        <v>13</v>
      </c>
      <c r="U36" s="3158" t="e">
        <f t="shared" si="13"/>
        <v>#N/A</v>
      </c>
      <c r="V36" s="3739" t="s">
        <v>13</v>
      </c>
      <c r="W36" s="3158" t="e">
        <f t="shared" si="14"/>
        <v>#N/A</v>
      </c>
      <c r="X36" s="910"/>
      <c r="Y36" s="4509"/>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507"/>
      <c r="Q37" s="1698" t="str">
        <f t="shared" si="11"/>
        <v>市政基础设施</v>
      </c>
      <c r="R37" s="3637" t="s">
        <v>13</v>
      </c>
      <c r="S37" s="3157">
        <f t="shared" si="12"/>
        <v>100</v>
      </c>
      <c r="T37" s="3637" t="s">
        <v>13</v>
      </c>
      <c r="U37" s="3157">
        <f t="shared" si="13"/>
        <v>100</v>
      </c>
      <c r="V37" s="3637" t="s">
        <v>13</v>
      </c>
      <c r="W37" s="3157">
        <f t="shared" si="14"/>
        <v>100</v>
      </c>
      <c r="X37" s="482"/>
      <c r="Y37" s="4509"/>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507" t="s">
        <v>1606</v>
      </c>
      <c r="Q38" s="1507" t="str">
        <f t="shared" si="11"/>
        <v>业态</v>
      </c>
      <c r="R38" s="3739" t="s">
        <v>13</v>
      </c>
      <c r="S38" s="3158">
        <f t="shared" si="12"/>
        <v>100</v>
      </c>
      <c r="T38" s="3739" t="s">
        <v>13</v>
      </c>
      <c r="U38" s="3158">
        <f t="shared" si="13"/>
        <v>100</v>
      </c>
      <c r="V38" s="3739" t="s">
        <v>13</v>
      </c>
      <c r="W38" s="3158">
        <f t="shared" si="14"/>
        <v>100</v>
      </c>
      <c r="X38" s="910"/>
      <c r="Y38" s="4509"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507"/>
      <c r="Q39" s="1507" t="str">
        <f t="shared" si="11"/>
        <v>层高</v>
      </c>
      <c r="R39" s="3739" t="s">
        <v>13</v>
      </c>
      <c r="S39" s="3158">
        <f t="shared" si="12"/>
        <v>100</v>
      </c>
      <c r="T39" s="3739" t="s">
        <v>13</v>
      </c>
      <c r="U39" s="3158">
        <f t="shared" si="13"/>
        <v>100</v>
      </c>
      <c r="V39" s="3739" t="s">
        <v>13</v>
      </c>
      <c r="W39" s="3158">
        <f t="shared" si="14"/>
        <v>100</v>
      </c>
      <c r="X39" s="910"/>
      <c r="Y39" s="4509"/>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507"/>
      <c r="Q40" s="1507" t="str">
        <f t="shared" si="11"/>
        <v>单套建筑面积</v>
      </c>
      <c r="R40" s="3739" t="s">
        <v>13</v>
      </c>
      <c r="S40" s="3158">
        <f t="shared" si="12"/>
        <v>100</v>
      </c>
      <c r="T40" s="3739" t="s">
        <v>13</v>
      </c>
      <c r="U40" s="3158">
        <f t="shared" si="13"/>
        <v>100</v>
      </c>
      <c r="V40" s="3739" t="s">
        <v>13</v>
      </c>
      <c r="W40" s="3158">
        <f t="shared" si="14"/>
        <v>100</v>
      </c>
      <c r="X40" s="910"/>
      <c r="Y40" s="4509"/>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507"/>
      <c r="Q41" s="2865" t="str">
        <f t="shared" si="11"/>
        <v>进深比</v>
      </c>
      <c r="R41" s="3740" t="s">
        <v>13</v>
      </c>
      <c r="S41" s="3159">
        <f t="shared" si="12"/>
        <v>100</v>
      </c>
      <c r="T41" s="3740" t="s">
        <v>13</v>
      </c>
      <c r="U41" s="3159">
        <f t="shared" si="13"/>
        <v>100</v>
      </c>
      <c r="V41" s="3740" t="s">
        <v>13</v>
      </c>
      <c r="W41" s="3159">
        <f t="shared" si="14"/>
        <v>100</v>
      </c>
      <c r="X41" s="484"/>
      <c r="Y41" s="4509"/>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507"/>
      <c r="Q42" s="1507" t="str">
        <f t="shared" si="11"/>
        <v>内部装修</v>
      </c>
      <c r="R42" s="3739" t="s">
        <v>13</v>
      </c>
      <c r="S42" s="3158">
        <f t="shared" si="12"/>
        <v>100</v>
      </c>
      <c r="T42" s="3739" t="s">
        <v>13</v>
      </c>
      <c r="U42" s="3158">
        <f t="shared" si="13"/>
        <v>100</v>
      </c>
      <c r="V42" s="3739" t="s">
        <v>13</v>
      </c>
      <c r="W42" s="3158">
        <f t="shared" si="14"/>
        <v>100</v>
      </c>
      <c r="X42" s="910"/>
      <c r="Y42" s="4509"/>
      <c r="Z42" s="908" t="str">
        <f t="shared" si="15"/>
        <v>内部装修</v>
      </c>
      <c r="AA42" s="908">
        <f t="shared" si="3"/>
        <v>1</v>
      </c>
      <c r="AB42" s="908">
        <f t="shared" si="4"/>
        <v>1</v>
      </c>
      <c r="AC42" s="908">
        <f t="shared" si="5"/>
        <v>1</v>
      </c>
    </row>
    <row r="43" spans="1:29" ht="28.8">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507"/>
      <c r="Q43" s="1507" t="str">
        <f t="shared" si="11"/>
        <v>内部装修维护情况</v>
      </c>
      <c r="R43" s="3739" t="s">
        <v>13</v>
      </c>
      <c r="S43" s="3158">
        <f t="shared" si="12"/>
        <v>100</v>
      </c>
      <c r="T43" s="3739" t="s">
        <v>13</v>
      </c>
      <c r="U43" s="3158">
        <f t="shared" si="13"/>
        <v>100</v>
      </c>
      <c r="V43" s="3739" t="s">
        <v>13</v>
      </c>
      <c r="W43" s="3158">
        <f t="shared" si="14"/>
        <v>100</v>
      </c>
      <c r="X43" s="910"/>
      <c r="Y43" s="4509"/>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507"/>
      <c r="Q44" s="1698">
        <f t="shared" si="11"/>
        <v>111</v>
      </c>
      <c r="R44" s="3637" t="s">
        <v>13</v>
      </c>
      <c r="S44" s="3157">
        <f t="shared" si="12"/>
        <v>100</v>
      </c>
      <c r="T44" s="3637" t="s">
        <v>13</v>
      </c>
      <c r="U44" s="3157">
        <f t="shared" si="13"/>
        <v>100</v>
      </c>
      <c r="V44" s="3637" t="s">
        <v>13</v>
      </c>
      <c r="W44" s="3157">
        <f t="shared" si="14"/>
        <v>100</v>
      </c>
      <c r="X44" s="482"/>
      <c r="Y44" s="4509"/>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507"/>
      <c r="Q45" s="1507">
        <f t="shared" si="11"/>
        <v>111</v>
      </c>
      <c r="R45" s="3739" t="s">
        <v>13</v>
      </c>
      <c r="S45" s="3158">
        <f t="shared" si="12"/>
        <v>100</v>
      </c>
      <c r="T45" s="3739" t="s">
        <v>13</v>
      </c>
      <c r="U45" s="3158">
        <f t="shared" si="13"/>
        <v>100</v>
      </c>
      <c r="V45" s="3739" t="s">
        <v>13</v>
      </c>
      <c r="W45" s="3158">
        <f t="shared" si="14"/>
        <v>100</v>
      </c>
      <c r="X45" s="910"/>
      <c r="Y45" s="4509"/>
      <c r="Z45" s="908">
        <f t="shared" si="15"/>
        <v>111</v>
      </c>
      <c r="AA45" s="908">
        <f t="shared" si="3"/>
        <v>1</v>
      </c>
      <c r="AB45" s="908">
        <f t="shared" si="4"/>
        <v>1</v>
      </c>
      <c r="AC45" s="908">
        <f t="shared" si="5"/>
        <v>1</v>
      </c>
    </row>
    <row r="46" spans="1:29" ht="15.6"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508"/>
      <c r="Q46" s="1507">
        <f t="shared" si="11"/>
        <v>111</v>
      </c>
      <c r="R46" s="3739" t="s">
        <v>13</v>
      </c>
      <c r="S46" s="3158">
        <f t="shared" si="12"/>
        <v>100</v>
      </c>
      <c r="T46" s="3739" t="s">
        <v>13</v>
      </c>
      <c r="U46" s="3158">
        <f t="shared" si="13"/>
        <v>100</v>
      </c>
      <c r="V46" s="3739" t="s">
        <v>13</v>
      </c>
      <c r="W46" s="3158">
        <f t="shared" si="14"/>
        <v>100</v>
      </c>
      <c r="X46" s="910"/>
      <c r="Y46" s="4510"/>
      <c r="Z46" s="908">
        <f t="shared" si="15"/>
        <v>111</v>
      </c>
      <c r="AA46" s="908">
        <f t="shared" si="3"/>
        <v>1</v>
      </c>
      <c r="AB46" s="908">
        <f t="shared" si="4"/>
        <v>1</v>
      </c>
      <c r="AC46" s="908">
        <f t="shared" si="5"/>
        <v>1</v>
      </c>
    </row>
    <row r="47" spans="1:29" ht="14.4">
      <c r="A47" s="286" t="s">
        <v>1618</v>
      </c>
      <c r="B47" s="287"/>
      <c r="C47" s="765" t="s">
        <v>0</v>
      </c>
      <c r="D47" s="288"/>
      <c r="E47" s="3206"/>
      <c r="F47" s="3154"/>
      <c r="G47" s="3207"/>
      <c r="H47" s="3155"/>
      <c r="I47" s="3206"/>
      <c r="J47" s="3155"/>
      <c r="K47" s="2863"/>
      <c r="L47" s="1982"/>
      <c r="M47" s="1975"/>
      <c r="N47" s="1975"/>
      <c r="O47" s="1975"/>
      <c r="P47" s="4511" t="str">
        <f>A47</f>
        <v>成交单价（元/平方米）</v>
      </c>
      <c r="Q47" s="4511"/>
      <c r="R47" s="4512">
        <f>E47</f>
        <v>0</v>
      </c>
      <c r="S47" s="4512"/>
      <c r="T47" s="4512">
        <f>G47</f>
        <v>0</v>
      </c>
      <c r="U47" s="4512"/>
      <c r="V47" s="4512">
        <f>I47</f>
        <v>0</v>
      </c>
      <c r="W47" s="4512"/>
      <c r="X47" s="265"/>
      <c r="Y47" s="486"/>
      <c r="Z47" s="265"/>
      <c r="AA47" s="265"/>
      <c r="AB47" s="265"/>
      <c r="AC47" s="265"/>
    </row>
    <row r="48" spans="1:29" ht="1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511" t="str">
        <f>A48</f>
        <v>比较价值（元/平方米）</v>
      </c>
      <c r="Q48" s="4511"/>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265"/>
      <c r="Y48" s="265"/>
      <c r="Z48" s="265"/>
      <c r="AA48" s="265"/>
      <c r="AB48" s="265"/>
      <c r="AC48" s="265"/>
    </row>
    <row r="49" spans="1:29" ht="15" thickBot="1">
      <c r="A49" s="291" t="s">
        <v>1704</v>
      </c>
      <c r="B49" s="292"/>
      <c r="C49" s="3749" t="e">
        <f>R49</f>
        <v>#DIV/0!</v>
      </c>
      <c r="D49" s="241"/>
      <c r="E49" s="241"/>
      <c r="F49" s="241"/>
      <c r="G49" s="241"/>
      <c r="H49" s="241"/>
      <c r="I49" s="241"/>
      <c r="J49" s="241"/>
      <c r="K49" s="487"/>
      <c r="L49" s="1982"/>
      <c r="M49" s="1975"/>
      <c r="N49" s="1975"/>
      <c r="O49" s="1975"/>
      <c r="P49" s="4571" t="str">
        <f>A49</f>
        <v>估价对象XX用房的比较价值（楼面单价，元/平方米）</v>
      </c>
      <c r="Q49" s="4572"/>
      <c r="R49" s="4573" t="e">
        <f>IF(F1="售价",ROUND(IF(D48="简单平均",AVERAGE(R48:V48),R48*F48+T48*H48+V48*J48),0),ROUND(IF(D48="简单平均",AVERAGE(R48:V48),R48*F48+T48*H48+V48*J48),1))</f>
        <v>#DIV/0!</v>
      </c>
      <c r="S49" s="4573"/>
      <c r="T49" s="4573"/>
      <c r="U49" s="4573"/>
      <c r="V49" s="4573"/>
      <c r="W49" s="4573"/>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2.2"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4.4">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4.4">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ht="14.4">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4"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9.4"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4"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4"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4"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4"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4"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4"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ht="14.4">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4"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4"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4"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4"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4"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4"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4"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4"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ht="14.4">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4"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4"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4"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4"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4"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4"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4"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4"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8" customWidth="1"/>
    <col min="17" max="17" width="19.44140625" style="3188" customWidth="1"/>
    <col min="18" max="18" width="6.109375" style="3188" customWidth="1"/>
    <col min="19" max="19" width="4.33203125" style="3188" customWidth="1"/>
    <col min="20" max="20" width="6.109375" style="3188" customWidth="1"/>
    <col min="21" max="21" width="4.33203125" style="3188" customWidth="1"/>
    <col min="22" max="22" width="6.109375" style="3188" customWidth="1"/>
    <col min="23" max="23" width="4.33203125" style="3188"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110.59</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4.4">
      <c r="A4" s="235" t="s">
        <v>1679</v>
      </c>
      <c r="B4" s="236"/>
      <c r="C4" s="4479" t="s">
        <v>1680</v>
      </c>
      <c r="D4" s="4480"/>
      <c r="E4" s="4481" t="s">
        <v>1681</v>
      </c>
      <c r="F4" s="4482"/>
      <c r="G4" s="4479" t="s">
        <v>1682</v>
      </c>
      <c r="H4" s="4480"/>
      <c r="I4" s="4479" t="s">
        <v>1683</v>
      </c>
      <c r="J4" s="4480"/>
      <c r="K4" s="393" t="s">
        <v>1684</v>
      </c>
      <c r="L4" s="592"/>
      <c r="M4" s="593"/>
      <c r="N4" s="593"/>
      <c r="O4" s="593"/>
      <c r="P4" s="4564" t="s">
        <v>1685</v>
      </c>
      <c r="Q4" s="4565"/>
      <c r="R4" s="4550" t="s">
        <v>1681</v>
      </c>
      <c r="S4" s="4551"/>
      <c r="T4" s="4550" t="s">
        <v>1682</v>
      </c>
      <c r="U4" s="4551"/>
      <c r="V4" s="4492" t="s">
        <v>1683</v>
      </c>
      <c r="W4" s="4492"/>
      <c r="X4" s="910"/>
      <c r="Y4" s="4569" t="s">
        <v>1685</v>
      </c>
      <c r="Z4" s="4570"/>
      <c r="AA4" s="4549" t="s">
        <v>1681</v>
      </c>
      <c r="AB4" s="4460" t="s">
        <v>1682</v>
      </c>
      <c r="AC4" s="4549" t="s">
        <v>1683</v>
      </c>
    </row>
    <row r="5" spans="1:29">
      <c r="A5" s="238"/>
      <c r="B5" s="239"/>
      <c r="C5" s="4577" t="s">
        <v>1583</v>
      </c>
      <c r="D5" s="4469"/>
      <c r="E5" s="4575" t="s">
        <v>1584</v>
      </c>
      <c r="F5" s="4576"/>
      <c r="G5" s="4577" t="s">
        <v>1585</v>
      </c>
      <c r="H5" s="4469"/>
      <c r="I5" s="4577" t="s">
        <v>1586</v>
      </c>
      <c r="J5" s="4469"/>
      <c r="K5" s="393"/>
      <c r="L5" s="592"/>
      <c r="M5" s="593"/>
      <c r="N5" s="593"/>
      <c r="O5" s="593"/>
      <c r="P5" s="4566"/>
      <c r="Q5" s="4486"/>
      <c r="R5" s="4466"/>
      <c r="S5" s="4467"/>
      <c r="T5" s="4466"/>
      <c r="U5" s="4467"/>
      <c r="V5" s="4492"/>
      <c r="W5" s="4492"/>
      <c r="X5" s="910"/>
      <c r="Y5" s="4497"/>
      <c r="Z5" s="4498"/>
      <c r="AA5" s="4460"/>
      <c r="AB5" s="4460"/>
      <c r="AC5" s="4460"/>
    </row>
    <row r="6" spans="1:29" ht="15" thickBot="1">
      <c r="A6" s="240"/>
      <c r="B6" s="241"/>
      <c r="C6" s="4470" t="s">
        <v>1587</v>
      </c>
      <c r="D6" s="4471"/>
      <c r="E6" s="4472" t="s">
        <v>1587</v>
      </c>
      <c r="F6" s="4473"/>
      <c r="G6" s="4470" t="s">
        <v>1587</v>
      </c>
      <c r="H6" s="4471"/>
      <c r="I6" s="4470" t="s">
        <v>1587</v>
      </c>
      <c r="J6" s="4471"/>
      <c r="K6" s="393" t="s">
        <v>1588</v>
      </c>
      <c r="L6" s="592"/>
      <c r="M6" s="593"/>
      <c r="N6" s="593"/>
      <c r="O6" s="593"/>
      <c r="P6" s="4567"/>
      <c r="Q6" s="4488"/>
      <c r="R6" s="4466"/>
      <c r="S6" s="4467"/>
      <c r="T6" s="4489"/>
      <c r="U6" s="4490"/>
      <c r="V6" s="4492"/>
      <c r="W6" s="4492"/>
      <c r="X6" s="910"/>
      <c r="Y6" s="4499"/>
      <c r="Z6" s="4500"/>
      <c r="AA6" s="4461"/>
      <c r="AB6" s="4461"/>
      <c r="AC6" s="4461"/>
    </row>
    <row r="7" spans="1:29" s="46" customFormat="1" ht="1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68" t="s">
        <v>1590</v>
      </c>
      <c r="Q7" s="4501"/>
      <c r="R7" s="3763" t="s">
        <v>13</v>
      </c>
      <c r="S7" s="3543">
        <f t="shared" ref="S7:S15" si="0">F7</f>
        <v>0</v>
      </c>
      <c r="T7" s="3763" t="s">
        <v>13</v>
      </c>
      <c r="U7" s="3543">
        <f t="shared" ref="U7:U15" si="1">H7</f>
        <v>0</v>
      </c>
      <c r="V7" s="3763" t="s">
        <v>13</v>
      </c>
      <c r="W7" s="3543">
        <f t="shared" ref="W7:W15" si="2">J7</f>
        <v>0</v>
      </c>
      <c r="X7" s="482"/>
      <c r="Y7" s="4462" t="s">
        <v>1590</v>
      </c>
      <c r="Z7" s="4463"/>
      <c r="AA7" s="28" t="e">
        <f>D7/F7</f>
        <v>#DIV/0!</v>
      </c>
      <c r="AB7" s="28" t="e">
        <f>D7/H7</f>
        <v>#DIV/0!</v>
      </c>
      <c r="AC7" s="28" t="e">
        <f>D7/J7</f>
        <v>#DIV/0!</v>
      </c>
    </row>
    <row r="8" spans="1:29" s="46" customFormat="1" ht="1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68" t="s">
        <v>1593</v>
      </c>
      <c r="Q8" s="4494"/>
      <c r="R8" s="3763" t="s">
        <v>13</v>
      </c>
      <c r="S8" s="3543">
        <f t="shared" si="0"/>
        <v>100</v>
      </c>
      <c r="T8" s="3763" t="s">
        <v>13</v>
      </c>
      <c r="U8" s="3543">
        <f t="shared" si="1"/>
        <v>100</v>
      </c>
      <c r="V8" s="3763" t="s">
        <v>13</v>
      </c>
      <c r="W8" s="3543">
        <f t="shared" si="2"/>
        <v>100</v>
      </c>
      <c r="X8" s="482"/>
      <c r="Y8" s="4462" t="s">
        <v>1593</v>
      </c>
      <c r="Z8" s="4463"/>
      <c r="AA8" s="28">
        <f t="shared" ref="AA8:AA40" si="3">D8/F8</f>
        <v>1</v>
      </c>
      <c r="AB8" s="28">
        <f t="shared" ref="AB8:AB40" si="4">D8/H8</f>
        <v>1</v>
      </c>
      <c r="AC8" s="28">
        <f t="shared" ref="AC8:AC40" si="5">D8/J8</f>
        <v>1</v>
      </c>
    </row>
    <row r="9" spans="1:29" s="46" customFormat="1" ht="14.4">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511" t="s">
        <v>1596</v>
      </c>
      <c r="Q9" s="1698" t="str">
        <f t="shared" ref="Q9:Q15" si="6">B9</f>
        <v>用途</v>
      </c>
      <c r="R9" s="3763" t="s">
        <v>13</v>
      </c>
      <c r="S9" s="3543">
        <f t="shared" si="0"/>
        <v>100</v>
      </c>
      <c r="T9" s="3763" t="s">
        <v>13</v>
      </c>
      <c r="U9" s="3543">
        <f t="shared" si="1"/>
        <v>100</v>
      </c>
      <c r="V9" s="3763" t="s">
        <v>13</v>
      </c>
      <c r="W9" s="3543">
        <f t="shared" si="2"/>
        <v>100</v>
      </c>
      <c r="X9" s="482"/>
      <c r="Y9" s="4475" t="s">
        <v>1597</v>
      </c>
      <c r="Z9" s="28" t="str">
        <f t="shared" ref="Z9:Z15" si="7">Q9</f>
        <v>用途</v>
      </c>
      <c r="AA9" s="28">
        <f t="shared" si="3"/>
        <v>1</v>
      </c>
      <c r="AB9" s="28">
        <f t="shared" si="4"/>
        <v>1</v>
      </c>
      <c r="AC9" s="28">
        <f t="shared" si="5"/>
        <v>1</v>
      </c>
    </row>
    <row r="10" spans="1:29" s="253" customFormat="1" ht="28.8">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1"/>
      <c r="Q10" s="1698" t="str">
        <f t="shared" si="6"/>
        <v>土地使用年限（年）</v>
      </c>
      <c r="R10" s="3763" t="s">
        <v>13</v>
      </c>
      <c r="S10" s="3543">
        <f t="shared" si="0"/>
        <v>100</v>
      </c>
      <c r="T10" s="3763" t="s">
        <v>13</v>
      </c>
      <c r="U10" s="3543">
        <f t="shared" si="1"/>
        <v>100</v>
      </c>
      <c r="V10" s="3763" t="s">
        <v>13</v>
      </c>
      <c r="W10" s="3543">
        <f t="shared" si="2"/>
        <v>100</v>
      </c>
      <c r="X10" s="482"/>
      <c r="Y10" s="4475"/>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1"/>
      <c r="Q11" s="1698" t="str">
        <f t="shared" si="6"/>
        <v>容积率</v>
      </c>
      <c r="R11" s="3763" t="s">
        <v>13</v>
      </c>
      <c r="S11" s="3543">
        <f t="shared" si="0"/>
        <v>100</v>
      </c>
      <c r="T11" s="3763" t="s">
        <v>13</v>
      </c>
      <c r="U11" s="3543">
        <f t="shared" si="1"/>
        <v>100</v>
      </c>
      <c r="V11" s="3763" t="s">
        <v>13</v>
      </c>
      <c r="W11" s="3543">
        <f t="shared" si="2"/>
        <v>100</v>
      </c>
      <c r="X11" s="482"/>
      <c r="Y11" s="4475"/>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1"/>
      <c r="Q12" s="1698">
        <f t="shared" si="6"/>
        <v>111</v>
      </c>
      <c r="R12" s="3763" t="s">
        <v>13</v>
      </c>
      <c r="S12" s="3543">
        <f t="shared" si="0"/>
        <v>100</v>
      </c>
      <c r="T12" s="3763" t="s">
        <v>13</v>
      </c>
      <c r="U12" s="3543">
        <f t="shared" si="1"/>
        <v>100</v>
      </c>
      <c r="V12" s="3763" t="s">
        <v>13</v>
      </c>
      <c r="W12" s="3543">
        <f t="shared" si="2"/>
        <v>100</v>
      </c>
      <c r="X12" s="482"/>
      <c r="Y12" s="4475"/>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511"/>
      <c r="Q13" s="1698">
        <f t="shared" si="6"/>
        <v>111</v>
      </c>
      <c r="R13" s="3763" t="s">
        <v>13</v>
      </c>
      <c r="S13" s="3543">
        <f t="shared" si="0"/>
        <v>100</v>
      </c>
      <c r="T13" s="3763" t="s">
        <v>13</v>
      </c>
      <c r="U13" s="3543">
        <f t="shared" si="1"/>
        <v>100</v>
      </c>
      <c r="V13" s="3763" t="s">
        <v>13</v>
      </c>
      <c r="W13" s="3543">
        <f t="shared" si="2"/>
        <v>100</v>
      </c>
      <c r="X13" s="482"/>
      <c r="Y13" s="4475"/>
      <c r="Z13" s="28">
        <f t="shared" si="7"/>
        <v>111</v>
      </c>
      <c r="AA13" s="28">
        <f t="shared" si="3"/>
        <v>1</v>
      </c>
      <c r="AB13" s="28">
        <f t="shared" si="4"/>
        <v>1</v>
      </c>
      <c r="AC13" s="28">
        <f t="shared" si="5"/>
        <v>1</v>
      </c>
    </row>
    <row r="14" spans="1:29" ht="15.6"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511"/>
      <c r="Q14" s="1698">
        <f t="shared" si="6"/>
        <v>111</v>
      </c>
      <c r="R14" s="3763" t="s">
        <v>13</v>
      </c>
      <c r="S14" s="3543">
        <f t="shared" si="0"/>
        <v>100</v>
      </c>
      <c r="T14" s="3763" t="s">
        <v>13</v>
      </c>
      <c r="U14" s="3543">
        <f t="shared" si="1"/>
        <v>100</v>
      </c>
      <c r="V14" s="3763" t="s">
        <v>13</v>
      </c>
      <c r="W14" s="3543">
        <f t="shared" si="2"/>
        <v>100</v>
      </c>
      <c r="X14" s="482"/>
      <c r="Y14" s="4475"/>
      <c r="Z14" s="28">
        <f t="shared" si="7"/>
        <v>111</v>
      </c>
      <c r="AA14" s="28">
        <f t="shared" si="3"/>
        <v>1</v>
      </c>
      <c r="AB14" s="28">
        <f t="shared" si="4"/>
        <v>1</v>
      </c>
      <c r="AC14" s="28">
        <f t="shared" si="5"/>
        <v>1</v>
      </c>
    </row>
    <row r="15" spans="1:29" ht="69">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78" t="s">
        <v>1601</v>
      </c>
      <c r="Q15" s="1507" t="str">
        <f t="shared" si="6"/>
        <v>产业集聚程度</v>
      </c>
      <c r="R15" s="3764" t="s">
        <v>13</v>
      </c>
      <c r="S15" s="3766">
        <f t="shared" si="0"/>
        <v>100</v>
      </c>
      <c r="T15" s="3764" t="s">
        <v>13</v>
      </c>
      <c r="U15" s="3766">
        <f t="shared" si="1"/>
        <v>100</v>
      </c>
      <c r="V15" s="3764" t="s">
        <v>13</v>
      </c>
      <c r="W15" s="3766">
        <f t="shared" si="2"/>
        <v>100</v>
      </c>
      <c r="X15" s="910"/>
      <c r="Y15" s="4504"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79"/>
      <c r="Q16" s="1507"/>
      <c r="R16" s="3764"/>
      <c r="S16" s="3766"/>
      <c r="T16" s="3764"/>
      <c r="U16" s="3766"/>
      <c r="V16" s="3764"/>
      <c r="W16" s="3766"/>
      <c r="X16" s="910"/>
      <c r="Y16" s="4505"/>
      <c r="Z16" s="908"/>
      <c r="AA16" s="908">
        <v>1</v>
      </c>
      <c r="AB16" s="908">
        <v>1</v>
      </c>
      <c r="AC16" s="908">
        <v>1</v>
      </c>
    </row>
    <row r="17" spans="1:29" ht="96.6">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79"/>
      <c r="Q17" s="1507" t="str">
        <f>B17</f>
        <v>交通便捷度</v>
      </c>
      <c r="R17" s="3764" t="s">
        <v>13</v>
      </c>
      <c r="S17" s="3766">
        <f>F17</f>
        <v>100</v>
      </c>
      <c r="T17" s="3764" t="s">
        <v>13</v>
      </c>
      <c r="U17" s="3766">
        <f>H17</f>
        <v>100</v>
      </c>
      <c r="V17" s="3764" t="s">
        <v>13</v>
      </c>
      <c r="W17" s="3766">
        <f>J17</f>
        <v>100</v>
      </c>
      <c r="X17" s="910"/>
      <c r="Y17" s="4505"/>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79"/>
      <c r="Q18" s="1507"/>
      <c r="R18" s="3764"/>
      <c r="S18" s="3766"/>
      <c r="T18" s="3764"/>
      <c r="U18" s="3766"/>
      <c r="V18" s="3764"/>
      <c r="W18" s="3766"/>
      <c r="X18" s="910"/>
      <c r="Y18" s="4505"/>
      <c r="Z18" s="908"/>
      <c r="AA18" s="908">
        <v>1</v>
      </c>
      <c r="AB18" s="908">
        <v>1</v>
      </c>
      <c r="AC18" s="908">
        <v>1</v>
      </c>
    </row>
    <row r="19" spans="1:29" ht="41.4">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79"/>
      <c r="Q19" s="1507" t="str">
        <f>B19</f>
        <v>公共配套设施</v>
      </c>
      <c r="R19" s="3764" t="s">
        <v>13</v>
      </c>
      <c r="S19" s="3766">
        <f>F19</f>
        <v>100</v>
      </c>
      <c r="T19" s="3764" t="s">
        <v>13</v>
      </c>
      <c r="U19" s="3766">
        <f>H19</f>
        <v>100</v>
      </c>
      <c r="V19" s="3764" t="s">
        <v>13</v>
      </c>
      <c r="W19" s="3766">
        <f>J19</f>
        <v>100</v>
      </c>
      <c r="X19" s="910"/>
      <c r="Y19" s="4505"/>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79"/>
      <c r="Q20" s="1507"/>
      <c r="R20" s="3764"/>
      <c r="S20" s="3766"/>
      <c r="T20" s="3764"/>
      <c r="U20" s="3766"/>
      <c r="V20" s="3764"/>
      <c r="W20" s="3766"/>
      <c r="X20" s="910"/>
      <c r="Y20" s="4505"/>
      <c r="Z20" s="908"/>
      <c r="AA20" s="908">
        <v>1</v>
      </c>
      <c r="AB20" s="908">
        <v>1</v>
      </c>
      <c r="AC20" s="908">
        <v>1</v>
      </c>
    </row>
    <row r="21" spans="1:29" ht="41.4">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79"/>
      <c r="Q21" s="1507" t="str">
        <f>B21</f>
        <v>基础设施水平</v>
      </c>
      <c r="R21" s="3764" t="s">
        <v>13</v>
      </c>
      <c r="S21" s="3766">
        <f>F21</f>
        <v>100</v>
      </c>
      <c r="T21" s="3764" t="s">
        <v>13</v>
      </c>
      <c r="U21" s="3766">
        <f>H21</f>
        <v>100</v>
      </c>
      <c r="V21" s="3764" t="s">
        <v>13</v>
      </c>
      <c r="W21" s="3766">
        <f>J21</f>
        <v>100</v>
      </c>
      <c r="X21" s="910"/>
      <c r="Y21" s="4505"/>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79"/>
      <c r="Q22" s="1507"/>
      <c r="R22" s="3764"/>
      <c r="S22" s="3766"/>
      <c r="T22" s="3764"/>
      <c r="U22" s="3766"/>
      <c r="V22" s="3764"/>
      <c r="W22" s="3766"/>
      <c r="X22" s="910"/>
      <c r="Y22" s="4505"/>
      <c r="Z22" s="908"/>
      <c r="AA22" s="908">
        <v>1</v>
      </c>
      <c r="AB22" s="908">
        <v>1</v>
      </c>
      <c r="AC22" s="908">
        <v>1</v>
      </c>
    </row>
    <row r="23" spans="1:29" ht="82.8">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79"/>
      <c r="Q23" s="1507" t="str">
        <f>B23</f>
        <v>环境质量</v>
      </c>
      <c r="R23" s="3764" t="s">
        <v>13</v>
      </c>
      <c r="S23" s="3766">
        <f>F23</f>
        <v>100</v>
      </c>
      <c r="T23" s="3764" t="s">
        <v>13</v>
      </c>
      <c r="U23" s="3766">
        <f>H23</f>
        <v>100</v>
      </c>
      <c r="V23" s="3764" t="s">
        <v>13</v>
      </c>
      <c r="W23" s="3766">
        <f>J23</f>
        <v>100</v>
      </c>
      <c r="X23" s="910"/>
      <c r="Y23" s="4505"/>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79"/>
      <c r="Q24" s="1507"/>
      <c r="R24" s="3764"/>
      <c r="S24" s="3766"/>
      <c r="T24" s="3764"/>
      <c r="U24" s="3766"/>
      <c r="V24" s="3764"/>
      <c r="W24" s="3766"/>
      <c r="X24" s="910"/>
      <c r="Y24" s="4505"/>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79"/>
      <c r="Q25" s="1507">
        <f>B25</f>
        <v>111</v>
      </c>
      <c r="R25" s="3764" t="s">
        <v>13</v>
      </c>
      <c r="S25" s="3766">
        <f>F25</f>
        <v>100</v>
      </c>
      <c r="T25" s="3764" t="s">
        <v>13</v>
      </c>
      <c r="U25" s="3766">
        <f>H25</f>
        <v>100</v>
      </c>
      <c r="V25" s="3764" t="s">
        <v>13</v>
      </c>
      <c r="W25" s="3766">
        <f>J25</f>
        <v>100</v>
      </c>
      <c r="X25" s="910"/>
      <c r="Y25" s="4505"/>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79"/>
      <c r="Q26" s="1507">
        <f t="shared" ref="Q26:Q40" si="11">B26</f>
        <v>111</v>
      </c>
      <c r="R26" s="3764" t="s">
        <v>13</v>
      </c>
      <c r="S26" s="3766">
        <f>F26</f>
        <v>100</v>
      </c>
      <c r="T26" s="3764" t="s">
        <v>13</v>
      </c>
      <c r="U26" s="3766">
        <f>H26</f>
        <v>100</v>
      </c>
      <c r="V26" s="3764" t="s">
        <v>13</v>
      </c>
      <c r="W26" s="3766">
        <f>J26</f>
        <v>100</v>
      </c>
      <c r="X26" s="910"/>
      <c r="Y26" s="4505"/>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79"/>
      <c r="Q27" s="1698">
        <f t="shared" si="11"/>
        <v>111</v>
      </c>
      <c r="R27" s="3763" t="s">
        <v>13</v>
      </c>
      <c r="S27" s="3543">
        <f>F27</f>
        <v>100</v>
      </c>
      <c r="T27" s="3763" t="s">
        <v>13</v>
      </c>
      <c r="U27" s="3543">
        <f>H27</f>
        <v>100</v>
      </c>
      <c r="V27" s="3763" t="s">
        <v>13</v>
      </c>
      <c r="W27" s="3543">
        <f>J27</f>
        <v>100</v>
      </c>
      <c r="X27" s="482"/>
      <c r="Y27" s="4505"/>
      <c r="Z27" s="28">
        <f>Q27</f>
        <v>111</v>
      </c>
      <c r="AA27" s="908">
        <f>D27/F27</f>
        <v>1</v>
      </c>
      <c r="AB27" s="908">
        <f>D27/H27</f>
        <v>1</v>
      </c>
      <c r="AC27" s="908">
        <f>D27/J27</f>
        <v>1</v>
      </c>
    </row>
    <row r="28" spans="1:29" ht="15.6"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79"/>
      <c r="Q28" s="1507">
        <f t="shared" si="11"/>
        <v>111</v>
      </c>
      <c r="R28" s="3764" t="s">
        <v>13</v>
      </c>
      <c r="S28" s="3766">
        <f t="shared" ref="S28:S40" si="12">F28</f>
        <v>100</v>
      </c>
      <c r="T28" s="3764" t="s">
        <v>13</v>
      </c>
      <c r="U28" s="3766">
        <f t="shared" ref="U28:U40" si="13">H28</f>
        <v>100</v>
      </c>
      <c r="V28" s="3764" t="s">
        <v>13</v>
      </c>
      <c r="W28" s="3766">
        <f t="shared" ref="W28:W40" si="14">J28</f>
        <v>100</v>
      </c>
      <c r="X28" s="910"/>
      <c r="Y28" s="4505"/>
      <c r="Z28" s="908">
        <f t="shared" ref="Z28:Z40" si="15">Q28</f>
        <v>111</v>
      </c>
      <c r="AA28" s="908">
        <f t="shared" si="3"/>
        <v>1</v>
      </c>
      <c r="AB28" s="908">
        <f t="shared" si="4"/>
        <v>1</v>
      </c>
      <c r="AC28" s="908">
        <f t="shared" si="5"/>
        <v>1</v>
      </c>
    </row>
    <row r="29" spans="1:29" ht="30">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0" t="s">
        <v>1606</v>
      </c>
      <c r="Q29" s="1507" t="str">
        <f t="shared" si="11"/>
        <v>建筑类型</v>
      </c>
      <c r="R29" s="3764" t="s">
        <v>13</v>
      </c>
      <c r="S29" s="3766">
        <f t="shared" si="12"/>
        <v>100</v>
      </c>
      <c r="T29" s="3764" t="s">
        <v>13</v>
      </c>
      <c r="U29" s="3766">
        <f t="shared" si="13"/>
        <v>100</v>
      </c>
      <c r="V29" s="3764" t="s">
        <v>13</v>
      </c>
      <c r="W29" s="3766">
        <f t="shared" si="14"/>
        <v>100</v>
      </c>
      <c r="X29" s="910"/>
      <c r="Y29" s="4509"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1"/>
      <c r="Q30" s="2865" t="str">
        <f t="shared" si="11"/>
        <v>项目建筑规模</v>
      </c>
      <c r="R30" s="3765" t="s">
        <v>13</v>
      </c>
      <c r="S30" s="3767" t="e">
        <f t="shared" si="12"/>
        <v>#N/A</v>
      </c>
      <c r="T30" s="3765" t="s">
        <v>13</v>
      </c>
      <c r="U30" s="3767" t="e">
        <f t="shared" si="13"/>
        <v>#N/A</v>
      </c>
      <c r="V30" s="3765" t="s">
        <v>13</v>
      </c>
      <c r="W30" s="3767" t="e">
        <f t="shared" si="14"/>
        <v>#N/A</v>
      </c>
      <c r="X30" s="484"/>
      <c r="Y30" s="4509"/>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1"/>
      <c r="Q31" s="1507" t="str">
        <f t="shared" si="11"/>
        <v>建筑结构</v>
      </c>
      <c r="R31" s="3764" t="s">
        <v>13</v>
      </c>
      <c r="S31" s="3766">
        <f t="shared" si="12"/>
        <v>100</v>
      </c>
      <c r="T31" s="3764" t="s">
        <v>13</v>
      </c>
      <c r="U31" s="3766">
        <f t="shared" si="13"/>
        <v>100</v>
      </c>
      <c r="V31" s="3764" t="s">
        <v>13</v>
      </c>
      <c r="W31" s="3766">
        <f t="shared" si="14"/>
        <v>100</v>
      </c>
      <c r="X31" s="910"/>
      <c r="Y31" s="4509"/>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1"/>
      <c r="Q32" s="1507" t="str">
        <f t="shared" si="11"/>
        <v>公共部分装修</v>
      </c>
      <c r="R32" s="3764" t="s">
        <v>13</v>
      </c>
      <c r="S32" s="3766">
        <f t="shared" si="12"/>
        <v>100</v>
      </c>
      <c r="T32" s="3764" t="s">
        <v>13</v>
      </c>
      <c r="U32" s="3766">
        <f t="shared" si="13"/>
        <v>100</v>
      </c>
      <c r="V32" s="3764" t="s">
        <v>13</v>
      </c>
      <c r="W32" s="3766">
        <f t="shared" si="14"/>
        <v>100</v>
      </c>
      <c r="X32" s="910"/>
      <c r="Y32" s="4509"/>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1"/>
      <c r="Q33" s="1507" t="str">
        <f t="shared" si="11"/>
        <v>成新度</v>
      </c>
      <c r="R33" s="3764" t="s">
        <v>13</v>
      </c>
      <c r="S33" s="3766" t="e">
        <f t="shared" si="12"/>
        <v>#N/A</v>
      </c>
      <c r="T33" s="3764" t="s">
        <v>13</v>
      </c>
      <c r="U33" s="3766" t="e">
        <f t="shared" si="13"/>
        <v>#N/A</v>
      </c>
      <c r="V33" s="3764" t="s">
        <v>13</v>
      </c>
      <c r="W33" s="3766" t="e">
        <f t="shared" si="14"/>
        <v>#N/A</v>
      </c>
      <c r="X33" s="910"/>
      <c r="Y33" s="4509"/>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1"/>
      <c r="Q34" s="1698" t="str">
        <f t="shared" si="11"/>
        <v>物业管理</v>
      </c>
      <c r="R34" s="3763" t="s">
        <v>13</v>
      </c>
      <c r="S34" s="3543">
        <f t="shared" si="12"/>
        <v>100</v>
      </c>
      <c r="T34" s="3763" t="s">
        <v>13</v>
      </c>
      <c r="U34" s="3543">
        <f t="shared" si="13"/>
        <v>100</v>
      </c>
      <c r="V34" s="3763" t="s">
        <v>13</v>
      </c>
      <c r="W34" s="3543">
        <f t="shared" si="14"/>
        <v>100</v>
      </c>
      <c r="X34" s="482"/>
      <c r="Y34" s="4509"/>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1" t="s">
        <v>1606</v>
      </c>
      <c r="Q35" s="1507" t="str">
        <f t="shared" si="11"/>
        <v>市政基础设施</v>
      </c>
      <c r="R35" s="3764" t="s">
        <v>13</v>
      </c>
      <c r="S35" s="3766">
        <f t="shared" si="12"/>
        <v>100</v>
      </c>
      <c r="T35" s="3764" t="s">
        <v>13</v>
      </c>
      <c r="U35" s="3766">
        <f t="shared" si="13"/>
        <v>100</v>
      </c>
      <c r="V35" s="3764" t="s">
        <v>13</v>
      </c>
      <c r="W35" s="3766">
        <f t="shared" si="14"/>
        <v>100</v>
      </c>
      <c r="X35" s="910"/>
      <c r="Y35" s="4509"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1"/>
      <c r="Q36" s="1507" t="str">
        <f t="shared" si="11"/>
        <v>内部装修</v>
      </c>
      <c r="R36" s="3764" t="s">
        <v>13</v>
      </c>
      <c r="S36" s="3766">
        <f t="shared" si="12"/>
        <v>100</v>
      </c>
      <c r="T36" s="3764" t="s">
        <v>13</v>
      </c>
      <c r="U36" s="3766">
        <f t="shared" si="13"/>
        <v>100</v>
      </c>
      <c r="V36" s="3764" t="s">
        <v>13</v>
      </c>
      <c r="W36" s="3766">
        <f t="shared" si="14"/>
        <v>100</v>
      </c>
      <c r="X36" s="910"/>
      <c r="Y36" s="4509"/>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1"/>
      <c r="Q37" s="1507" t="str">
        <f t="shared" si="11"/>
        <v>内部装修状况</v>
      </c>
      <c r="R37" s="3764" t="s">
        <v>13</v>
      </c>
      <c r="S37" s="3766">
        <f t="shared" si="12"/>
        <v>100</v>
      </c>
      <c r="T37" s="3764" t="s">
        <v>13</v>
      </c>
      <c r="U37" s="3766">
        <f t="shared" si="13"/>
        <v>100</v>
      </c>
      <c r="V37" s="3764" t="s">
        <v>13</v>
      </c>
      <c r="W37" s="3766">
        <f t="shared" si="14"/>
        <v>100</v>
      </c>
      <c r="X37" s="910"/>
      <c r="Y37" s="4509"/>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1"/>
      <c r="Q38" s="2865">
        <f t="shared" si="11"/>
        <v>111</v>
      </c>
      <c r="R38" s="3765" t="s">
        <v>13</v>
      </c>
      <c r="S38" s="3767">
        <f t="shared" si="12"/>
        <v>100</v>
      </c>
      <c r="T38" s="3765" t="s">
        <v>13</v>
      </c>
      <c r="U38" s="3767">
        <f t="shared" si="13"/>
        <v>100</v>
      </c>
      <c r="V38" s="3765" t="s">
        <v>13</v>
      </c>
      <c r="W38" s="3767">
        <f t="shared" si="14"/>
        <v>100</v>
      </c>
      <c r="X38" s="484"/>
      <c r="Y38" s="4509"/>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1"/>
      <c r="Q39" s="1507">
        <f t="shared" si="11"/>
        <v>111</v>
      </c>
      <c r="R39" s="3764" t="s">
        <v>13</v>
      </c>
      <c r="S39" s="3766">
        <f t="shared" si="12"/>
        <v>100</v>
      </c>
      <c r="T39" s="3764" t="s">
        <v>13</v>
      </c>
      <c r="U39" s="3766">
        <f t="shared" si="13"/>
        <v>100</v>
      </c>
      <c r="V39" s="3764" t="s">
        <v>13</v>
      </c>
      <c r="W39" s="3766">
        <f t="shared" si="14"/>
        <v>100</v>
      </c>
      <c r="X39" s="910"/>
      <c r="Y39" s="4509"/>
      <c r="Z39" s="908">
        <f t="shared" si="15"/>
        <v>111</v>
      </c>
      <c r="AA39" s="908">
        <f t="shared" si="3"/>
        <v>1</v>
      </c>
      <c r="AB39" s="908">
        <f t="shared" si="4"/>
        <v>1</v>
      </c>
      <c r="AC39" s="908">
        <f t="shared" si="5"/>
        <v>1</v>
      </c>
    </row>
    <row r="40" spans="1:29" ht="15.6"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2"/>
      <c r="Q40" s="1507">
        <f t="shared" si="11"/>
        <v>111</v>
      </c>
      <c r="R40" s="3764" t="s">
        <v>13</v>
      </c>
      <c r="S40" s="3766">
        <f t="shared" si="12"/>
        <v>100</v>
      </c>
      <c r="T40" s="3764" t="s">
        <v>13</v>
      </c>
      <c r="U40" s="3766">
        <f t="shared" si="13"/>
        <v>100</v>
      </c>
      <c r="V40" s="3764" t="s">
        <v>13</v>
      </c>
      <c r="W40" s="3766">
        <f t="shared" si="14"/>
        <v>100</v>
      </c>
      <c r="X40" s="910"/>
      <c r="Y40" s="4510"/>
      <c r="Z40" s="908">
        <f t="shared" si="15"/>
        <v>111</v>
      </c>
      <c r="AA40" s="908">
        <f t="shared" si="3"/>
        <v>1</v>
      </c>
      <c r="AB40" s="908">
        <f t="shared" si="4"/>
        <v>1</v>
      </c>
      <c r="AC40" s="908">
        <f t="shared" si="5"/>
        <v>1</v>
      </c>
    </row>
    <row r="41" spans="1:29" ht="14.4">
      <c r="A41" s="286" t="s">
        <v>1618</v>
      </c>
      <c r="B41" s="287"/>
      <c r="C41" s="765" t="s">
        <v>0</v>
      </c>
      <c r="D41" s="288"/>
      <c r="E41" s="3206"/>
      <c r="F41" s="3154"/>
      <c r="G41" s="3207"/>
      <c r="H41" s="3155"/>
      <c r="I41" s="3206"/>
      <c r="J41" s="3155"/>
      <c r="K41" s="2863"/>
      <c r="L41" s="605"/>
      <c r="M41" s="593"/>
      <c r="N41" s="593"/>
      <c r="O41" s="593"/>
      <c r="P41" s="4511" t="str">
        <f>A41</f>
        <v>成交单价（元/平方米）</v>
      </c>
      <c r="Q41" s="4511"/>
      <c r="R41" s="4512">
        <f>E41</f>
        <v>0</v>
      </c>
      <c r="S41" s="4512"/>
      <c r="T41" s="4512">
        <f>G41</f>
        <v>0</v>
      </c>
      <c r="U41" s="4512"/>
      <c r="V41" s="4512">
        <f>I41</f>
        <v>0</v>
      </c>
      <c r="W41" s="4512"/>
      <c r="X41" s="265"/>
      <c r="Y41" s="486"/>
      <c r="Z41" s="265"/>
      <c r="AA41" s="265"/>
      <c r="AB41" s="265"/>
      <c r="AC41" s="265"/>
    </row>
    <row r="42" spans="1:29" ht="1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511" t="str">
        <f>A42</f>
        <v>比较价值（元/平方米）</v>
      </c>
      <c r="Q42" s="4511"/>
      <c r="R42" s="4512" t="e">
        <f>IF(F1="售价",ROUND(PRODUCT(R41,AA7:AA40),0),ROUND(PRODUCT(R41,AA7:AA40),1))</f>
        <v>#DIV/0!</v>
      </c>
      <c r="S42" s="4512"/>
      <c r="T42" s="4512" t="e">
        <f>IF(F1="售价",ROUND(PRODUCT(T41,AB7:AB40),0),ROUND(PRODUCT(T41,AB7:AB40),1))</f>
        <v>#DIV/0!</v>
      </c>
      <c r="U42" s="4512"/>
      <c r="V42" s="4512" t="e">
        <f>IF(F1="售价",ROUND(PRODUCT(V41,AC7:AC40),0),ROUND(PRODUCT(V41,AC7:AC40),1))</f>
        <v>#DIV/0!</v>
      </c>
      <c r="W42" s="4512"/>
      <c r="X42" s="265"/>
      <c r="Y42" s="265"/>
      <c r="Z42" s="265"/>
      <c r="AA42" s="265"/>
      <c r="AB42" s="265"/>
      <c r="AC42" s="265"/>
    </row>
    <row r="43" spans="1:29" ht="15" thickBot="1">
      <c r="A43" s="291" t="s">
        <v>1704</v>
      </c>
      <c r="B43" s="292"/>
      <c r="C43" s="3749" t="e">
        <f>R43</f>
        <v>#DIV/0!</v>
      </c>
      <c r="D43" s="241"/>
      <c r="E43" s="241"/>
      <c r="F43" s="241"/>
      <c r="G43" s="241"/>
      <c r="H43" s="241"/>
      <c r="I43" s="241"/>
      <c r="J43" s="241"/>
      <c r="K43" s="487"/>
      <c r="L43" s="605"/>
      <c r="M43" s="593"/>
      <c r="N43" s="593"/>
      <c r="O43" s="593"/>
      <c r="P43" s="4571" t="str">
        <f>A43</f>
        <v>估价对象XX用房的比较价值（楼面单价，元/平方米）</v>
      </c>
      <c r="Q43" s="4572"/>
      <c r="R43" s="4573" t="e">
        <f>IF(F1="售价",ROUND(IF(D42="简单平均",AVERAGE(R42:V42),R42*F42+T42*H42+V42*J42),0),ROUND(IF(D42="简单平均",AVERAGE(R42:V42),R42*F42+T42*H42+V42*J42),1))</f>
        <v>#DIV/0!</v>
      </c>
      <c r="S43" s="4573"/>
      <c r="T43" s="4573"/>
      <c r="U43" s="4573"/>
      <c r="V43" s="4573"/>
      <c r="W43" s="4573"/>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90"/>
      <c r="Q51" s="3191"/>
    </row>
    <row r="52" spans="1:23" s="305" customFormat="1" ht="14.4">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4.4">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4.4"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ht="14.4">
      <c r="A57" s="262" t="s">
        <v>1629</v>
      </c>
      <c r="B57" s="322" t="s">
        <v>1595</v>
      </c>
      <c r="C57" s="323">
        <f>C9</f>
        <v>0</v>
      </c>
      <c r="D57" s="324"/>
      <c r="E57" s="324"/>
      <c r="F57" s="324"/>
      <c r="G57" s="324"/>
      <c r="H57" s="324"/>
      <c r="I57" s="324"/>
      <c r="J57" s="324"/>
      <c r="K57" s="325"/>
      <c r="L57" s="326"/>
      <c r="M57" s="327"/>
      <c r="N57" s="611"/>
      <c r="O57" s="611"/>
      <c r="P57" s="3194"/>
      <c r="Q57" s="3191"/>
    </row>
    <row r="58" spans="1:23" ht="14.4" thickBot="1">
      <c r="A58" s="254"/>
      <c r="B58" s="328"/>
      <c r="C58" s="329">
        <v>100</v>
      </c>
      <c r="D58" s="329"/>
      <c r="E58" s="329"/>
      <c r="F58" s="329"/>
      <c r="G58" s="329"/>
      <c r="H58" s="329"/>
      <c r="I58" s="329"/>
      <c r="J58" s="329"/>
      <c r="K58" s="329"/>
      <c r="L58" s="329"/>
      <c r="M58" s="330"/>
      <c r="N58" s="612"/>
      <c r="O58" s="612"/>
      <c r="P58" s="3194"/>
      <c r="Q58" s="3191"/>
    </row>
    <row r="59" spans="1:23" ht="29.4" thickTop="1">
      <c r="A59" s="254"/>
      <c r="B59" s="331" t="s">
        <v>1598</v>
      </c>
      <c r="C59" s="372"/>
      <c r="D59" s="372"/>
      <c r="E59" s="372"/>
      <c r="F59" s="372"/>
      <c r="G59" s="372"/>
      <c r="H59" s="372"/>
      <c r="I59" s="372"/>
      <c r="J59" s="372"/>
      <c r="K59" s="373"/>
      <c r="L59" s="374"/>
      <c r="M59" s="375"/>
      <c r="N59" s="611"/>
      <c r="O59" s="611"/>
      <c r="P59" s="3194"/>
      <c r="Q59" s="3191"/>
    </row>
    <row r="60" spans="1:23" ht="15" thickBot="1">
      <c r="A60" s="254"/>
      <c r="B60" s="336" t="s">
        <v>3887</v>
      </c>
      <c r="C60" s="329"/>
      <c r="D60" s="329"/>
      <c r="E60" s="329"/>
      <c r="F60" s="329"/>
      <c r="G60" s="329"/>
      <c r="H60" s="329"/>
      <c r="I60" s="329"/>
      <c r="J60" s="329"/>
      <c r="K60" s="329"/>
      <c r="L60" s="329"/>
      <c r="M60" s="330"/>
      <c r="N60" s="612"/>
      <c r="O60" s="612"/>
      <c r="P60" s="3194"/>
      <c r="Q60" s="3191"/>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c r="A62" s="254"/>
      <c r="B62" s="341"/>
      <c r="C62" s="342">
        <v>0</v>
      </c>
      <c r="D62" s="342">
        <v>0.5</v>
      </c>
      <c r="E62" s="342">
        <v>1</v>
      </c>
      <c r="F62" s="342">
        <v>1.5</v>
      </c>
      <c r="G62" s="342">
        <v>2</v>
      </c>
      <c r="H62" s="342"/>
      <c r="I62" s="342"/>
      <c r="J62" s="342"/>
      <c r="K62" s="343"/>
      <c r="L62" s="344"/>
      <c r="M62" s="345"/>
      <c r="N62" s="611"/>
      <c r="O62" s="611"/>
      <c r="P62" s="3194"/>
      <c r="Q62" s="3191"/>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4.4"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4.4"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4.4"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4.4"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4.4"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4.4"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4.4"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4.4"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4.4"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4.4"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4.4"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4.4"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4.4" thickTop="1">
      <c r="A86" s="254"/>
      <c r="B86" s="339">
        <f>B28</f>
        <v>111</v>
      </c>
      <c r="C86" s="20"/>
      <c r="D86" s="20"/>
      <c r="E86" s="20"/>
      <c r="F86" s="20"/>
      <c r="G86" s="376"/>
      <c r="H86" s="376"/>
      <c r="I86" s="376"/>
      <c r="J86" s="376"/>
      <c r="K86" s="377"/>
      <c r="L86" s="378"/>
      <c r="M86" s="379"/>
      <c r="N86" s="611"/>
      <c r="O86" s="611"/>
      <c r="P86" s="3194"/>
      <c r="Q86" s="3191"/>
    </row>
    <row r="87" spans="1:23" ht="14.4" thickBot="1">
      <c r="A87" s="260"/>
      <c r="B87" s="360"/>
      <c r="C87" s="361"/>
      <c r="D87" s="361"/>
      <c r="E87" s="361"/>
      <c r="F87" s="361"/>
      <c r="G87" s="380"/>
      <c r="H87" s="380"/>
      <c r="I87" s="380"/>
      <c r="J87" s="380"/>
      <c r="K87" s="380"/>
      <c r="L87" s="380"/>
      <c r="M87" s="381"/>
      <c r="N87" s="612"/>
      <c r="O87" s="612"/>
      <c r="P87" s="3194"/>
      <c r="Q87" s="3191"/>
    </row>
    <row r="88" spans="1:23" ht="14.4">
      <c r="A88" s="262" t="s">
        <v>1604</v>
      </c>
      <c r="B88" s="322" t="s">
        <v>1646</v>
      </c>
      <c r="C88" s="324"/>
      <c r="D88" s="324"/>
      <c r="E88" s="324"/>
      <c r="F88" s="324"/>
      <c r="G88" s="324"/>
      <c r="H88" s="324"/>
      <c r="I88" s="324"/>
      <c r="J88" s="324"/>
      <c r="K88" s="325"/>
      <c r="L88" s="326"/>
      <c r="M88" s="327"/>
      <c r="N88" s="611"/>
      <c r="O88" s="611"/>
      <c r="P88" s="3194"/>
      <c r="Q88" s="3191"/>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4.4"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4.4"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4.4"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4.4" thickTop="1">
      <c r="A110" s="280"/>
      <c r="B110" s="331">
        <f>B39</f>
        <v>111</v>
      </c>
      <c r="C110" s="347"/>
      <c r="D110" s="347"/>
      <c r="E110" s="347"/>
      <c r="F110" s="347"/>
      <c r="G110" s="347"/>
      <c r="H110" s="348"/>
      <c r="I110" s="348"/>
      <c r="J110" s="348"/>
      <c r="K110" s="348"/>
      <c r="L110" s="349"/>
      <c r="M110" s="350"/>
      <c r="N110" s="611"/>
      <c r="O110" s="611"/>
      <c r="P110" s="3194"/>
      <c r="Q110" s="3191"/>
    </row>
    <row r="111" spans="1:23" ht="14.4" thickBot="1">
      <c r="A111" s="254"/>
      <c r="B111" s="336"/>
      <c r="C111" s="352"/>
      <c r="D111" s="329"/>
      <c r="E111" s="329"/>
      <c r="F111" s="329"/>
      <c r="G111" s="352"/>
      <c r="H111" s="354"/>
      <c r="I111" s="354"/>
      <c r="J111" s="354"/>
      <c r="K111" s="354"/>
      <c r="L111" s="354"/>
      <c r="M111" s="355"/>
      <c r="N111" s="612"/>
      <c r="O111" s="612"/>
      <c r="P111" s="3194"/>
      <c r="Q111" s="3191"/>
    </row>
    <row r="112" spans="1:23" ht="14.4" thickTop="1">
      <c r="A112" s="280"/>
      <c r="B112" s="339">
        <f>B40</f>
        <v>111</v>
      </c>
      <c r="C112" s="20"/>
      <c r="D112" s="20"/>
      <c r="E112" s="20"/>
      <c r="F112" s="20"/>
      <c r="G112" s="376"/>
      <c r="H112" s="376"/>
      <c r="I112" s="376"/>
      <c r="J112" s="376"/>
      <c r="K112" s="20"/>
      <c r="L112" s="320"/>
      <c r="M112" s="379"/>
      <c r="N112" s="611"/>
      <c r="O112" s="611"/>
      <c r="P112" s="3194"/>
      <c r="Q112" s="3191"/>
    </row>
    <row r="113" spans="1:17" ht="14.4"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4.4">
      <c r="A4" s="235" t="s">
        <v>1679</v>
      </c>
      <c r="B4" s="236"/>
      <c r="C4" s="4479" t="s">
        <v>1680</v>
      </c>
      <c r="D4" s="4480"/>
      <c r="E4" s="4481" t="s">
        <v>1681</v>
      </c>
      <c r="F4" s="4482"/>
      <c r="G4" s="4479" t="s">
        <v>1682</v>
      </c>
      <c r="H4" s="4480"/>
      <c r="I4" s="4479" t="s">
        <v>1683</v>
      </c>
      <c r="J4" s="4480"/>
      <c r="K4" s="393" t="s">
        <v>1684</v>
      </c>
      <c r="L4" s="1974"/>
      <c r="M4" s="1975"/>
      <c r="N4" s="1975"/>
      <c r="O4" s="1975"/>
      <c r="P4" s="4584" t="s">
        <v>1685</v>
      </c>
      <c r="Q4" s="4585"/>
      <c r="R4" s="4569" t="s">
        <v>1681</v>
      </c>
      <c r="S4" s="4570"/>
      <c r="T4" s="4569" t="s">
        <v>1682</v>
      </c>
      <c r="U4" s="4570"/>
      <c r="V4" s="4574" t="s">
        <v>1683</v>
      </c>
      <c r="W4" s="4574"/>
      <c r="X4" s="910"/>
      <c r="Y4" s="4569" t="s">
        <v>1685</v>
      </c>
      <c r="Z4" s="4570"/>
      <c r="AA4" s="4549" t="s">
        <v>1681</v>
      </c>
      <c r="AB4" s="4460" t="s">
        <v>1682</v>
      </c>
      <c r="AC4" s="4549" t="s">
        <v>1683</v>
      </c>
    </row>
    <row r="5" spans="1:29">
      <c r="A5" s="238"/>
      <c r="B5" s="239"/>
      <c r="C5" s="4577" t="s">
        <v>1583</v>
      </c>
      <c r="D5" s="4469"/>
      <c r="E5" s="4575" t="s">
        <v>1584</v>
      </c>
      <c r="F5" s="4576"/>
      <c r="G5" s="4577" t="s">
        <v>1585</v>
      </c>
      <c r="H5" s="4469"/>
      <c r="I5" s="4577" t="s">
        <v>1586</v>
      </c>
      <c r="J5" s="4469"/>
      <c r="K5" s="393"/>
      <c r="L5" s="1974"/>
      <c r="M5" s="1975"/>
      <c r="N5" s="1975"/>
      <c r="O5" s="1975"/>
      <c r="P5" s="4586"/>
      <c r="Q5" s="4587"/>
      <c r="R5" s="4497"/>
      <c r="S5" s="4498"/>
      <c r="T5" s="4497"/>
      <c r="U5" s="4498"/>
      <c r="V5" s="4574"/>
      <c r="W5" s="4574"/>
      <c r="X5" s="910"/>
      <c r="Y5" s="4497"/>
      <c r="Z5" s="4498"/>
      <c r="AA5" s="4460"/>
      <c r="AB5" s="4460"/>
      <c r="AC5" s="4460"/>
    </row>
    <row r="6" spans="1:29" ht="15" thickBot="1">
      <c r="A6" s="240"/>
      <c r="B6" s="241"/>
      <c r="C6" s="4470" t="s">
        <v>1587</v>
      </c>
      <c r="D6" s="4471"/>
      <c r="E6" s="4472" t="s">
        <v>1587</v>
      </c>
      <c r="F6" s="4473"/>
      <c r="G6" s="4470" t="s">
        <v>1587</v>
      </c>
      <c r="H6" s="4471"/>
      <c r="I6" s="4470" t="s">
        <v>1587</v>
      </c>
      <c r="J6" s="4471"/>
      <c r="K6" s="393" t="s">
        <v>1588</v>
      </c>
      <c r="L6" s="1974"/>
      <c r="M6" s="1975"/>
      <c r="N6" s="1975"/>
      <c r="O6" s="1975"/>
      <c r="P6" s="4588"/>
      <c r="Q6" s="4589"/>
      <c r="R6" s="4497"/>
      <c r="S6" s="4498"/>
      <c r="T6" s="4499"/>
      <c r="U6" s="4500"/>
      <c r="V6" s="4574"/>
      <c r="W6" s="4574"/>
      <c r="X6" s="910"/>
      <c r="Y6" s="4499"/>
      <c r="Z6" s="4500"/>
      <c r="AA6" s="4461"/>
      <c r="AB6" s="4461"/>
      <c r="AC6" s="4461"/>
    </row>
    <row r="7" spans="1:29" s="46" customFormat="1" ht="1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462" t="s">
        <v>1590</v>
      </c>
      <c r="Q7" s="4590"/>
      <c r="R7" s="3770" t="s">
        <v>13</v>
      </c>
      <c r="S7" s="3773">
        <f t="shared" ref="S7:S14" si="0">F7</f>
        <v>0</v>
      </c>
      <c r="T7" s="3770" t="s">
        <v>13</v>
      </c>
      <c r="U7" s="3773">
        <f t="shared" ref="U7:U14" si="1">H7</f>
        <v>0</v>
      </c>
      <c r="V7" s="3770" t="s">
        <v>13</v>
      </c>
      <c r="W7" s="3773">
        <f t="shared" ref="W7:W14" si="2">J7</f>
        <v>0</v>
      </c>
      <c r="X7" s="482"/>
      <c r="Y7" s="4462" t="s">
        <v>1590</v>
      </c>
      <c r="Z7" s="4463"/>
      <c r="AA7" s="28" t="e">
        <f>D7/F7</f>
        <v>#DIV/0!</v>
      </c>
      <c r="AB7" s="28" t="e">
        <f>D7/H7</f>
        <v>#DIV/0!</v>
      </c>
      <c r="AC7" s="28" t="e">
        <f>D7/J7</f>
        <v>#DIV/0!</v>
      </c>
    </row>
    <row r="8" spans="1:29" s="46" customFormat="1" ht="1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462" t="s">
        <v>1593</v>
      </c>
      <c r="Q8" s="4463"/>
      <c r="R8" s="3770" t="s">
        <v>13</v>
      </c>
      <c r="S8" s="3773">
        <f t="shared" si="0"/>
        <v>100</v>
      </c>
      <c r="T8" s="3770" t="s">
        <v>13</v>
      </c>
      <c r="U8" s="3773">
        <f t="shared" si="1"/>
        <v>100</v>
      </c>
      <c r="V8" s="3770" t="s">
        <v>13</v>
      </c>
      <c r="W8" s="3773">
        <f t="shared" si="2"/>
        <v>100</v>
      </c>
      <c r="X8" s="482"/>
      <c r="Y8" s="4462" t="s">
        <v>1593</v>
      </c>
      <c r="Z8" s="4463"/>
      <c r="AA8" s="28">
        <f t="shared" ref="AA8:AA36" si="3">D8/F8</f>
        <v>1</v>
      </c>
      <c r="AB8" s="28">
        <f t="shared" ref="AB8:AB36" si="4">D8/H8</f>
        <v>1</v>
      </c>
      <c r="AC8" s="28">
        <f t="shared" ref="AC8:AC36" si="5">D8/J8</f>
        <v>1</v>
      </c>
    </row>
    <row r="9" spans="1:29" s="46" customFormat="1" ht="14.4">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3" t="s">
        <v>1596</v>
      </c>
      <c r="Q9" s="389" t="str">
        <f t="shared" ref="Q9:Q14" si="6">B9</f>
        <v>用途</v>
      </c>
      <c r="R9" s="3770" t="s">
        <v>13</v>
      </c>
      <c r="S9" s="3773">
        <f t="shared" si="0"/>
        <v>100</v>
      </c>
      <c r="T9" s="3770" t="s">
        <v>13</v>
      </c>
      <c r="U9" s="3773">
        <f t="shared" si="1"/>
        <v>100</v>
      </c>
      <c r="V9" s="3770" t="s">
        <v>13</v>
      </c>
      <c r="W9" s="3773">
        <f t="shared" si="2"/>
        <v>100</v>
      </c>
      <c r="X9" s="482"/>
      <c r="Y9" s="4475" t="s">
        <v>1597</v>
      </c>
      <c r="Z9" s="28" t="str">
        <f t="shared" ref="Z9:Z14" si="7">Q9</f>
        <v>用途</v>
      </c>
      <c r="AA9" s="28">
        <f t="shared" si="3"/>
        <v>1</v>
      </c>
      <c r="AB9" s="28">
        <f t="shared" si="4"/>
        <v>1</v>
      </c>
      <c r="AC9" s="28">
        <f t="shared" si="5"/>
        <v>1</v>
      </c>
    </row>
    <row r="10" spans="1:29" s="253" customFormat="1" ht="28.8">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3"/>
      <c r="Q10" s="389" t="str">
        <f t="shared" si="6"/>
        <v>土地使用年限（年）</v>
      </c>
      <c r="R10" s="3770" t="s">
        <v>13</v>
      </c>
      <c r="S10" s="3773">
        <f t="shared" si="0"/>
        <v>100</v>
      </c>
      <c r="T10" s="3770" t="s">
        <v>13</v>
      </c>
      <c r="U10" s="3773">
        <f t="shared" si="1"/>
        <v>100</v>
      </c>
      <c r="V10" s="3770" t="s">
        <v>13</v>
      </c>
      <c r="W10" s="3773">
        <f t="shared" si="2"/>
        <v>100</v>
      </c>
      <c r="X10" s="482"/>
      <c r="Y10" s="4475"/>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3"/>
      <c r="Q11" s="389">
        <f t="shared" si="6"/>
        <v>111</v>
      </c>
      <c r="R11" s="3770" t="s">
        <v>13</v>
      </c>
      <c r="S11" s="3773">
        <f t="shared" si="0"/>
        <v>100</v>
      </c>
      <c r="T11" s="3770" t="s">
        <v>13</v>
      </c>
      <c r="U11" s="3773">
        <f t="shared" si="1"/>
        <v>100</v>
      </c>
      <c r="V11" s="3770" t="s">
        <v>13</v>
      </c>
      <c r="W11" s="3773">
        <f t="shared" si="2"/>
        <v>100</v>
      </c>
      <c r="X11" s="482"/>
      <c r="Y11" s="4475"/>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3"/>
      <c r="Q12" s="389">
        <f t="shared" si="6"/>
        <v>111</v>
      </c>
      <c r="R12" s="3770" t="s">
        <v>13</v>
      </c>
      <c r="S12" s="3773">
        <f t="shared" si="0"/>
        <v>100</v>
      </c>
      <c r="T12" s="3770" t="s">
        <v>13</v>
      </c>
      <c r="U12" s="3773">
        <f t="shared" si="1"/>
        <v>100</v>
      </c>
      <c r="V12" s="3770" t="s">
        <v>13</v>
      </c>
      <c r="W12" s="3773">
        <f t="shared" si="2"/>
        <v>100</v>
      </c>
      <c r="X12" s="482"/>
      <c r="Y12" s="4475"/>
      <c r="Z12" s="28">
        <f t="shared" si="7"/>
        <v>111</v>
      </c>
      <c r="AA12" s="28">
        <f>D12/F12</f>
        <v>1</v>
      </c>
      <c r="AB12" s="28">
        <f>D12/H12</f>
        <v>1</v>
      </c>
      <c r="AC12" s="28">
        <f>D12/J12</f>
        <v>1</v>
      </c>
    </row>
    <row r="13" spans="1:29" ht="15.6"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3"/>
      <c r="Q13" s="389">
        <f t="shared" si="6"/>
        <v>111</v>
      </c>
      <c r="R13" s="3770" t="s">
        <v>13</v>
      </c>
      <c r="S13" s="3773">
        <f t="shared" si="0"/>
        <v>100</v>
      </c>
      <c r="T13" s="3770" t="s">
        <v>13</v>
      </c>
      <c r="U13" s="3773">
        <f t="shared" si="1"/>
        <v>100</v>
      </c>
      <c r="V13" s="3770" t="s">
        <v>13</v>
      </c>
      <c r="W13" s="3773">
        <f t="shared" si="2"/>
        <v>100</v>
      </c>
      <c r="X13" s="482"/>
      <c r="Y13" s="4475"/>
      <c r="Z13" s="28">
        <f t="shared" si="7"/>
        <v>111</v>
      </c>
      <c r="AA13" s="28">
        <f t="shared" si="3"/>
        <v>1</v>
      </c>
      <c r="AB13" s="28">
        <f t="shared" si="4"/>
        <v>1</v>
      </c>
      <c r="AC13" s="28">
        <f t="shared" si="5"/>
        <v>1</v>
      </c>
    </row>
    <row r="14" spans="1:29" ht="96.6">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504" t="s">
        <v>1601</v>
      </c>
      <c r="Q14" s="907" t="str">
        <f t="shared" si="6"/>
        <v>交通便捷度</v>
      </c>
      <c r="R14" s="3771" t="s">
        <v>13</v>
      </c>
      <c r="S14" s="3774">
        <f t="shared" si="0"/>
        <v>100</v>
      </c>
      <c r="T14" s="3771" t="s">
        <v>13</v>
      </c>
      <c r="U14" s="3774">
        <f t="shared" si="1"/>
        <v>100</v>
      </c>
      <c r="V14" s="3771" t="s">
        <v>13</v>
      </c>
      <c r="W14" s="3774">
        <f t="shared" si="2"/>
        <v>100</v>
      </c>
      <c r="X14" s="910"/>
      <c r="Y14" s="4504"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505"/>
      <c r="Q15" s="907"/>
      <c r="R15" s="3771"/>
      <c r="S15" s="3774"/>
      <c r="T15" s="3771"/>
      <c r="U15" s="3774"/>
      <c r="V15" s="3771"/>
      <c r="W15" s="3774"/>
      <c r="X15" s="910"/>
      <c r="Y15" s="4505"/>
      <c r="Z15" s="908"/>
      <c r="AA15" s="908">
        <v>1</v>
      </c>
      <c r="AB15" s="908">
        <v>1</v>
      </c>
      <c r="AC15" s="908">
        <v>1</v>
      </c>
    </row>
    <row r="16" spans="1:29" ht="41.4">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505"/>
      <c r="Q16" s="907" t="str">
        <f>B16</f>
        <v>公共配套设施</v>
      </c>
      <c r="R16" s="3771" t="s">
        <v>13</v>
      </c>
      <c r="S16" s="3774">
        <f>F16</f>
        <v>100</v>
      </c>
      <c r="T16" s="3771" t="s">
        <v>13</v>
      </c>
      <c r="U16" s="3774">
        <f>H16</f>
        <v>100</v>
      </c>
      <c r="V16" s="3771" t="s">
        <v>13</v>
      </c>
      <c r="W16" s="3774">
        <f>J16</f>
        <v>100</v>
      </c>
      <c r="X16" s="910"/>
      <c r="Y16" s="4505"/>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505"/>
      <c r="Q17" s="907"/>
      <c r="R17" s="3771"/>
      <c r="S17" s="3774"/>
      <c r="T17" s="3771"/>
      <c r="U17" s="3774"/>
      <c r="V17" s="3771"/>
      <c r="W17" s="3774"/>
      <c r="X17" s="910"/>
      <c r="Y17" s="4505"/>
      <c r="Z17" s="908"/>
      <c r="AA17" s="908">
        <v>1</v>
      </c>
      <c r="AB17" s="908">
        <v>1</v>
      </c>
      <c r="AC17" s="908">
        <v>1</v>
      </c>
    </row>
    <row r="18" spans="1:29" ht="41.4">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505"/>
      <c r="Q18" s="907" t="str">
        <f>B18</f>
        <v>基础设施水平</v>
      </c>
      <c r="R18" s="3771" t="s">
        <v>13</v>
      </c>
      <c r="S18" s="3774">
        <f>F18</f>
        <v>100</v>
      </c>
      <c r="T18" s="3771" t="s">
        <v>13</v>
      </c>
      <c r="U18" s="3774">
        <f>H18</f>
        <v>100</v>
      </c>
      <c r="V18" s="3771" t="s">
        <v>13</v>
      </c>
      <c r="W18" s="3774">
        <f>J18</f>
        <v>100</v>
      </c>
      <c r="X18" s="910"/>
      <c r="Y18" s="4505"/>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505"/>
      <c r="Q19" s="907"/>
      <c r="R19" s="3771"/>
      <c r="S19" s="3774"/>
      <c r="T19" s="3771"/>
      <c r="U19" s="3774"/>
      <c r="V19" s="3771"/>
      <c r="W19" s="3774"/>
      <c r="X19" s="910"/>
      <c r="Y19" s="4505"/>
      <c r="Z19" s="908"/>
      <c r="AA19" s="908">
        <v>1</v>
      </c>
      <c r="AB19" s="908">
        <v>1</v>
      </c>
      <c r="AC19" s="908">
        <v>1</v>
      </c>
    </row>
    <row r="20" spans="1:29" ht="55.2">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505"/>
      <c r="Q20" s="907" t="str">
        <f>B20</f>
        <v>自然及人文环境</v>
      </c>
      <c r="R20" s="3771" t="s">
        <v>13</v>
      </c>
      <c r="S20" s="3774">
        <f>F20</f>
        <v>100</v>
      </c>
      <c r="T20" s="3771" t="s">
        <v>13</v>
      </c>
      <c r="U20" s="3774">
        <f>H20</f>
        <v>100</v>
      </c>
      <c r="V20" s="3771" t="s">
        <v>13</v>
      </c>
      <c r="W20" s="3774">
        <f>J20</f>
        <v>100</v>
      </c>
      <c r="X20" s="910"/>
      <c r="Y20" s="4505"/>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505"/>
      <c r="Q21" s="907"/>
      <c r="R21" s="3771"/>
      <c r="S21" s="3774"/>
      <c r="T21" s="3771"/>
      <c r="U21" s="3774"/>
      <c r="V21" s="3771"/>
      <c r="W21" s="3774"/>
      <c r="X21" s="910"/>
      <c r="Y21" s="4505"/>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505"/>
      <c r="Q22" s="907" t="str">
        <f>B22</f>
        <v>楼层</v>
      </c>
      <c r="R22" s="3771" t="s">
        <v>13</v>
      </c>
      <c r="S22" s="3774">
        <f>F22</f>
        <v>100</v>
      </c>
      <c r="T22" s="3771" t="s">
        <v>13</v>
      </c>
      <c r="U22" s="3774">
        <f>H22</f>
        <v>100</v>
      </c>
      <c r="V22" s="3771" t="s">
        <v>13</v>
      </c>
      <c r="W22" s="3774">
        <f>J22</f>
        <v>100</v>
      </c>
      <c r="X22" s="910"/>
      <c r="Y22" s="4505"/>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505"/>
      <c r="Q23" s="907">
        <f>B23</f>
        <v>111</v>
      </c>
      <c r="R23" s="3771" t="s">
        <v>13</v>
      </c>
      <c r="S23" s="3774">
        <f>F23</f>
        <v>100</v>
      </c>
      <c r="T23" s="3771" t="s">
        <v>13</v>
      </c>
      <c r="U23" s="3774">
        <f>H23</f>
        <v>100</v>
      </c>
      <c r="V23" s="3771" t="s">
        <v>13</v>
      </c>
      <c r="W23" s="3774">
        <f>J23</f>
        <v>100</v>
      </c>
      <c r="X23" s="910"/>
      <c r="Y23" s="4505"/>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505"/>
      <c r="Q24" s="907">
        <f t="shared" ref="Q24:Q36" si="11">B24</f>
        <v>111</v>
      </c>
      <c r="R24" s="3771" t="s">
        <v>13</v>
      </c>
      <c r="S24" s="3774">
        <f>F24</f>
        <v>100</v>
      </c>
      <c r="T24" s="3771" t="s">
        <v>13</v>
      </c>
      <c r="U24" s="3774">
        <f>H24</f>
        <v>100</v>
      </c>
      <c r="V24" s="3771" t="s">
        <v>13</v>
      </c>
      <c r="W24" s="3774">
        <f>J24</f>
        <v>100</v>
      </c>
      <c r="X24" s="910"/>
      <c r="Y24" s="4505"/>
      <c r="Z24" s="908">
        <f>Q24</f>
        <v>111</v>
      </c>
      <c r="AA24" s="908">
        <f t="shared" si="3"/>
        <v>1</v>
      </c>
      <c r="AB24" s="908">
        <f t="shared" si="4"/>
        <v>1</v>
      </c>
      <c r="AC24" s="908">
        <f t="shared" si="5"/>
        <v>1</v>
      </c>
    </row>
    <row r="25" spans="1:29" s="46" customFormat="1" ht="15.6"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505"/>
      <c r="Q25" s="389">
        <f t="shared" si="11"/>
        <v>111</v>
      </c>
      <c r="R25" s="3770" t="s">
        <v>13</v>
      </c>
      <c r="S25" s="3773">
        <f>F25</f>
        <v>100</v>
      </c>
      <c r="T25" s="3770" t="s">
        <v>13</v>
      </c>
      <c r="U25" s="3773">
        <f>H25</f>
        <v>100</v>
      </c>
      <c r="V25" s="3770" t="s">
        <v>13</v>
      </c>
      <c r="W25" s="3773">
        <f>J25</f>
        <v>100</v>
      </c>
      <c r="X25" s="482"/>
      <c r="Y25" s="4505"/>
      <c r="Z25" s="28">
        <f>Q25</f>
        <v>111</v>
      </c>
      <c r="AA25" s="908">
        <f>D25/F25</f>
        <v>1</v>
      </c>
      <c r="AB25" s="908">
        <f>D25/H25</f>
        <v>1</v>
      </c>
      <c r="AC25" s="908">
        <f>D25/J25</f>
        <v>1</v>
      </c>
    </row>
    <row r="26" spans="1:29" ht="30">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1"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509"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509"/>
      <c r="Q27" s="483" t="str">
        <f t="shared" si="11"/>
        <v>项目停车位配比</v>
      </c>
      <c r="R27" s="3772" t="s">
        <v>13</v>
      </c>
      <c r="S27" s="3775">
        <f t="shared" si="12"/>
        <v>100</v>
      </c>
      <c r="T27" s="3772" t="s">
        <v>13</v>
      </c>
      <c r="U27" s="3775">
        <f t="shared" si="13"/>
        <v>100</v>
      </c>
      <c r="V27" s="3772" t="s">
        <v>13</v>
      </c>
      <c r="W27" s="3775">
        <f t="shared" si="14"/>
        <v>100</v>
      </c>
      <c r="X27" s="484"/>
      <c r="Y27" s="4509"/>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509"/>
      <c r="Q28" s="907" t="str">
        <f t="shared" si="11"/>
        <v>公共部分装修</v>
      </c>
      <c r="R28" s="3771" t="s">
        <v>13</v>
      </c>
      <c r="S28" s="3774">
        <f t="shared" si="12"/>
        <v>100</v>
      </c>
      <c r="T28" s="3771" t="s">
        <v>13</v>
      </c>
      <c r="U28" s="3774">
        <f t="shared" si="13"/>
        <v>100</v>
      </c>
      <c r="V28" s="3771" t="s">
        <v>13</v>
      </c>
      <c r="W28" s="3774">
        <f t="shared" si="14"/>
        <v>100</v>
      </c>
      <c r="X28" s="910"/>
      <c r="Y28" s="4509"/>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509"/>
      <c r="Q29" s="907" t="str">
        <f t="shared" si="11"/>
        <v>成新率</v>
      </c>
      <c r="R29" s="3771" t="s">
        <v>13</v>
      </c>
      <c r="S29" s="3774" t="e">
        <f t="shared" si="12"/>
        <v>#N/A</v>
      </c>
      <c r="T29" s="3771" t="s">
        <v>13</v>
      </c>
      <c r="U29" s="3774" t="e">
        <f t="shared" si="13"/>
        <v>#N/A</v>
      </c>
      <c r="V29" s="3771" t="s">
        <v>13</v>
      </c>
      <c r="W29" s="3774" t="e">
        <f t="shared" si="14"/>
        <v>#N/A</v>
      </c>
      <c r="X29" s="910"/>
      <c r="Y29" s="4509"/>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509"/>
      <c r="Q30" s="907" t="str">
        <f t="shared" si="11"/>
        <v>物业等级</v>
      </c>
      <c r="R30" s="3771" t="s">
        <v>13</v>
      </c>
      <c r="S30" s="3774">
        <f t="shared" si="12"/>
        <v>100</v>
      </c>
      <c r="T30" s="3771" t="s">
        <v>13</v>
      </c>
      <c r="U30" s="3774">
        <f t="shared" si="13"/>
        <v>100</v>
      </c>
      <c r="V30" s="3771" t="s">
        <v>13</v>
      </c>
      <c r="W30" s="3774">
        <f t="shared" si="14"/>
        <v>100</v>
      </c>
      <c r="X30" s="910"/>
      <c r="Y30" s="4509"/>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509"/>
      <c r="Q31" s="389" t="str">
        <f t="shared" si="11"/>
        <v>停车位面积</v>
      </c>
      <c r="R31" s="3770" t="s">
        <v>13</v>
      </c>
      <c r="S31" s="3773" t="e">
        <f t="shared" si="12"/>
        <v>#N/A</v>
      </c>
      <c r="T31" s="3770" t="s">
        <v>13</v>
      </c>
      <c r="U31" s="3773" t="e">
        <f t="shared" si="13"/>
        <v>#N/A</v>
      </c>
      <c r="V31" s="3770" t="s">
        <v>13</v>
      </c>
      <c r="W31" s="3773" t="e">
        <f t="shared" si="14"/>
        <v>#N/A</v>
      </c>
      <c r="X31" s="482"/>
      <c r="Y31" s="4509"/>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509" t="s">
        <v>1606</v>
      </c>
      <c r="Q32" s="907" t="str">
        <f t="shared" si="11"/>
        <v>车位类型</v>
      </c>
      <c r="R32" s="3771" t="s">
        <v>13</v>
      </c>
      <c r="S32" s="3774">
        <f t="shared" si="12"/>
        <v>100</v>
      </c>
      <c r="T32" s="3771" t="s">
        <v>13</v>
      </c>
      <c r="U32" s="3774">
        <f t="shared" si="13"/>
        <v>100</v>
      </c>
      <c r="V32" s="3771" t="s">
        <v>13</v>
      </c>
      <c r="W32" s="3774">
        <f t="shared" si="14"/>
        <v>100</v>
      </c>
      <c r="X32" s="910"/>
      <c r="Y32" s="4509"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509"/>
      <c r="Q33" s="907" t="str">
        <f t="shared" si="11"/>
        <v>是否直接入户</v>
      </c>
      <c r="R33" s="3771" t="s">
        <v>13</v>
      </c>
      <c r="S33" s="3774">
        <f t="shared" si="12"/>
        <v>100</v>
      </c>
      <c r="T33" s="3771" t="s">
        <v>13</v>
      </c>
      <c r="U33" s="3774">
        <f t="shared" si="13"/>
        <v>100</v>
      </c>
      <c r="V33" s="3771" t="s">
        <v>13</v>
      </c>
      <c r="W33" s="3774">
        <f t="shared" si="14"/>
        <v>100</v>
      </c>
      <c r="X33" s="910"/>
      <c r="Y33" s="4509"/>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509"/>
      <c r="Q34" s="907">
        <f t="shared" si="11"/>
        <v>111</v>
      </c>
      <c r="R34" s="3771" t="s">
        <v>13</v>
      </c>
      <c r="S34" s="3774">
        <f t="shared" si="12"/>
        <v>100</v>
      </c>
      <c r="T34" s="3771" t="s">
        <v>13</v>
      </c>
      <c r="U34" s="3774">
        <f t="shared" si="13"/>
        <v>100</v>
      </c>
      <c r="V34" s="3771" t="s">
        <v>13</v>
      </c>
      <c r="W34" s="3774">
        <f t="shared" si="14"/>
        <v>100</v>
      </c>
      <c r="X34" s="910"/>
      <c r="Y34" s="4509"/>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509"/>
      <c r="Q35" s="483">
        <f t="shared" si="11"/>
        <v>111</v>
      </c>
      <c r="R35" s="3772" t="s">
        <v>13</v>
      </c>
      <c r="S35" s="3775">
        <f t="shared" si="12"/>
        <v>100</v>
      </c>
      <c r="T35" s="3772" t="s">
        <v>13</v>
      </c>
      <c r="U35" s="3775">
        <f t="shared" si="13"/>
        <v>100</v>
      </c>
      <c r="V35" s="3772" t="s">
        <v>13</v>
      </c>
      <c r="W35" s="3775">
        <f t="shared" si="14"/>
        <v>100</v>
      </c>
      <c r="X35" s="484"/>
      <c r="Y35" s="4509"/>
      <c r="Z35" s="485">
        <f t="shared" si="15"/>
        <v>111</v>
      </c>
      <c r="AA35" s="908">
        <f t="shared" si="3"/>
        <v>1</v>
      </c>
      <c r="AB35" s="908">
        <f t="shared" si="4"/>
        <v>1</v>
      </c>
      <c r="AC35" s="908">
        <f t="shared" si="5"/>
        <v>1</v>
      </c>
    </row>
    <row r="36" spans="1:29" ht="15.6"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509"/>
      <c r="Q36" s="907">
        <f t="shared" si="11"/>
        <v>111</v>
      </c>
      <c r="R36" s="3771" t="s">
        <v>13</v>
      </c>
      <c r="S36" s="3774">
        <f t="shared" si="12"/>
        <v>100</v>
      </c>
      <c r="T36" s="3771" t="s">
        <v>13</v>
      </c>
      <c r="U36" s="3774">
        <f t="shared" si="13"/>
        <v>100</v>
      </c>
      <c r="V36" s="3771" t="s">
        <v>13</v>
      </c>
      <c r="W36" s="3774">
        <f t="shared" si="14"/>
        <v>100</v>
      </c>
      <c r="X36" s="910"/>
      <c r="Y36" s="4509"/>
      <c r="Z36" s="908">
        <f t="shared" si="15"/>
        <v>111</v>
      </c>
      <c r="AA36" s="908">
        <f t="shared" si="3"/>
        <v>1</v>
      </c>
      <c r="AB36" s="908">
        <f t="shared" si="4"/>
        <v>1</v>
      </c>
      <c r="AC36" s="908">
        <f t="shared" si="5"/>
        <v>1</v>
      </c>
    </row>
    <row r="37" spans="1:29" ht="14.4">
      <c r="A37" s="286" t="s">
        <v>1754</v>
      </c>
      <c r="B37" s="1426" t="s">
        <v>3243</v>
      </c>
      <c r="C37" s="765" t="s">
        <v>0</v>
      </c>
      <c r="D37" s="288"/>
      <c r="E37" s="3206"/>
      <c r="F37" s="3154"/>
      <c r="G37" s="3207"/>
      <c r="H37" s="3155"/>
      <c r="I37" s="3206"/>
      <c r="J37" s="3155"/>
      <c r="K37" s="3208"/>
      <c r="L37" s="1982"/>
      <c r="M37" s="1975"/>
      <c r="N37" s="1975"/>
      <c r="O37" s="1975"/>
      <c r="P37" s="4583" t="str">
        <f>A37</f>
        <v>成交单价</v>
      </c>
      <c r="Q37" s="4583"/>
      <c r="R37" s="4574">
        <f>E37</f>
        <v>0</v>
      </c>
      <c r="S37" s="4574"/>
      <c r="T37" s="4574">
        <f>G37</f>
        <v>0</v>
      </c>
      <c r="U37" s="4574"/>
      <c r="V37" s="4574">
        <f>I37</f>
        <v>0</v>
      </c>
      <c r="W37" s="4574"/>
      <c r="X37" s="265"/>
      <c r="Y37" s="486"/>
      <c r="Z37" s="265"/>
      <c r="AA37" s="265"/>
      <c r="AB37" s="265"/>
      <c r="AC37" s="265"/>
    </row>
    <row r="38" spans="1:29" ht="1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3" t="str">
        <f>A38</f>
        <v>比较价值（元/平方米）</v>
      </c>
      <c r="Q38" s="4583"/>
      <c r="R38" s="4574" t="e">
        <f>IF(F1="售价",ROUND(PRODUCT(R37,AA7:AA36),0),ROUND(PRODUCT(R37,AA7:AA36),1))</f>
        <v>#DIV/0!</v>
      </c>
      <c r="S38" s="4574"/>
      <c r="T38" s="4574" t="e">
        <f>IF(F1="售价",ROUND(PRODUCT(T37,AB7:AB36),0),ROUND(PRODUCT(T37,AB7:AB36),1))</f>
        <v>#DIV/0!</v>
      </c>
      <c r="U38" s="4574"/>
      <c r="V38" s="4574" t="e">
        <f>IF(F1="售价",ROUND(PRODUCT(V37,AC7:AC36),0),ROUND(PRODUCT(V37,AC7:AC36),1))</f>
        <v>#DIV/0!</v>
      </c>
      <c r="W38" s="4574"/>
      <c r="X38" s="265"/>
      <c r="Y38" s="265"/>
      <c r="Z38" s="265"/>
      <c r="AA38" s="265"/>
      <c r="AB38" s="265"/>
      <c r="AC38" s="265"/>
    </row>
    <row r="39" spans="1:29" ht="15" thickBot="1">
      <c r="A39" s="291" t="s">
        <v>1756</v>
      </c>
      <c r="B39" s="292"/>
      <c r="C39" s="3749" t="e">
        <f>R39</f>
        <v>#DIV/0!</v>
      </c>
      <c r="D39" s="241"/>
      <c r="E39" s="241"/>
      <c r="F39" s="241"/>
      <c r="G39" s="241"/>
      <c r="H39" s="241"/>
      <c r="I39" s="241"/>
      <c r="J39" s="241"/>
      <c r="K39" s="399"/>
      <c r="L39" s="1982"/>
      <c r="M39" s="1975"/>
      <c r="N39" s="1975"/>
      <c r="O39" s="1975"/>
      <c r="P39" s="4592" t="str">
        <f>A39</f>
        <v>估价对象XX用房的比较价值（楼面单价，元/平方米）</v>
      </c>
      <c r="Q39" s="4593"/>
      <c r="R39" s="4594" t="e">
        <f>IF(F1="售价",ROUND(IF(D38="简单平均",AVERAGE(R38:W38),R38*F38+T38*H38+V38*J38),0),ROUND(IF(D38="简单平均",AVERAGE(R38:V38),R38*F38+T38*H38+V38*J38),1))</f>
        <v>#DIV/0!</v>
      </c>
      <c r="S39" s="4594"/>
      <c r="T39" s="4594"/>
      <c r="U39" s="4594"/>
      <c r="V39" s="4594"/>
      <c r="W39" s="4594"/>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2.2"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4.4">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4"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9.4"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4"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4"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4"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4"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4"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4"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4"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4"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9.4"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4"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4"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4"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4"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4"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4"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4"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4.4">
      <c r="A4" s="235" t="s">
        <v>1679</v>
      </c>
      <c r="B4" s="236"/>
      <c r="C4" s="4479" t="s">
        <v>1680</v>
      </c>
      <c r="D4" s="4480"/>
      <c r="E4" s="4481" t="s">
        <v>1681</v>
      </c>
      <c r="F4" s="4482"/>
      <c r="G4" s="4479" t="s">
        <v>1682</v>
      </c>
      <c r="H4" s="4480"/>
      <c r="I4" s="4479" t="s">
        <v>1683</v>
      </c>
      <c r="J4" s="4480"/>
      <c r="K4" s="393" t="s">
        <v>1684</v>
      </c>
      <c r="L4" s="1974"/>
      <c r="M4" s="1975"/>
      <c r="N4" s="1975"/>
      <c r="O4" s="1975"/>
      <c r="P4" s="4584" t="s">
        <v>1685</v>
      </c>
      <c r="Q4" s="4585"/>
      <c r="R4" s="4569" t="s">
        <v>1681</v>
      </c>
      <c r="S4" s="4570"/>
      <c r="T4" s="4569" t="s">
        <v>1682</v>
      </c>
      <c r="U4" s="4570"/>
      <c r="V4" s="4574" t="s">
        <v>1683</v>
      </c>
      <c r="W4" s="4574"/>
      <c r="X4" s="910"/>
      <c r="Y4" s="4569" t="s">
        <v>1685</v>
      </c>
      <c r="Z4" s="4570"/>
      <c r="AA4" s="4549" t="s">
        <v>1681</v>
      </c>
      <c r="AB4" s="4460" t="s">
        <v>1682</v>
      </c>
      <c r="AC4" s="4549" t="s">
        <v>1683</v>
      </c>
    </row>
    <row r="5" spans="1:29">
      <c r="A5" s="238"/>
      <c r="B5" s="239"/>
      <c r="C5" s="4577" t="s">
        <v>1583</v>
      </c>
      <c r="D5" s="4469"/>
      <c r="E5" s="4575" t="s">
        <v>1584</v>
      </c>
      <c r="F5" s="4576"/>
      <c r="G5" s="4577" t="s">
        <v>1585</v>
      </c>
      <c r="H5" s="4469"/>
      <c r="I5" s="4577" t="s">
        <v>1586</v>
      </c>
      <c r="J5" s="4469"/>
      <c r="K5" s="393"/>
      <c r="L5" s="1974"/>
      <c r="M5" s="1975"/>
      <c r="N5" s="1975"/>
      <c r="O5" s="1975"/>
      <c r="P5" s="4586"/>
      <c r="Q5" s="4587"/>
      <c r="R5" s="4497"/>
      <c r="S5" s="4498"/>
      <c r="T5" s="4497"/>
      <c r="U5" s="4498"/>
      <c r="V5" s="4574"/>
      <c r="W5" s="4574"/>
      <c r="X5" s="910"/>
      <c r="Y5" s="4497"/>
      <c r="Z5" s="4498"/>
      <c r="AA5" s="4460"/>
      <c r="AB5" s="4460"/>
      <c r="AC5" s="4460"/>
    </row>
    <row r="6" spans="1:29" ht="15" thickBot="1">
      <c r="A6" s="240"/>
      <c r="B6" s="241"/>
      <c r="C6" s="4470" t="s">
        <v>1587</v>
      </c>
      <c r="D6" s="4471"/>
      <c r="E6" s="4472" t="s">
        <v>1587</v>
      </c>
      <c r="F6" s="4473"/>
      <c r="G6" s="4470" t="s">
        <v>1587</v>
      </c>
      <c r="H6" s="4471"/>
      <c r="I6" s="4470" t="s">
        <v>1587</v>
      </c>
      <c r="J6" s="4471"/>
      <c r="K6" s="393" t="s">
        <v>1588</v>
      </c>
      <c r="L6" s="1974"/>
      <c r="M6" s="1975"/>
      <c r="N6" s="1975"/>
      <c r="O6" s="1975"/>
      <c r="P6" s="4588"/>
      <c r="Q6" s="4589"/>
      <c r="R6" s="4497"/>
      <c r="S6" s="4498"/>
      <c r="T6" s="4499"/>
      <c r="U6" s="4500"/>
      <c r="V6" s="4574"/>
      <c r="W6" s="4574"/>
      <c r="X6" s="910"/>
      <c r="Y6" s="4499"/>
      <c r="Z6" s="4500"/>
      <c r="AA6" s="4461"/>
      <c r="AB6" s="4461"/>
      <c r="AC6" s="4461"/>
    </row>
    <row r="7" spans="1:29" s="46" customFormat="1" ht="1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462" t="s">
        <v>1590</v>
      </c>
      <c r="Q7" s="4590"/>
      <c r="R7" s="3770" t="s">
        <v>13</v>
      </c>
      <c r="S7" s="3773">
        <f t="shared" ref="S7:S14" si="0">F7</f>
        <v>0</v>
      </c>
      <c r="T7" s="3770" t="s">
        <v>13</v>
      </c>
      <c r="U7" s="3773">
        <f t="shared" ref="U7:U14" si="1">H7</f>
        <v>0</v>
      </c>
      <c r="V7" s="3770" t="s">
        <v>13</v>
      </c>
      <c r="W7" s="3773">
        <f t="shared" ref="W7:W14" si="2">J7</f>
        <v>0</v>
      </c>
      <c r="X7" s="482"/>
      <c r="Y7" s="4462" t="s">
        <v>1590</v>
      </c>
      <c r="Z7" s="4463"/>
      <c r="AA7" s="28" t="e">
        <f>D7/F7</f>
        <v>#DIV/0!</v>
      </c>
      <c r="AB7" s="28" t="e">
        <f>D7/H7</f>
        <v>#DIV/0!</v>
      </c>
      <c r="AC7" s="28" t="e">
        <f>D7/J7</f>
        <v>#DIV/0!</v>
      </c>
    </row>
    <row r="8" spans="1:29" s="46" customFormat="1" ht="1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462" t="s">
        <v>1593</v>
      </c>
      <c r="Q8" s="4463"/>
      <c r="R8" s="3770" t="s">
        <v>13</v>
      </c>
      <c r="S8" s="3773">
        <f t="shared" si="0"/>
        <v>100</v>
      </c>
      <c r="T8" s="3770" t="s">
        <v>13</v>
      </c>
      <c r="U8" s="3773">
        <f t="shared" si="1"/>
        <v>100</v>
      </c>
      <c r="V8" s="3770" t="s">
        <v>13</v>
      </c>
      <c r="W8" s="3773">
        <f t="shared" si="2"/>
        <v>100</v>
      </c>
      <c r="X8" s="482"/>
      <c r="Y8" s="4462" t="s">
        <v>1593</v>
      </c>
      <c r="Z8" s="4463"/>
      <c r="AA8" s="28">
        <f t="shared" ref="AA8:AA34" si="3">D8/F8</f>
        <v>1</v>
      </c>
      <c r="AB8" s="28">
        <f t="shared" ref="AB8:AB34" si="4">D8/H8</f>
        <v>1</v>
      </c>
      <c r="AC8" s="28">
        <f t="shared" ref="AC8:AC34" si="5">D8/J8</f>
        <v>1</v>
      </c>
    </row>
    <row r="9" spans="1:29" s="46" customFormat="1" ht="14.4">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3" t="s">
        <v>1596</v>
      </c>
      <c r="Q9" s="389" t="str">
        <f t="shared" ref="Q9:Q14" si="6">B9</f>
        <v>用途</v>
      </c>
      <c r="R9" s="3770" t="s">
        <v>13</v>
      </c>
      <c r="S9" s="3773">
        <f t="shared" si="0"/>
        <v>100</v>
      </c>
      <c r="T9" s="3770" t="s">
        <v>13</v>
      </c>
      <c r="U9" s="3773">
        <f t="shared" si="1"/>
        <v>100</v>
      </c>
      <c r="V9" s="3770" t="s">
        <v>13</v>
      </c>
      <c r="W9" s="3773">
        <f t="shared" si="2"/>
        <v>100</v>
      </c>
      <c r="X9" s="482"/>
      <c r="Y9" s="4475" t="s">
        <v>1597</v>
      </c>
      <c r="Z9" s="28" t="str">
        <f t="shared" ref="Z9:Z14" si="7">Q9</f>
        <v>用途</v>
      </c>
      <c r="AA9" s="28">
        <f t="shared" si="3"/>
        <v>1</v>
      </c>
      <c r="AB9" s="28">
        <f t="shared" si="4"/>
        <v>1</v>
      </c>
      <c r="AC9" s="28">
        <f t="shared" si="5"/>
        <v>1</v>
      </c>
    </row>
    <row r="10" spans="1:29" s="253" customFormat="1" ht="28.8">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3"/>
      <c r="Q10" s="389" t="str">
        <f t="shared" si="6"/>
        <v>土地使用年限（年）</v>
      </c>
      <c r="R10" s="3770" t="s">
        <v>13</v>
      </c>
      <c r="S10" s="3773">
        <f t="shared" si="0"/>
        <v>100</v>
      </c>
      <c r="T10" s="3770" t="s">
        <v>13</v>
      </c>
      <c r="U10" s="3773">
        <f t="shared" si="1"/>
        <v>100</v>
      </c>
      <c r="V10" s="3770" t="s">
        <v>13</v>
      </c>
      <c r="W10" s="3773">
        <f t="shared" si="2"/>
        <v>100</v>
      </c>
      <c r="X10" s="482"/>
      <c r="Y10" s="4475"/>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3"/>
      <c r="Q11" s="389">
        <f t="shared" si="6"/>
        <v>111</v>
      </c>
      <c r="R11" s="3770" t="s">
        <v>13</v>
      </c>
      <c r="S11" s="3773">
        <f t="shared" si="0"/>
        <v>100</v>
      </c>
      <c r="T11" s="3770" t="s">
        <v>13</v>
      </c>
      <c r="U11" s="3773">
        <f t="shared" si="1"/>
        <v>100</v>
      </c>
      <c r="V11" s="3770" t="s">
        <v>13</v>
      </c>
      <c r="W11" s="3773">
        <f t="shared" si="2"/>
        <v>100</v>
      </c>
      <c r="X11" s="482"/>
      <c r="Y11" s="4475"/>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3"/>
      <c r="Q12" s="389">
        <f t="shared" si="6"/>
        <v>111</v>
      </c>
      <c r="R12" s="3770" t="s">
        <v>13</v>
      </c>
      <c r="S12" s="3773">
        <f t="shared" si="0"/>
        <v>100</v>
      </c>
      <c r="T12" s="3770" t="s">
        <v>13</v>
      </c>
      <c r="U12" s="3773">
        <f t="shared" si="1"/>
        <v>100</v>
      </c>
      <c r="V12" s="3770" t="s">
        <v>13</v>
      </c>
      <c r="W12" s="3773">
        <f t="shared" si="2"/>
        <v>100</v>
      </c>
      <c r="X12" s="482"/>
      <c r="Y12" s="4475"/>
      <c r="Z12" s="28">
        <f t="shared" si="7"/>
        <v>111</v>
      </c>
      <c r="AA12" s="28">
        <f>D12/F12</f>
        <v>1</v>
      </c>
      <c r="AB12" s="28">
        <f>D12/H12</f>
        <v>1</v>
      </c>
      <c r="AC12" s="28">
        <f>D12/J12</f>
        <v>1</v>
      </c>
    </row>
    <row r="13" spans="1:29" ht="15.6"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3"/>
      <c r="Q13" s="389">
        <f t="shared" si="6"/>
        <v>111</v>
      </c>
      <c r="R13" s="3770" t="s">
        <v>13</v>
      </c>
      <c r="S13" s="3773">
        <f t="shared" si="0"/>
        <v>100</v>
      </c>
      <c r="T13" s="3770" t="s">
        <v>13</v>
      </c>
      <c r="U13" s="3773">
        <f t="shared" si="1"/>
        <v>100</v>
      </c>
      <c r="V13" s="3770" t="s">
        <v>13</v>
      </c>
      <c r="W13" s="3773">
        <f t="shared" si="2"/>
        <v>100</v>
      </c>
      <c r="X13" s="482"/>
      <c r="Y13" s="4475"/>
      <c r="Z13" s="28">
        <f t="shared" si="7"/>
        <v>111</v>
      </c>
      <c r="AA13" s="28">
        <f t="shared" si="3"/>
        <v>1</v>
      </c>
      <c r="AB13" s="28">
        <f t="shared" si="4"/>
        <v>1</v>
      </c>
      <c r="AC13" s="28">
        <f t="shared" si="5"/>
        <v>1</v>
      </c>
    </row>
    <row r="14" spans="1:29" ht="96.6">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504" t="s">
        <v>1601</v>
      </c>
      <c r="Q14" s="907" t="str">
        <f t="shared" si="6"/>
        <v>交通便捷度</v>
      </c>
      <c r="R14" s="3771" t="s">
        <v>13</v>
      </c>
      <c r="S14" s="3774">
        <f t="shared" si="0"/>
        <v>100</v>
      </c>
      <c r="T14" s="3771" t="s">
        <v>13</v>
      </c>
      <c r="U14" s="3774">
        <f t="shared" si="1"/>
        <v>100</v>
      </c>
      <c r="V14" s="3771" t="s">
        <v>13</v>
      </c>
      <c r="W14" s="3774">
        <f t="shared" si="2"/>
        <v>100</v>
      </c>
      <c r="X14" s="910"/>
      <c r="Y14" s="4504"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505"/>
      <c r="Q15" s="907"/>
      <c r="R15" s="3771"/>
      <c r="S15" s="3774"/>
      <c r="T15" s="3771"/>
      <c r="U15" s="3774"/>
      <c r="V15" s="3771"/>
      <c r="W15" s="3774"/>
      <c r="X15" s="910"/>
      <c r="Y15" s="4505"/>
      <c r="Z15" s="908"/>
      <c r="AA15" s="908">
        <v>1</v>
      </c>
      <c r="AB15" s="908">
        <v>1</v>
      </c>
      <c r="AC15" s="908">
        <v>1</v>
      </c>
    </row>
    <row r="16" spans="1:29" ht="41.4">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505"/>
      <c r="Q16" s="907" t="str">
        <f>B16</f>
        <v>公共配套设施</v>
      </c>
      <c r="R16" s="3771" t="s">
        <v>13</v>
      </c>
      <c r="S16" s="3774">
        <f>F16</f>
        <v>100</v>
      </c>
      <c r="T16" s="3771" t="s">
        <v>13</v>
      </c>
      <c r="U16" s="3774">
        <f>H16</f>
        <v>100</v>
      </c>
      <c r="V16" s="3771" t="s">
        <v>13</v>
      </c>
      <c r="W16" s="3774">
        <f>J16</f>
        <v>100</v>
      </c>
      <c r="X16" s="910"/>
      <c r="Y16" s="4505"/>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505"/>
      <c r="Q17" s="907"/>
      <c r="R17" s="3771"/>
      <c r="S17" s="3774"/>
      <c r="T17" s="3771"/>
      <c r="U17" s="3774"/>
      <c r="V17" s="3771"/>
      <c r="W17" s="3774"/>
      <c r="X17" s="910"/>
      <c r="Y17" s="4505"/>
      <c r="Z17" s="908"/>
      <c r="AA17" s="908">
        <v>1</v>
      </c>
      <c r="AB17" s="908">
        <v>1</v>
      </c>
      <c r="AC17" s="908">
        <v>1</v>
      </c>
    </row>
    <row r="18" spans="1:29" ht="41.4">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505"/>
      <c r="Q18" s="907" t="str">
        <f>B18</f>
        <v>基础设施水平</v>
      </c>
      <c r="R18" s="3771" t="s">
        <v>13</v>
      </c>
      <c r="S18" s="3774">
        <f>F18</f>
        <v>100</v>
      </c>
      <c r="T18" s="3771" t="s">
        <v>13</v>
      </c>
      <c r="U18" s="3774">
        <f>H18</f>
        <v>100</v>
      </c>
      <c r="V18" s="3771" t="s">
        <v>13</v>
      </c>
      <c r="W18" s="3774">
        <f>J18</f>
        <v>100</v>
      </c>
      <c r="X18" s="910"/>
      <c r="Y18" s="4505"/>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505"/>
      <c r="Q19" s="907"/>
      <c r="R19" s="3771"/>
      <c r="S19" s="3774"/>
      <c r="T19" s="3771"/>
      <c r="U19" s="3774"/>
      <c r="V19" s="3771"/>
      <c r="W19" s="3774"/>
      <c r="X19" s="910"/>
      <c r="Y19" s="4505"/>
      <c r="Z19" s="908"/>
      <c r="AA19" s="908">
        <v>1</v>
      </c>
      <c r="AB19" s="908">
        <v>1</v>
      </c>
      <c r="AC19" s="908">
        <v>1</v>
      </c>
    </row>
    <row r="20" spans="1:29" ht="55.2">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505"/>
      <c r="Q20" s="907" t="str">
        <f>B20</f>
        <v>自然及人文环境</v>
      </c>
      <c r="R20" s="3771" t="s">
        <v>13</v>
      </c>
      <c r="S20" s="3774">
        <f>F20</f>
        <v>100</v>
      </c>
      <c r="T20" s="3771" t="s">
        <v>13</v>
      </c>
      <c r="U20" s="3774">
        <f>H20</f>
        <v>100</v>
      </c>
      <c r="V20" s="3771" t="s">
        <v>13</v>
      </c>
      <c r="W20" s="3774">
        <f>J20</f>
        <v>100</v>
      </c>
      <c r="X20" s="910"/>
      <c r="Y20" s="4505"/>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505"/>
      <c r="Q21" s="907"/>
      <c r="R21" s="3771"/>
      <c r="S21" s="3774"/>
      <c r="T21" s="3771"/>
      <c r="U21" s="3774"/>
      <c r="V21" s="3771"/>
      <c r="W21" s="3774"/>
      <c r="X21" s="910"/>
      <c r="Y21" s="4505"/>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505"/>
      <c r="Q22" s="907" t="str">
        <f>B22</f>
        <v>楼层</v>
      </c>
      <c r="R22" s="3771" t="s">
        <v>13</v>
      </c>
      <c r="S22" s="3774">
        <f>F22</f>
        <v>100</v>
      </c>
      <c r="T22" s="3771" t="s">
        <v>13</v>
      </c>
      <c r="U22" s="3774">
        <f>H22</f>
        <v>100</v>
      </c>
      <c r="V22" s="3771" t="s">
        <v>13</v>
      </c>
      <c r="W22" s="3774">
        <f>J22</f>
        <v>100</v>
      </c>
      <c r="X22" s="910"/>
      <c r="Y22" s="4505"/>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505"/>
      <c r="Q23" s="907">
        <f>B23</f>
        <v>111</v>
      </c>
      <c r="R23" s="3771" t="s">
        <v>13</v>
      </c>
      <c r="S23" s="3774">
        <f>F23</f>
        <v>100</v>
      </c>
      <c r="T23" s="3771" t="s">
        <v>13</v>
      </c>
      <c r="U23" s="3774">
        <f>H23</f>
        <v>100</v>
      </c>
      <c r="V23" s="3771" t="s">
        <v>13</v>
      </c>
      <c r="W23" s="3774">
        <f>J23</f>
        <v>100</v>
      </c>
      <c r="X23" s="910"/>
      <c r="Y23" s="4505"/>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505"/>
      <c r="Q24" s="907">
        <f t="shared" ref="Q24:Q34" si="11">B24</f>
        <v>111</v>
      </c>
      <c r="R24" s="3771" t="s">
        <v>13</v>
      </c>
      <c r="S24" s="3774">
        <f>F24</f>
        <v>100</v>
      </c>
      <c r="T24" s="3771" t="s">
        <v>13</v>
      </c>
      <c r="U24" s="3774">
        <f>H24</f>
        <v>100</v>
      </c>
      <c r="V24" s="3771" t="s">
        <v>13</v>
      </c>
      <c r="W24" s="3774">
        <f>J24</f>
        <v>100</v>
      </c>
      <c r="X24" s="910"/>
      <c r="Y24" s="4505"/>
      <c r="Z24" s="908">
        <f>Q24</f>
        <v>111</v>
      </c>
      <c r="AA24" s="908">
        <f t="shared" si="3"/>
        <v>1</v>
      </c>
      <c r="AB24" s="908">
        <f t="shared" si="4"/>
        <v>1</v>
      </c>
      <c r="AC24" s="908">
        <f t="shared" si="5"/>
        <v>1</v>
      </c>
    </row>
    <row r="25" spans="1:29" s="46" customFormat="1" ht="15.6"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5"/>
      <c r="Q25" s="389">
        <f t="shared" si="11"/>
        <v>111</v>
      </c>
      <c r="R25" s="3770" t="s">
        <v>13</v>
      </c>
      <c r="S25" s="3773">
        <f>F25</f>
        <v>100</v>
      </c>
      <c r="T25" s="3770" t="s">
        <v>13</v>
      </c>
      <c r="U25" s="3773">
        <f>H25</f>
        <v>100</v>
      </c>
      <c r="V25" s="3770" t="s">
        <v>13</v>
      </c>
      <c r="W25" s="3773">
        <f>J25</f>
        <v>100</v>
      </c>
      <c r="X25" s="482"/>
      <c r="Y25" s="4505"/>
      <c r="Z25" s="28">
        <f>Q25</f>
        <v>111</v>
      </c>
      <c r="AA25" s="908">
        <f>D25/F25</f>
        <v>1</v>
      </c>
      <c r="AB25" s="908">
        <f>D25/H25</f>
        <v>1</v>
      </c>
      <c r="AC25" s="908">
        <f>D25/J25</f>
        <v>1</v>
      </c>
    </row>
    <row r="26" spans="1:29" ht="30">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1"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509"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509"/>
      <c r="Q27" s="483" t="str">
        <f t="shared" si="11"/>
        <v>成新率</v>
      </c>
      <c r="R27" s="3772" t="s">
        <v>13</v>
      </c>
      <c r="S27" s="3775" t="e">
        <f t="shared" si="12"/>
        <v>#N/A</v>
      </c>
      <c r="T27" s="3772" t="s">
        <v>13</v>
      </c>
      <c r="U27" s="3775" t="e">
        <f t="shared" si="13"/>
        <v>#N/A</v>
      </c>
      <c r="V27" s="3772" t="s">
        <v>13</v>
      </c>
      <c r="W27" s="3775" t="e">
        <f t="shared" si="14"/>
        <v>#N/A</v>
      </c>
      <c r="X27" s="484"/>
      <c r="Y27" s="4509"/>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509"/>
      <c r="Q28" s="907" t="str">
        <f t="shared" si="11"/>
        <v>物业等级</v>
      </c>
      <c r="R28" s="3771" t="s">
        <v>13</v>
      </c>
      <c r="S28" s="3774">
        <f t="shared" si="12"/>
        <v>100</v>
      </c>
      <c r="T28" s="3771" t="s">
        <v>13</v>
      </c>
      <c r="U28" s="3774">
        <f t="shared" si="13"/>
        <v>100</v>
      </c>
      <c r="V28" s="3771" t="s">
        <v>13</v>
      </c>
      <c r="W28" s="3774">
        <f t="shared" si="14"/>
        <v>100</v>
      </c>
      <c r="X28" s="910"/>
      <c r="Y28" s="4509"/>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509"/>
      <c r="Q29" s="907" t="str">
        <f t="shared" si="11"/>
        <v>有无电梯</v>
      </c>
      <c r="R29" s="3771" t="s">
        <v>13</v>
      </c>
      <c r="S29" s="3774">
        <f t="shared" si="12"/>
        <v>100</v>
      </c>
      <c r="T29" s="3771" t="s">
        <v>13</v>
      </c>
      <c r="U29" s="3774">
        <f t="shared" si="13"/>
        <v>100</v>
      </c>
      <c r="V29" s="3771" t="s">
        <v>13</v>
      </c>
      <c r="W29" s="3774">
        <f t="shared" si="14"/>
        <v>100</v>
      </c>
      <c r="X29" s="910"/>
      <c r="Y29" s="4509"/>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509"/>
      <c r="Q30" s="907" t="str">
        <f t="shared" si="11"/>
        <v>建筑面积</v>
      </c>
      <c r="R30" s="3771" t="s">
        <v>13</v>
      </c>
      <c r="S30" s="3774" t="e">
        <f t="shared" si="12"/>
        <v>#N/A</v>
      </c>
      <c r="T30" s="3771" t="s">
        <v>13</v>
      </c>
      <c r="U30" s="3774" t="e">
        <f t="shared" si="13"/>
        <v>#N/A</v>
      </c>
      <c r="V30" s="3771" t="s">
        <v>13</v>
      </c>
      <c r="W30" s="3774" t="e">
        <f t="shared" si="14"/>
        <v>#N/A</v>
      </c>
      <c r="X30" s="910"/>
      <c r="Y30" s="4509"/>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509"/>
      <c r="Q31" s="389" t="str">
        <f t="shared" si="11"/>
        <v>是否封闭</v>
      </c>
      <c r="R31" s="3770" t="s">
        <v>13</v>
      </c>
      <c r="S31" s="3773">
        <f t="shared" si="12"/>
        <v>100</v>
      </c>
      <c r="T31" s="3770" t="s">
        <v>13</v>
      </c>
      <c r="U31" s="3773">
        <f t="shared" si="13"/>
        <v>100</v>
      </c>
      <c r="V31" s="3770" t="s">
        <v>13</v>
      </c>
      <c r="W31" s="3773">
        <f t="shared" si="14"/>
        <v>100</v>
      </c>
      <c r="X31" s="482"/>
      <c r="Y31" s="4509"/>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509" t="s">
        <v>1606</v>
      </c>
      <c r="Q32" s="907">
        <f t="shared" si="11"/>
        <v>111</v>
      </c>
      <c r="R32" s="3771" t="s">
        <v>13</v>
      </c>
      <c r="S32" s="3774">
        <f t="shared" si="12"/>
        <v>100</v>
      </c>
      <c r="T32" s="3771" t="s">
        <v>13</v>
      </c>
      <c r="U32" s="3774">
        <f t="shared" si="13"/>
        <v>100</v>
      </c>
      <c r="V32" s="3771" t="s">
        <v>13</v>
      </c>
      <c r="W32" s="3774">
        <f t="shared" si="14"/>
        <v>100</v>
      </c>
      <c r="X32" s="910"/>
      <c r="Y32" s="4509"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509"/>
      <c r="Q33" s="907">
        <f t="shared" si="11"/>
        <v>111</v>
      </c>
      <c r="R33" s="3771" t="s">
        <v>13</v>
      </c>
      <c r="S33" s="3774">
        <f t="shared" si="12"/>
        <v>100</v>
      </c>
      <c r="T33" s="3771" t="s">
        <v>13</v>
      </c>
      <c r="U33" s="3774">
        <f t="shared" si="13"/>
        <v>100</v>
      </c>
      <c r="V33" s="3771" t="s">
        <v>13</v>
      </c>
      <c r="W33" s="3774">
        <f t="shared" si="14"/>
        <v>100</v>
      </c>
      <c r="X33" s="910"/>
      <c r="Y33" s="4509"/>
      <c r="Z33" s="908">
        <f t="shared" si="15"/>
        <v>111</v>
      </c>
      <c r="AA33" s="908">
        <f t="shared" si="3"/>
        <v>1</v>
      </c>
      <c r="AB33" s="908">
        <f t="shared" si="4"/>
        <v>1</v>
      </c>
      <c r="AC33" s="908">
        <f t="shared" si="5"/>
        <v>1</v>
      </c>
    </row>
    <row r="34" spans="1:30" ht="15.6"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509"/>
      <c r="Q34" s="907">
        <f t="shared" si="11"/>
        <v>111</v>
      </c>
      <c r="R34" s="3771" t="s">
        <v>13</v>
      </c>
      <c r="S34" s="3774">
        <f t="shared" si="12"/>
        <v>100</v>
      </c>
      <c r="T34" s="3771" t="s">
        <v>13</v>
      </c>
      <c r="U34" s="3774">
        <f t="shared" si="13"/>
        <v>100</v>
      </c>
      <c r="V34" s="3771" t="s">
        <v>13</v>
      </c>
      <c r="W34" s="3774">
        <f t="shared" si="14"/>
        <v>100</v>
      </c>
      <c r="X34" s="910"/>
      <c r="Y34" s="4509"/>
      <c r="Z34" s="908">
        <f t="shared" si="15"/>
        <v>111</v>
      </c>
      <c r="AA34" s="908">
        <f t="shared" si="3"/>
        <v>1</v>
      </c>
      <c r="AB34" s="908">
        <f t="shared" si="4"/>
        <v>1</v>
      </c>
      <c r="AC34" s="908">
        <f t="shared" si="5"/>
        <v>1</v>
      </c>
    </row>
    <row r="35" spans="1:30" ht="14.4">
      <c r="A35" s="286" t="s">
        <v>1618</v>
      </c>
      <c r="B35" s="287"/>
      <c r="C35" s="765" t="s">
        <v>0</v>
      </c>
      <c r="D35" s="288"/>
      <c r="E35" s="3206"/>
      <c r="F35" s="3154"/>
      <c r="G35" s="3207"/>
      <c r="H35" s="3155"/>
      <c r="I35" s="3206"/>
      <c r="J35" s="3155"/>
      <c r="K35" s="2863"/>
      <c r="L35" s="1982"/>
      <c r="M35" s="1975"/>
      <c r="N35" s="1975"/>
      <c r="O35" s="1975"/>
      <c r="P35" s="4583" t="str">
        <f>A35</f>
        <v>成交单价（元/平方米）</v>
      </c>
      <c r="Q35" s="4583"/>
      <c r="R35" s="4574">
        <f>E35</f>
        <v>0</v>
      </c>
      <c r="S35" s="4574"/>
      <c r="T35" s="4574">
        <f>G35</f>
        <v>0</v>
      </c>
      <c r="U35" s="4574"/>
      <c r="V35" s="4574">
        <f>I35</f>
        <v>0</v>
      </c>
      <c r="W35" s="4574"/>
      <c r="X35" s="265"/>
      <c r="Y35" s="486"/>
      <c r="Z35" s="265"/>
      <c r="AA35" s="265"/>
      <c r="AB35" s="265"/>
      <c r="AC35" s="265"/>
    </row>
    <row r="36" spans="1:30" ht="1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3" t="str">
        <f>A36</f>
        <v>比较价值（元/平方米）</v>
      </c>
      <c r="Q36" s="4583"/>
      <c r="R36" s="4574" t="e">
        <f>IF(F1="售价",ROUND(PRODUCT(R35,AA7:AA34),0),ROUND(PRODUCT(R35,AA7:AA34),1))</f>
        <v>#DIV/0!</v>
      </c>
      <c r="S36" s="4574"/>
      <c r="T36" s="4574" t="e">
        <f>IF(F1="售价",ROUND(PRODUCT(T35,AB7:AB34),0),ROUND(PRODUCT(T35,AB7:AB34),1))</f>
        <v>#DIV/0!</v>
      </c>
      <c r="U36" s="4574"/>
      <c r="V36" s="4574" t="e">
        <f>IF(F1="售价",ROUND(PRODUCT(V35,AC7:AC34),0),ROUND(PRODUCT(V35,AC7:AC34),1))</f>
        <v>#DIV/0!</v>
      </c>
      <c r="W36" s="4574"/>
      <c r="X36" s="265"/>
      <c r="Y36" s="265"/>
      <c r="Z36" s="265"/>
      <c r="AA36" s="265"/>
      <c r="AB36" s="265"/>
      <c r="AC36" s="265"/>
    </row>
    <row r="37" spans="1:30" ht="15" thickBot="1">
      <c r="A37" s="291" t="s">
        <v>1704</v>
      </c>
      <c r="B37" s="292"/>
      <c r="C37" s="3749" t="e">
        <f>R37</f>
        <v>#DIV/0!</v>
      </c>
      <c r="D37" s="241"/>
      <c r="E37" s="241"/>
      <c r="F37" s="241"/>
      <c r="G37" s="241"/>
      <c r="H37" s="241"/>
      <c r="I37" s="241"/>
      <c r="J37" s="241"/>
      <c r="K37" s="487"/>
      <c r="L37" s="1982"/>
      <c r="M37" s="1975"/>
      <c r="N37" s="1975"/>
      <c r="O37" s="1975"/>
      <c r="P37" s="4592" t="str">
        <f>A37</f>
        <v>估价对象XX用房的比较价值（楼面单价，元/平方米）</v>
      </c>
      <c r="Q37" s="4593"/>
      <c r="R37" s="4594" t="e">
        <f>IF(F1="售价",ROUND(IF(D36="简单平均",AVERAGE(R36:W36),R36*F36+T36*H36+V36*J36),0),ROUND(IF(D36="简单平均",AVERAGE(R36:V36),R36*F36+T36*H36+V36*J36),1))</f>
        <v>#DIV/0!</v>
      </c>
      <c r="S37" s="4594"/>
      <c r="T37" s="4594"/>
      <c r="U37" s="4594"/>
      <c r="V37" s="4594"/>
      <c r="W37" s="4594"/>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2.2"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4.4">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4"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9.4"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4"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4"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4"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4"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4"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4"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9.4"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4"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4"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4"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4"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4"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4"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4"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4"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4"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4"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4"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4"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9"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4.4">
      <c r="A6" s="235" t="s">
        <v>1679</v>
      </c>
      <c r="B6" s="236"/>
      <c r="C6" s="4560" t="s">
        <v>1680</v>
      </c>
      <c r="D6" s="4561"/>
      <c r="E6" s="4562" t="s">
        <v>1681</v>
      </c>
      <c r="F6" s="4563"/>
      <c r="G6" s="4560" t="s">
        <v>1682</v>
      </c>
      <c r="H6" s="4561"/>
      <c r="I6" s="4560" t="s">
        <v>1683</v>
      </c>
      <c r="J6" s="4561"/>
      <c r="K6" s="2864" t="s">
        <v>1684</v>
      </c>
      <c r="L6" s="1974"/>
      <c r="M6" s="1975"/>
      <c r="N6" s="1975"/>
      <c r="O6" s="1975"/>
      <c r="P6" s="4564" t="s">
        <v>1685</v>
      </c>
      <c r="Q6" s="4565"/>
      <c r="R6" s="4550" t="s">
        <v>1681</v>
      </c>
      <c r="S6" s="4551"/>
      <c r="T6" s="4550" t="s">
        <v>1682</v>
      </c>
      <c r="U6" s="4551"/>
      <c r="V6" s="4492" t="s">
        <v>1683</v>
      </c>
      <c r="W6" s="4492"/>
      <c r="X6" s="910"/>
      <c r="Y6" s="4569" t="s">
        <v>1685</v>
      </c>
      <c r="Z6" s="4570"/>
      <c r="AA6" s="4549" t="s">
        <v>1681</v>
      </c>
      <c r="AB6" s="4460" t="s">
        <v>1682</v>
      </c>
      <c r="AC6" s="4549" t="s">
        <v>1683</v>
      </c>
    </row>
    <row r="7" spans="1:29">
      <c r="A7" s="238"/>
      <c r="B7" s="239"/>
      <c r="C7" s="4554" t="s">
        <v>1583</v>
      </c>
      <c r="D7" s="4555"/>
      <c r="E7" s="4552" t="s">
        <v>1584</v>
      </c>
      <c r="F7" s="4553"/>
      <c r="G7" s="4554" t="s">
        <v>1585</v>
      </c>
      <c r="H7" s="4555"/>
      <c r="I7" s="4554" t="s">
        <v>1586</v>
      </c>
      <c r="J7" s="4555"/>
      <c r="K7" s="2864"/>
      <c r="L7" s="1974"/>
      <c r="M7" s="1975"/>
      <c r="N7" s="1975"/>
      <c r="O7" s="1975"/>
      <c r="P7" s="4566"/>
      <c r="Q7" s="4486"/>
      <c r="R7" s="4466"/>
      <c r="S7" s="4467"/>
      <c r="T7" s="4466"/>
      <c r="U7" s="4467"/>
      <c r="V7" s="4492"/>
      <c r="W7" s="4492"/>
      <c r="X7" s="910"/>
      <c r="Y7" s="4497"/>
      <c r="Z7" s="4498"/>
      <c r="AA7" s="4460"/>
      <c r="AB7" s="4460"/>
      <c r="AC7" s="4460"/>
    </row>
    <row r="8" spans="1:29" ht="15" thickBot="1">
      <c r="A8" s="240"/>
      <c r="B8" s="241"/>
      <c r="C8" s="4556" t="s">
        <v>1587</v>
      </c>
      <c r="D8" s="4557"/>
      <c r="E8" s="4558" t="s">
        <v>1587</v>
      </c>
      <c r="F8" s="4559"/>
      <c r="G8" s="4556" t="s">
        <v>1587</v>
      </c>
      <c r="H8" s="4557"/>
      <c r="I8" s="4556" t="s">
        <v>1587</v>
      </c>
      <c r="J8" s="4557"/>
      <c r="K8" s="2864" t="s">
        <v>1588</v>
      </c>
      <c r="L8" s="1974"/>
      <c r="M8" s="1975"/>
      <c r="N8" s="1975"/>
      <c r="O8" s="1975"/>
      <c r="P8" s="4567"/>
      <c r="Q8" s="4488"/>
      <c r="R8" s="4466"/>
      <c r="S8" s="4467"/>
      <c r="T8" s="4489"/>
      <c r="U8" s="4490"/>
      <c r="V8" s="4492"/>
      <c r="W8" s="4492"/>
      <c r="X8" s="910"/>
      <c r="Y8" s="4499"/>
      <c r="Z8" s="4500"/>
      <c r="AA8" s="4461"/>
      <c r="AB8" s="4461"/>
      <c r="AC8" s="4461"/>
    </row>
    <row r="9" spans="1:29" s="46" customFormat="1" ht="1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68" t="s">
        <v>1590</v>
      </c>
      <c r="Q9" s="4501"/>
      <c r="R9" s="3763" t="s">
        <v>13</v>
      </c>
      <c r="S9" s="3543">
        <f t="shared" ref="S9:S17" si="0">F9</f>
        <v>0</v>
      </c>
      <c r="T9" s="3763" t="s">
        <v>13</v>
      </c>
      <c r="U9" s="3543">
        <f t="shared" ref="U9:U17" si="1">H9</f>
        <v>0</v>
      </c>
      <c r="V9" s="3763" t="s">
        <v>13</v>
      </c>
      <c r="W9" s="3543">
        <f t="shared" ref="W9:W17" si="2">J9</f>
        <v>0</v>
      </c>
      <c r="X9" s="482"/>
      <c r="Y9" s="4462" t="s">
        <v>1590</v>
      </c>
      <c r="Z9" s="4463"/>
      <c r="AA9" s="28" t="e">
        <f>D9/F9</f>
        <v>#DIV/0!</v>
      </c>
      <c r="AB9" s="28" t="e">
        <f>D9/H9</f>
        <v>#DIV/0!</v>
      </c>
      <c r="AC9" s="28" t="e">
        <f>D9/J9</f>
        <v>#DIV/0!</v>
      </c>
    </row>
    <row r="10" spans="1:29" s="46" customFormat="1" ht="1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68" t="s">
        <v>1593</v>
      </c>
      <c r="Q10" s="4494"/>
      <c r="R10" s="3763" t="s">
        <v>13</v>
      </c>
      <c r="S10" s="3543">
        <f t="shared" si="0"/>
        <v>100</v>
      </c>
      <c r="T10" s="3763" t="s">
        <v>13</v>
      </c>
      <c r="U10" s="3543">
        <f t="shared" si="1"/>
        <v>100</v>
      </c>
      <c r="V10" s="3763" t="s">
        <v>13</v>
      </c>
      <c r="W10" s="3543">
        <f t="shared" si="2"/>
        <v>100</v>
      </c>
      <c r="X10" s="482"/>
      <c r="Y10" s="4462" t="s">
        <v>1593</v>
      </c>
      <c r="Z10" s="4463"/>
      <c r="AA10" s="28">
        <f t="shared" ref="AA10:AA47" si="3">D10/F10</f>
        <v>1</v>
      </c>
      <c r="AB10" s="28">
        <f t="shared" ref="AB10:AB47" si="4">D10/H10</f>
        <v>1</v>
      </c>
      <c r="AC10" s="28">
        <f t="shared" ref="AC10:AC47" si="5">D10/J10</f>
        <v>1</v>
      </c>
    </row>
    <row r="11" spans="1:29" s="46" customFormat="1" ht="14.4">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511" t="s">
        <v>1596</v>
      </c>
      <c r="Q11" s="1698" t="str">
        <f t="shared" ref="Q11:Q17" si="6">B11</f>
        <v>用途</v>
      </c>
      <c r="R11" s="3763" t="s">
        <v>13</v>
      </c>
      <c r="S11" s="3543">
        <f t="shared" si="0"/>
        <v>100</v>
      </c>
      <c r="T11" s="3763" t="s">
        <v>13</v>
      </c>
      <c r="U11" s="3543">
        <f t="shared" si="1"/>
        <v>100</v>
      </c>
      <c r="V11" s="3763" t="s">
        <v>13</v>
      </c>
      <c r="W11" s="3543">
        <f t="shared" si="2"/>
        <v>100</v>
      </c>
      <c r="X11" s="482"/>
      <c r="Y11" s="4475" t="s">
        <v>1597</v>
      </c>
      <c r="Z11" s="28" t="str">
        <f t="shared" ref="Z11:Z17" si="7">Q11</f>
        <v>用途</v>
      </c>
      <c r="AA11" s="28">
        <f t="shared" si="3"/>
        <v>1</v>
      </c>
      <c r="AB11" s="28">
        <f t="shared" si="4"/>
        <v>1</v>
      </c>
      <c r="AC11" s="28">
        <f t="shared" si="5"/>
        <v>1</v>
      </c>
    </row>
    <row r="12" spans="1:29" s="253" customFormat="1" ht="28.8">
      <c r="A12" s="3093"/>
      <c r="B12" s="2790" t="s">
        <v>1598</v>
      </c>
      <c r="C12" s="2817"/>
      <c r="D12" s="2889">
        <v>100</v>
      </c>
      <c r="E12" s="2867"/>
      <c r="F12" s="3735">
        <f>ROUND(100/'数据-取费表'!G16,1)</f>
        <v>109.3</v>
      </c>
      <c r="G12" s="2873"/>
      <c r="H12" s="3735">
        <f>ROUND(100/'数据-取费表'!G16,1)</f>
        <v>109.3</v>
      </c>
      <c r="I12" s="2873"/>
      <c r="J12" s="3735">
        <f>ROUND(100/'数据-取费表'!G16,1)</f>
        <v>109.3</v>
      </c>
      <c r="K12" s="3126"/>
      <c r="L12" s="1977"/>
      <c r="M12" s="1978"/>
      <c r="N12" s="1978"/>
      <c r="O12" s="2029"/>
      <c r="P12" s="4511"/>
      <c r="Q12" s="1698" t="str">
        <f t="shared" si="6"/>
        <v>土地使用年限（年）</v>
      </c>
      <c r="R12" s="3763" t="s">
        <v>13</v>
      </c>
      <c r="S12" s="3543">
        <f t="shared" si="0"/>
        <v>109.3</v>
      </c>
      <c r="T12" s="3763" t="s">
        <v>13</v>
      </c>
      <c r="U12" s="3543">
        <f t="shared" si="1"/>
        <v>109.3</v>
      </c>
      <c r="V12" s="3763" t="s">
        <v>13</v>
      </c>
      <c r="W12" s="3543">
        <f t="shared" si="2"/>
        <v>109.3</v>
      </c>
      <c r="X12" s="482"/>
      <c r="Y12" s="4475"/>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511"/>
      <c r="Q13" s="1698" t="str">
        <f t="shared" si="6"/>
        <v>容积率</v>
      </c>
      <c r="R13" s="3763" t="s">
        <v>13</v>
      </c>
      <c r="S13" s="3543">
        <f t="shared" si="0"/>
        <v>100</v>
      </c>
      <c r="T13" s="3763" t="s">
        <v>13</v>
      </c>
      <c r="U13" s="3543">
        <f t="shared" si="1"/>
        <v>100</v>
      </c>
      <c r="V13" s="3763" t="s">
        <v>13</v>
      </c>
      <c r="W13" s="3543">
        <f t="shared" si="2"/>
        <v>100</v>
      </c>
      <c r="X13" s="482"/>
      <c r="Y13" s="4475"/>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511"/>
      <c r="Q14" s="1698" t="str">
        <f t="shared" si="6"/>
        <v>配建</v>
      </c>
      <c r="R14" s="3763" t="s">
        <v>13</v>
      </c>
      <c r="S14" s="3543">
        <f t="shared" si="0"/>
        <v>100</v>
      </c>
      <c r="T14" s="3763" t="s">
        <v>13</v>
      </c>
      <c r="U14" s="3543">
        <f t="shared" si="1"/>
        <v>100</v>
      </c>
      <c r="V14" s="3763" t="s">
        <v>13</v>
      </c>
      <c r="W14" s="3543">
        <f t="shared" si="2"/>
        <v>100</v>
      </c>
      <c r="X14" s="482"/>
      <c r="Y14" s="4475"/>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511"/>
      <c r="Q15" s="1698">
        <f t="shared" si="6"/>
        <v>111</v>
      </c>
      <c r="R15" s="3763" t="s">
        <v>13</v>
      </c>
      <c r="S15" s="3543">
        <f t="shared" si="0"/>
        <v>100</v>
      </c>
      <c r="T15" s="3763" t="s">
        <v>13</v>
      </c>
      <c r="U15" s="3543">
        <f t="shared" si="1"/>
        <v>100</v>
      </c>
      <c r="V15" s="3763" t="s">
        <v>13</v>
      </c>
      <c r="W15" s="3543">
        <f t="shared" si="2"/>
        <v>100</v>
      </c>
      <c r="X15" s="482"/>
      <c r="Y15" s="4475"/>
      <c r="Z15" s="28">
        <f t="shared" si="7"/>
        <v>111</v>
      </c>
      <c r="AA15" s="28">
        <f>D15/F15</f>
        <v>1</v>
      </c>
      <c r="AB15" s="28">
        <f>D15/H15</f>
        <v>1</v>
      </c>
      <c r="AC15" s="28">
        <f>D15/J15</f>
        <v>1</v>
      </c>
    </row>
    <row r="16" spans="1:29" ht="15.6"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511"/>
      <c r="Q16" s="1698">
        <f t="shared" si="6"/>
        <v>111</v>
      </c>
      <c r="R16" s="3763" t="s">
        <v>13</v>
      </c>
      <c r="S16" s="3543">
        <f t="shared" si="0"/>
        <v>100</v>
      </c>
      <c r="T16" s="3763" t="s">
        <v>13</v>
      </c>
      <c r="U16" s="3543">
        <f t="shared" si="1"/>
        <v>100</v>
      </c>
      <c r="V16" s="3763" t="s">
        <v>13</v>
      </c>
      <c r="W16" s="3543">
        <f t="shared" si="2"/>
        <v>100</v>
      </c>
      <c r="X16" s="482"/>
      <c r="Y16" s="4475"/>
      <c r="Z16" s="28">
        <f t="shared" si="7"/>
        <v>111</v>
      </c>
      <c r="AA16" s="28">
        <f>D16/F16</f>
        <v>1</v>
      </c>
      <c r="AB16" s="28">
        <f>D16/H16</f>
        <v>1</v>
      </c>
      <c r="AC16" s="28">
        <f>D16/J16</f>
        <v>1</v>
      </c>
    </row>
    <row r="17" spans="1:29" ht="96.6">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78" t="s">
        <v>1601</v>
      </c>
      <c r="Q17" s="1507" t="str">
        <f t="shared" si="6"/>
        <v>居住社区成熟度</v>
      </c>
      <c r="R17" s="3764" t="s">
        <v>13</v>
      </c>
      <c r="S17" s="3766">
        <f t="shared" si="0"/>
        <v>100</v>
      </c>
      <c r="T17" s="3764" t="s">
        <v>13</v>
      </c>
      <c r="U17" s="3766">
        <f t="shared" si="1"/>
        <v>100</v>
      </c>
      <c r="V17" s="3764" t="s">
        <v>13</v>
      </c>
      <c r="W17" s="3766">
        <f t="shared" si="2"/>
        <v>100</v>
      </c>
      <c r="X17" s="910"/>
      <c r="Y17" s="4504"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79"/>
      <c r="Q18" s="1507"/>
      <c r="R18" s="3764"/>
      <c r="S18" s="3766"/>
      <c r="T18" s="3764"/>
      <c r="U18" s="3766"/>
      <c r="V18" s="3764"/>
      <c r="W18" s="3766"/>
      <c r="X18" s="910"/>
      <c r="Y18" s="4505"/>
      <c r="Z18" s="908"/>
      <c r="AA18" s="908">
        <v>1</v>
      </c>
      <c r="AB18" s="908">
        <v>1</v>
      </c>
      <c r="AC18" s="908">
        <v>1</v>
      </c>
    </row>
    <row r="19" spans="1:29" ht="69">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79"/>
      <c r="Q19" s="1507" t="str">
        <f>B19</f>
        <v>商业繁华度</v>
      </c>
      <c r="R19" s="3764" t="s">
        <v>13</v>
      </c>
      <c r="S19" s="3766">
        <f>F19</f>
        <v>100</v>
      </c>
      <c r="T19" s="3764" t="s">
        <v>13</v>
      </c>
      <c r="U19" s="3766">
        <f>H19</f>
        <v>100</v>
      </c>
      <c r="V19" s="3764" t="s">
        <v>13</v>
      </c>
      <c r="W19" s="3766">
        <f>J19</f>
        <v>100</v>
      </c>
      <c r="X19" s="910"/>
      <c r="Y19" s="4505"/>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79"/>
      <c r="Q20" s="1507"/>
      <c r="R20" s="3764"/>
      <c r="S20" s="3766"/>
      <c r="T20" s="3764"/>
      <c r="U20" s="3766"/>
      <c r="V20" s="3764"/>
      <c r="W20" s="3766"/>
      <c r="X20" s="910"/>
      <c r="Y20" s="4505"/>
      <c r="Z20" s="908"/>
      <c r="AA20" s="908">
        <v>1</v>
      </c>
      <c r="AB20" s="908">
        <v>1</v>
      </c>
      <c r="AC20" s="908">
        <v>1</v>
      </c>
    </row>
    <row r="21" spans="1:29" ht="69">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79"/>
      <c r="Q21" s="1507" t="str">
        <f>B21</f>
        <v>办公集聚程度</v>
      </c>
      <c r="R21" s="3764" t="s">
        <v>13</v>
      </c>
      <c r="S21" s="3766">
        <f>F21</f>
        <v>100</v>
      </c>
      <c r="T21" s="3764" t="s">
        <v>13</v>
      </c>
      <c r="U21" s="3766">
        <f>H21</f>
        <v>100</v>
      </c>
      <c r="V21" s="3764" t="s">
        <v>13</v>
      </c>
      <c r="W21" s="3766">
        <f>J21</f>
        <v>100</v>
      </c>
      <c r="X21" s="910"/>
      <c r="Y21" s="4505"/>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79"/>
      <c r="Q22" s="1507"/>
      <c r="R22" s="3764"/>
      <c r="S22" s="3766"/>
      <c r="T22" s="3764"/>
      <c r="U22" s="3766"/>
      <c r="V22" s="3764"/>
      <c r="W22" s="3766"/>
      <c r="X22" s="910"/>
      <c r="Y22" s="4505"/>
      <c r="Z22" s="908"/>
      <c r="AA22" s="908">
        <v>1</v>
      </c>
      <c r="AB22" s="908">
        <v>1</v>
      </c>
      <c r="AC22" s="908">
        <v>1</v>
      </c>
    </row>
    <row r="23" spans="1:29" ht="82.8">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79"/>
      <c r="Q23" s="1507" t="str">
        <f>B23</f>
        <v>交通便捷度</v>
      </c>
      <c r="R23" s="3764" t="s">
        <v>13</v>
      </c>
      <c r="S23" s="3766">
        <f>F23</f>
        <v>100</v>
      </c>
      <c r="T23" s="3764" t="s">
        <v>13</v>
      </c>
      <c r="U23" s="3766">
        <f>H23</f>
        <v>100</v>
      </c>
      <c r="V23" s="3764" t="s">
        <v>13</v>
      </c>
      <c r="W23" s="3766">
        <f>J23</f>
        <v>100</v>
      </c>
      <c r="X23" s="910"/>
      <c r="Y23" s="4505"/>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79"/>
      <c r="Q24" s="1507"/>
      <c r="R24" s="3764"/>
      <c r="S24" s="3766"/>
      <c r="T24" s="3764"/>
      <c r="U24" s="3766"/>
      <c r="V24" s="3764"/>
      <c r="W24" s="3766"/>
      <c r="X24" s="910"/>
      <c r="Y24" s="4505"/>
      <c r="Z24" s="908"/>
      <c r="AA24" s="908">
        <v>1</v>
      </c>
      <c r="AB24" s="908">
        <v>1</v>
      </c>
      <c r="AC24" s="908">
        <v>1</v>
      </c>
    </row>
    <row r="25" spans="1:29" ht="28.8">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79"/>
      <c r="Q25" s="1507" t="str">
        <f t="shared" ref="Q25:Q39" si="8">B25</f>
        <v>区域土地利用方向</v>
      </c>
      <c r="R25" s="3764" t="s">
        <v>13</v>
      </c>
      <c r="S25" s="3766">
        <f>F25</f>
        <v>100</v>
      </c>
      <c r="T25" s="3764" t="s">
        <v>13</v>
      </c>
      <c r="U25" s="3766">
        <f>H25</f>
        <v>100</v>
      </c>
      <c r="V25" s="3764" t="s">
        <v>13</v>
      </c>
      <c r="W25" s="3766">
        <f>J25</f>
        <v>100</v>
      </c>
      <c r="X25" s="910"/>
      <c r="Y25" s="4505"/>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79"/>
      <c r="Q26" s="1507"/>
      <c r="R26" s="3764"/>
      <c r="S26" s="3766"/>
      <c r="T26" s="3764"/>
      <c r="U26" s="3766"/>
      <c r="V26" s="3764"/>
      <c r="W26" s="3766"/>
      <c r="X26" s="910"/>
      <c r="Y26" s="4505"/>
      <c r="Z26" s="908"/>
      <c r="AA26" s="908"/>
      <c r="AB26" s="908"/>
      <c r="AC26" s="908"/>
    </row>
    <row r="27" spans="1:29" ht="55.2">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79"/>
      <c r="Q27" s="1507" t="str">
        <f t="shared" si="8"/>
        <v>自然及人文环境状况</v>
      </c>
      <c r="R27" s="3764" t="s">
        <v>13</v>
      </c>
      <c r="S27" s="3766">
        <f>F27</f>
        <v>100</v>
      </c>
      <c r="T27" s="3764" t="s">
        <v>13</v>
      </c>
      <c r="U27" s="3766">
        <f>H27</f>
        <v>100</v>
      </c>
      <c r="V27" s="3764" t="s">
        <v>13</v>
      </c>
      <c r="W27" s="3766">
        <f>J27</f>
        <v>100</v>
      </c>
      <c r="X27" s="910"/>
      <c r="Y27" s="4505"/>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79"/>
      <c r="Q28" s="1507"/>
      <c r="R28" s="3764"/>
      <c r="S28" s="3766"/>
      <c r="T28" s="3764"/>
      <c r="U28" s="3766"/>
      <c r="V28" s="3764"/>
      <c r="W28" s="3766"/>
      <c r="X28" s="910"/>
      <c r="Y28" s="4505"/>
      <c r="Z28" s="908"/>
      <c r="AA28" s="908">
        <v>1</v>
      </c>
      <c r="AB28" s="908">
        <v>1</v>
      </c>
      <c r="AC28" s="908">
        <v>1</v>
      </c>
    </row>
    <row r="29" spans="1:29" s="46" customFormat="1" ht="41.4">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79"/>
      <c r="Q29" s="1698" t="str">
        <f t="shared" si="8"/>
        <v>公共配套设施</v>
      </c>
      <c r="R29" s="3763" t="s">
        <v>13</v>
      </c>
      <c r="S29" s="3543">
        <f>F29</f>
        <v>100</v>
      </c>
      <c r="T29" s="3763" t="s">
        <v>13</v>
      </c>
      <c r="U29" s="3543">
        <f>H29</f>
        <v>100</v>
      </c>
      <c r="V29" s="3763" t="s">
        <v>13</v>
      </c>
      <c r="W29" s="3543">
        <f>J29</f>
        <v>100</v>
      </c>
      <c r="X29" s="482"/>
      <c r="Y29" s="4505"/>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79"/>
      <c r="Q30" s="1698"/>
      <c r="R30" s="3763"/>
      <c r="S30" s="3543"/>
      <c r="T30" s="3763"/>
      <c r="U30" s="3543"/>
      <c r="V30" s="3763"/>
      <c r="W30" s="3543"/>
      <c r="X30" s="482"/>
      <c r="Y30" s="4505"/>
      <c r="Z30" s="28"/>
      <c r="AA30" s="908">
        <v>1</v>
      </c>
      <c r="AB30" s="908">
        <v>1</v>
      </c>
      <c r="AC30" s="908">
        <v>1</v>
      </c>
    </row>
    <row r="31" spans="1:29" s="46" customFormat="1" ht="27.6">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79"/>
      <c r="Q31" s="1698" t="str">
        <f t="shared" ref="Q31" si="9">B31</f>
        <v>基础设施水平</v>
      </c>
      <c r="R31" s="3763" t="s">
        <v>13</v>
      </c>
      <c r="S31" s="3543">
        <f>F31</f>
        <v>100</v>
      </c>
      <c r="T31" s="3763" t="s">
        <v>13</v>
      </c>
      <c r="U31" s="3543">
        <f>H31</f>
        <v>100</v>
      </c>
      <c r="V31" s="3763" t="s">
        <v>13</v>
      </c>
      <c r="W31" s="3543">
        <f>J31</f>
        <v>100</v>
      </c>
      <c r="X31" s="482"/>
      <c r="Y31" s="4505"/>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79"/>
      <c r="Q32" s="1698"/>
      <c r="R32" s="3763"/>
      <c r="S32" s="3543"/>
      <c r="T32" s="3763"/>
      <c r="U32" s="3543"/>
      <c r="V32" s="3763"/>
      <c r="W32" s="3543"/>
      <c r="X32" s="482"/>
      <c r="Y32" s="4505"/>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79"/>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505"/>
      <c r="Z33" s="908" t="str">
        <f t="shared" ref="Z33:Z47" si="13">Q33</f>
        <v>临街状况</v>
      </c>
      <c r="AA33" s="908">
        <f t="shared" si="3"/>
        <v>1</v>
      </c>
      <c r="AB33" s="908">
        <f t="shared" si="4"/>
        <v>1</v>
      </c>
      <c r="AC33" s="908">
        <f t="shared" si="5"/>
        <v>1</v>
      </c>
    </row>
    <row r="34" spans="1:29" ht="28.8">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79"/>
      <c r="Q34" s="1507" t="str">
        <f t="shared" si="8"/>
        <v>毗邻道路的类型与等级</v>
      </c>
      <c r="R34" s="3764" t="s">
        <v>13</v>
      </c>
      <c r="S34" s="3766">
        <f t="shared" si="10"/>
        <v>100</v>
      </c>
      <c r="T34" s="3764" t="s">
        <v>13</v>
      </c>
      <c r="U34" s="3766">
        <f t="shared" si="11"/>
        <v>100</v>
      </c>
      <c r="V34" s="3764" t="s">
        <v>13</v>
      </c>
      <c r="W34" s="3766">
        <f t="shared" si="12"/>
        <v>100</v>
      </c>
      <c r="X34" s="910"/>
      <c r="Y34" s="4505"/>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79"/>
      <c r="Q35" s="1507"/>
      <c r="R35" s="3764"/>
      <c r="S35" s="3766"/>
      <c r="T35" s="3764"/>
      <c r="U35" s="3766"/>
      <c r="V35" s="3764"/>
      <c r="W35" s="3766"/>
      <c r="X35" s="910"/>
      <c r="Y35" s="4505"/>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79"/>
      <c r="Q36" s="1507" t="str">
        <f t="shared" si="8"/>
        <v>土地级别</v>
      </c>
      <c r="R36" s="3764" t="s">
        <v>13</v>
      </c>
      <c r="S36" s="3766">
        <f t="shared" si="10"/>
        <v>100</v>
      </c>
      <c r="T36" s="3764" t="s">
        <v>13</v>
      </c>
      <c r="U36" s="3766">
        <f t="shared" si="11"/>
        <v>100</v>
      </c>
      <c r="V36" s="3764" t="s">
        <v>13</v>
      </c>
      <c r="W36" s="3766">
        <f t="shared" si="12"/>
        <v>100</v>
      </c>
      <c r="X36" s="910"/>
      <c r="Y36" s="4505"/>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79"/>
      <c r="Q37" s="1507">
        <f t="shared" si="8"/>
        <v>111</v>
      </c>
      <c r="R37" s="3764" t="s">
        <v>13</v>
      </c>
      <c r="S37" s="3766">
        <f t="shared" si="10"/>
        <v>100</v>
      </c>
      <c r="T37" s="3764" t="s">
        <v>13</v>
      </c>
      <c r="U37" s="3766">
        <f t="shared" si="11"/>
        <v>100</v>
      </c>
      <c r="V37" s="3764" t="s">
        <v>13</v>
      </c>
      <c r="W37" s="3766">
        <f t="shared" si="12"/>
        <v>100</v>
      </c>
      <c r="X37" s="910"/>
      <c r="Y37" s="4505"/>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0" t="s">
        <v>1606</v>
      </c>
      <c r="Q38" s="1507">
        <f t="shared" si="8"/>
        <v>111</v>
      </c>
      <c r="R38" s="3764" t="s">
        <v>13</v>
      </c>
      <c r="S38" s="3766">
        <f t="shared" si="10"/>
        <v>100</v>
      </c>
      <c r="T38" s="3764" t="s">
        <v>13</v>
      </c>
      <c r="U38" s="3766">
        <f t="shared" si="11"/>
        <v>100</v>
      </c>
      <c r="V38" s="3764" t="s">
        <v>13</v>
      </c>
      <c r="W38" s="3766">
        <f t="shared" si="12"/>
        <v>100</v>
      </c>
      <c r="X38" s="910"/>
      <c r="Y38" s="4509" t="s">
        <v>1606</v>
      </c>
      <c r="Z38" s="908">
        <f t="shared" si="13"/>
        <v>111</v>
      </c>
      <c r="AA38" s="908">
        <f t="shared" si="3"/>
        <v>1</v>
      </c>
      <c r="AB38" s="908">
        <f t="shared" si="4"/>
        <v>1</v>
      </c>
      <c r="AC38" s="908">
        <f t="shared" si="5"/>
        <v>1</v>
      </c>
    </row>
    <row r="39" spans="1:29" s="279" customFormat="1" ht="15.6"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1"/>
      <c r="Q39" s="1507">
        <f t="shared" si="8"/>
        <v>111</v>
      </c>
      <c r="R39" s="3765" t="s">
        <v>13</v>
      </c>
      <c r="S39" s="3767">
        <f t="shared" si="10"/>
        <v>100</v>
      </c>
      <c r="T39" s="3765" t="s">
        <v>13</v>
      </c>
      <c r="U39" s="3767">
        <f t="shared" si="11"/>
        <v>100</v>
      </c>
      <c r="V39" s="3765" t="s">
        <v>13</v>
      </c>
      <c r="W39" s="3767">
        <f t="shared" si="12"/>
        <v>100</v>
      </c>
      <c r="X39" s="484"/>
      <c r="Y39" s="4509"/>
      <c r="Z39" s="485">
        <f t="shared" si="13"/>
        <v>111</v>
      </c>
      <c r="AA39" s="908">
        <f t="shared" si="3"/>
        <v>1</v>
      </c>
      <c r="AB39" s="908">
        <f t="shared" si="4"/>
        <v>1</v>
      </c>
      <c r="AC39" s="908">
        <f t="shared" si="5"/>
        <v>1</v>
      </c>
    </row>
    <row r="40" spans="1:29" ht="15.6">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1"/>
      <c r="Q40" s="1507" t="str">
        <f>B40</f>
        <v>宗地面积</v>
      </c>
      <c r="R40" s="3764" t="s">
        <v>13</v>
      </c>
      <c r="S40" s="3766" t="e">
        <f t="shared" si="10"/>
        <v>#N/A</v>
      </c>
      <c r="T40" s="3764" t="s">
        <v>13</v>
      </c>
      <c r="U40" s="3766" t="e">
        <f t="shared" si="11"/>
        <v>#N/A</v>
      </c>
      <c r="V40" s="3764" t="s">
        <v>13</v>
      </c>
      <c r="W40" s="3766" t="e">
        <f t="shared" si="12"/>
        <v>#N/A</v>
      </c>
      <c r="X40" s="910"/>
      <c r="Y40" s="4509"/>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1"/>
      <c r="Q41" s="1507" t="str">
        <f t="shared" ref="Q41:Q47" si="14">B41</f>
        <v>宗地形状</v>
      </c>
      <c r="R41" s="3764" t="s">
        <v>13</v>
      </c>
      <c r="S41" s="3766">
        <f t="shared" si="10"/>
        <v>100</v>
      </c>
      <c r="T41" s="3764" t="s">
        <v>13</v>
      </c>
      <c r="U41" s="3766">
        <f t="shared" si="11"/>
        <v>100</v>
      </c>
      <c r="V41" s="3764" t="s">
        <v>13</v>
      </c>
      <c r="W41" s="3766">
        <f t="shared" si="12"/>
        <v>100</v>
      </c>
      <c r="X41" s="910"/>
      <c r="Y41" s="4509"/>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1"/>
      <c r="Q42" s="1507" t="str">
        <f t="shared" si="14"/>
        <v>临街宽度及深度</v>
      </c>
      <c r="R42" s="3764" t="s">
        <v>13</v>
      </c>
      <c r="S42" s="3766">
        <f t="shared" si="10"/>
        <v>100</v>
      </c>
      <c r="T42" s="3764" t="s">
        <v>13</v>
      </c>
      <c r="U42" s="3766">
        <f t="shared" si="11"/>
        <v>100</v>
      </c>
      <c r="V42" s="3764" t="s">
        <v>13</v>
      </c>
      <c r="W42" s="3766">
        <f t="shared" si="12"/>
        <v>100</v>
      </c>
      <c r="X42" s="910"/>
      <c r="Y42" s="4509"/>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1"/>
      <c r="Q43" s="1507" t="str">
        <f t="shared" si="14"/>
        <v>宗地开发程度</v>
      </c>
      <c r="R43" s="3763" t="s">
        <v>13</v>
      </c>
      <c r="S43" s="3543">
        <f t="shared" si="10"/>
        <v>100</v>
      </c>
      <c r="T43" s="3763" t="s">
        <v>13</v>
      </c>
      <c r="U43" s="3543">
        <f t="shared" si="11"/>
        <v>100</v>
      </c>
      <c r="V43" s="3763" t="s">
        <v>13</v>
      </c>
      <c r="W43" s="3543">
        <f t="shared" si="12"/>
        <v>100</v>
      </c>
      <c r="X43" s="482"/>
      <c r="Y43" s="4509"/>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1" t="s">
        <v>1606</v>
      </c>
      <c r="Q44" s="1507" t="str">
        <f t="shared" si="14"/>
        <v>工程地质条件</v>
      </c>
      <c r="R44" s="3764" t="s">
        <v>13</v>
      </c>
      <c r="S44" s="3766">
        <f t="shared" si="10"/>
        <v>100</v>
      </c>
      <c r="T44" s="3764" t="s">
        <v>13</v>
      </c>
      <c r="U44" s="3766">
        <f t="shared" si="11"/>
        <v>100</v>
      </c>
      <c r="V44" s="3764" t="s">
        <v>13</v>
      </c>
      <c r="W44" s="3766">
        <f t="shared" si="12"/>
        <v>100</v>
      </c>
      <c r="X44" s="910"/>
      <c r="Y44" s="4509"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1"/>
      <c r="Q45" s="1507">
        <f t="shared" si="14"/>
        <v>111</v>
      </c>
      <c r="R45" s="3764" t="s">
        <v>13</v>
      </c>
      <c r="S45" s="3766">
        <f t="shared" si="10"/>
        <v>100</v>
      </c>
      <c r="T45" s="3764" t="s">
        <v>13</v>
      </c>
      <c r="U45" s="3766">
        <f t="shared" si="11"/>
        <v>100</v>
      </c>
      <c r="V45" s="3764" t="s">
        <v>13</v>
      </c>
      <c r="W45" s="3766">
        <f t="shared" si="12"/>
        <v>100</v>
      </c>
      <c r="X45" s="910"/>
      <c r="Y45" s="4509"/>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1"/>
      <c r="Q46" s="1507">
        <f t="shared" si="14"/>
        <v>111</v>
      </c>
      <c r="R46" s="3764" t="s">
        <v>13</v>
      </c>
      <c r="S46" s="3766">
        <f t="shared" si="10"/>
        <v>100</v>
      </c>
      <c r="T46" s="3764" t="s">
        <v>13</v>
      </c>
      <c r="U46" s="3766">
        <f t="shared" si="11"/>
        <v>100</v>
      </c>
      <c r="V46" s="3764" t="s">
        <v>13</v>
      </c>
      <c r="W46" s="3766">
        <f t="shared" si="12"/>
        <v>100</v>
      </c>
      <c r="X46" s="910"/>
      <c r="Y46" s="4509"/>
      <c r="Z46" s="908">
        <f t="shared" si="13"/>
        <v>111</v>
      </c>
      <c r="AA46" s="908">
        <f t="shared" si="3"/>
        <v>1</v>
      </c>
      <c r="AB46" s="908">
        <f t="shared" si="4"/>
        <v>1</v>
      </c>
      <c r="AC46" s="908">
        <f t="shared" si="5"/>
        <v>1</v>
      </c>
    </row>
    <row r="47" spans="1:29" s="279" customFormat="1" ht="15.6"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1"/>
      <c r="Q47" s="1507">
        <f t="shared" si="14"/>
        <v>111</v>
      </c>
      <c r="R47" s="3765" t="s">
        <v>13</v>
      </c>
      <c r="S47" s="3767">
        <f t="shared" si="10"/>
        <v>100</v>
      </c>
      <c r="T47" s="3765" t="s">
        <v>13</v>
      </c>
      <c r="U47" s="3767">
        <f t="shared" si="11"/>
        <v>100</v>
      </c>
      <c r="V47" s="3765" t="s">
        <v>13</v>
      </c>
      <c r="W47" s="3767">
        <f t="shared" si="12"/>
        <v>100</v>
      </c>
      <c r="X47" s="484"/>
      <c r="Y47" s="4509"/>
      <c r="Z47" s="485">
        <f t="shared" si="13"/>
        <v>111</v>
      </c>
      <c r="AA47" s="908">
        <f t="shared" si="3"/>
        <v>1</v>
      </c>
      <c r="AB47" s="908">
        <f t="shared" si="4"/>
        <v>1</v>
      </c>
      <c r="AC47" s="908">
        <f t="shared" si="5"/>
        <v>1</v>
      </c>
    </row>
    <row r="48" spans="1:29" ht="14.4">
      <c r="A48" s="286" t="s">
        <v>1754</v>
      </c>
      <c r="B48" s="1430" t="s">
        <v>1789</v>
      </c>
      <c r="C48" s="439" t="s">
        <v>0</v>
      </c>
      <c r="D48" s="288"/>
      <c r="E48" s="3206"/>
      <c r="F48" s="3154"/>
      <c r="G48" s="3207"/>
      <c r="H48" s="3155"/>
      <c r="I48" s="3206"/>
      <c r="J48" s="3155"/>
      <c r="K48" s="2863"/>
      <c r="L48" s="1982"/>
      <c r="M48" s="1975"/>
      <c r="N48" s="1975"/>
      <c r="O48" s="1975"/>
      <c r="P48" s="4511" t="str">
        <f>A48</f>
        <v>成交单价</v>
      </c>
      <c r="Q48" s="4511"/>
      <c r="R48" s="4512">
        <f>E48</f>
        <v>0</v>
      </c>
      <c r="S48" s="4512"/>
      <c r="T48" s="4512">
        <f>G48</f>
        <v>0</v>
      </c>
      <c r="U48" s="4512"/>
      <c r="V48" s="4512">
        <f>I48</f>
        <v>0</v>
      </c>
      <c r="W48" s="4512"/>
      <c r="X48" s="265"/>
      <c r="Y48" s="486"/>
      <c r="Z48" s="265"/>
      <c r="AA48" s="265"/>
      <c r="AB48" s="265"/>
      <c r="AC48" s="265"/>
    </row>
    <row r="49" spans="1:29" ht="1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511" t="str">
        <f>A49</f>
        <v>比较价值（元/平方米）</v>
      </c>
      <c r="Q49" s="4511"/>
      <c r="R49" s="4512" t="e">
        <f>ROUND(PRODUCT(R48,AA9:AA47),0)</f>
        <v>#DIV/0!</v>
      </c>
      <c r="S49" s="4512"/>
      <c r="T49" s="4512" t="e">
        <f>ROUND(PRODUCT(T48,AB9:AB47),0)</f>
        <v>#DIV/0!</v>
      </c>
      <c r="U49" s="4512"/>
      <c r="V49" s="4512" t="e">
        <f>ROUND(PRODUCT(V48,AC9:AC47),0)</f>
        <v>#DIV/0!</v>
      </c>
      <c r="W49" s="4512"/>
      <c r="X49" s="265"/>
      <c r="Y49" s="265"/>
      <c r="Z49" s="265"/>
      <c r="AA49" s="265"/>
      <c r="AB49" s="265"/>
      <c r="AC49" s="265"/>
    </row>
    <row r="50" spans="1:29" ht="15" thickBot="1">
      <c r="A50" s="291" t="s">
        <v>1790</v>
      </c>
      <c r="B50" s="292"/>
      <c r="C50" s="3749" t="e">
        <f>R50</f>
        <v>#DIV/0!</v>
      </c>
      <c r="D50" s="293"/>
      <c r="E50" s="293"/>
      <c r="F50" s="293"/>
      <c r="G50" s="293"/>
      <c r="H50" s="293"/>
      <c r="I50" s="293"/>
      <c r="J50" s="293"/>
      <c r="K50" s="3127"/>
      <c r="L50" s="1982"/>
      <c r="M50" s="1975"/>
      <c r="N50" s="1975"/>
      <c r="O50" s="1975"/>
      <c r="P50" s="4571" t="str">
        <f>A50</f>
        <v>估价对象XX用房的比较价值（楼面单价，元/平方米）</v>
      </c>
      <c r="Q50" s="4572"/>
      <c r="R50" s="4573" t="e">
        <f>ROUND(IF(D49="简单平均",AVERAGE(R49:W49),R49*F49+T49*H49+V49*J49),0)</f>
        <v>#DIV/0!</v>
      </c>
      <c r="S50" s="4573"/>
      <c r="T50" s="4573"/>
      <c r="U50" s="4573"/>
      <c r="V50" s="4573"/>
      <c r="W50" s="4573"/>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4"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79" t="s">
        <v>1797</v>
      </c>
      <c r="H57" s="4595"/>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110.59</v>
      </c>
      <c r="F58" s="3087" t="e">
        <f t="shared" ref="F58:F66" si="15">ROUND(B58*E58/10000,0)</f>
        <v>#DIV/0!</v>
      </c>
      <c r="G58" s="4596"/>
      <c r="H58" s="4583"/>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4"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1813</v>
      </c>
      <c r="B67" s="449" t="s">
        <v>20</v>
      </c>
      <c r="C67" s="449" t="s">
        <v>21</v>
      </c>
      <c r="D67" s="3088" t="s">
        <v>386</v>
      </c>
      <c r="E67" s="3071">
        <f>IF(B48="楼面地价",SUM(E58:E66),'数据-汇总表'!D3)</f>
        <v>110.59</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2.2"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4"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9.4"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4"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4"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4"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4"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4"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4"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4"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ht="14.4">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4"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4"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4"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4"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9.4"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4"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4"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4"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4"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4"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4"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4"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4"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4"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4"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4"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4"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4"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4.4">
      <c r="A6" s="3161" t="s">
        <v>1679</v>
      </c>
      <c r="B6" s="3162"/>
      <c r="C6" s="4560" t="s">
        <v>1680</v>
      </c>
      <c r="D6" s="4561"/>
      <c r="E6" s="4562" t="s">
        <v>1681</v>
      </c>
      <c r="F6" s="4563"/>
      <c r="G6" s="4560" t="s">
        <v>1682</v>
      </c>
      <c r="H6" s="4561"/>
      <c r="I6" s="4560" t="s">
        <v>1683</v>
      </c>
      <c r="J6" s="4561"/>
      <c r="K6" s="393" t="s">
        <v>1684</v>
      </c>
      <c r="L6" s="1974"/>
      <c r="M6" s="1975"/>
      <c r="N6" s="1975"/>
      <c r="O6" s="1975"/>
      <c r="P6" s="4564" t="s">
        <v>1685</v>
      </c>
      <c r="Q6" s="4565"/>
      <c r="R6" s="4550" t="s">
        <v>1681</v>
      </c>
      <c r="S6" s="4551"/>
      <c r="T6" s="4550" t="s">
        <v>1682</v>
      </c>
      <c r="U6" s="4551"/>
      <c r="V6" s="4492" t="s">
        <v>1683</v>
      </c>
      <c r="W6" s="4492"/>
      <c r="X6" s="910"/>
      <c r="Y6" s="4569" t="s">
        <v>1685</v>
      </c>
      <c r="Z6" s="4570"/>
      <c r="AA6" s="4549" t="s">
        <v>1681</v>
      </c>
      <c r="AB6" s="4460" t="s">
        <v>1682</v>
      </c>
      <c r="AC6" s="4549" t="s">
        <v>1683</v>
      </c>
    </row>
    <row r="7" spans="1:29">
      <c r="A7" s="3098"/>
      <c r="B7" s="3163"/>
      <c r="C7" s="4554" t="s">
        <v>1583</v>
      </c>
      <c r="D7" s="4555"/>
      <c r="E7" s="4552" t="s">
        <v>1584</v>
      </c>
      <c r="F7" s="4553"/>
      <c r="G7" s="4554" t="s">
        <v>1585</v>
      </c>
      <c r="H7" s="4555"/>
      <c r="I7" s="4554" t="s">
        <v>1586</v>
      </c>
      <c r="J7" s="4555"/>
      <c r="K7" s="393"/>
      <c r="L7" s="1974"/>
      <c r="M7" s="1975"/>
      <c r="N7" s="1975"/>
      <c r="O7" s="1975"/>
      <c r="P7" s="4566"/>
      <c r="Q7" s="4486"/>
      <c r="R7" s="4466"/>
      <c r="S7" s="4467"/>
      <c r="T7" s="4466"/>
      <c r="U7" s="4467"/>
      <c r="V7" s="4492"/>
      <c r="W7" s="4492"/>
      <c r="X7" s="910"/>
      <c r="Y7" s="4497"/>
      <c r="Z7" s="4498"/>
      <c r="AA7" s="4460"/>
      <c r="AB7" s="4460"/>
      <c r="AC7" s="4460"/>
    </row>
    <row r="8" spans="1:29" ht="15" thickBot="1">
      <c r="A8" s="3164"/>
      <c r="B8" s="3165"/>
      <c r="C8" s="4597" t="s">
        <v>1829</v>
      </c>
      <c r="D8" s="4598"/>
      <c r="E8" s="4599" t="s">
        <v>1829</v>
      </c>
      <c r="F8" s="4600"/>
      <c r="G8" s="4597" t="s">
        <v>1829</v>
      </c>
      <c r="H8" s="4598"/>
      <c r="I8" s="4597" t="s">
        <v>1829</v>
      </c>
      <c r="J8" s="4598"/>
      <c r="K8" s="393" t="s">
        <v>1588</v>
      </c>
      <c r="L8" s="1974"/>
      <c r="M8" s="1975"/>
      <c r="N8" s="1975"/>
      <c r="O8" s="1975"/>
      <c r="P8" s="4567"/>
      <c r="Q8" s="4488"/>
      <c r="R8" s="4466"/>
      <c r="S8" s="4467"/>
      <c r="T8" s="4489"/>
      <c r="U8" s="4490"/>
      <c r="V8" s="4492"/>
      <c r="W8" s="4492"/>
      <c r="X8" s="910"/>
      <c r="Y8" s="4499"/>
      <c r="Z8" s="4500"/>
      <c r="AA8" s="4461"/>
      <c r="AB8" s="4461"/>
      <c r="AC8" s="4461"/>
    </row>
    <row r="9" spans="1:29" s="46" customFormat="1" ht="1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68" t="s">
        <v>1590</v>
      </c>
      <c r="Q9" s="4501"/>
      <c r="R9" s="3763" t="s">
        <v>13</v>
      </c>
      <c r="S9" s="3543">
        <f t="shared" ref="S9:S17" si="0">F9</f>
        <v>0</v>
      </c>
      <c r="T9" s="3763" t="s">
        <v>13</v>
      </c>
      <c r="U9" s="3543">
        <f t="shared" ref="U9:U17" si="1">H9</f>
        <v>0</v>
      </c>
      <c r="V9" s="3763" t="s">
        <v>13</v>
      </c>
      <c r="W9" s="3543">
        <f t="shared" ref="W9:W17" si="2">J9</f>
        <v>0</v>
      </c>
      <c r="X9" s="482"/>
      <c r="Y9" s="4462" t="s">
        <v>1590</v>
      </c>
      <c r="Z9" s="4463"/>
      <c r="AA9" s="28" t="e">
        <f>D9/F9</f>
        <v>#DIV/0!</v>
      </c>
      <c r="AB9" s="28" t="e">
        <f>D9/H9</f>
        <v>#DIV/0!</v>
      </c>
      <c r="AC9" s="28" t="e">
        <f>D9/J9</f>
        <v>#DIV/0!</v>
      </c>
    </row>
    <row r="10" spans="1:29" s="46" customFormat="1" ht="1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68" t="s">
        <v>1593</v>
      </c>
      <c r="Q10" s="4494"/>
      <c r="R10" s="3763" t="s">
        <v>13</v>
      </c>
      <c r="S10" s="3543">
        <f t="shared" si="0"/>
        <v>0</v>
      </c>
      <c r="T10" s="3763" t="s">
        <v>13</v>
      </c>
      <c r="U10" s="3543">
        <f t="shared" si="1"/>
        <v>0</v>
      </c>
      <c r="V10" s="3763" t="s">
        <v>13</v>
      </c>
      <c r="W10" s="3543">
        <f t="shared" si="2"/>
        <v>0</v>
      </c>
      <c r="X10" s="482"/>
      <c r="Y10" s="4462" t="s">
        <v>1593</v>
      </c>
      <c r="Z10" s="4463"/>
      <c r="AA10" s="28" t="e">
        <f t="shared" ref="AA10:AA42" si="3">D10/F10</f>
        <v>#DIV/0!</v>
      </c>
      <c r="AB10" s="28" t="e">
        <f t="shared" ref="AB10:AB42" si="4">D10/H10</f>
        <v>#DIV/0!</v>
      </c>
      <c r="AC10" s="28" t="e">
        <f t="shared" ref="AC10:AC42" si="5">D10/J10</f>
        <v>#DIV/0!</v>
      </c>
    </row>
    <row r="11" spans="1:29" s="46" customFormat="1" ht="14.4">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511" t="s">
        <v>1596</v>
      </c>
      <c r="Q11" s="1698" t="str">
        <f t="shared" ref="Q11:Q17" si="6">B11</f>
        <v>用途</v>
      </c>
      <c r="R11" s="3763" t="s">
        <v>13</v>
      </c>
      <c r="S11" s="3543">
        <f t="shared" si="0"/>
        <v>100</v>
      </c>
      <c r="T11" s="3763" t="s">
        <v>13</v>
      </c>
      <c r="U11" s="3543">
        <f t="shared" si="1"/>
        <v>100</v>
      </c>
      <c r="V11" s="3763" t="s">
        <v>13</v>
      </c>
      <c r="W11" s="3543">
        <f t="shared" si="2"/>
        <v>100</v>
      </c>
      <c r="X11" s="482"/>
      <c r="Y11" s="4475" t="s">
        <v>1597</v>
      </c>
      <c r="Z11" s="28" t="str">
        <f t="shared" ref="Z11:Z17" si="7">Q11</f>
        <v>用途</v>
      </c>
      <c r="AA11" s="28">
        <f t="shared" si="3"/>
        <v>1</v>
      </c>
      <c r="AB11" s="28">
        <f t="shared" si="4"/>
        <v>1</v>
      </c>
      <c r="AC11" s="28">
        <f t="shared" si="5"/>
        <v>1</v>
      </c>
    </row>
    <row r="12" spans="1:29" s="253" customFormat="1" ht="28.8">
      <c r="A12" s="3093"/>
      <c r="B12" s="2790" t="s">
        <v>1598</v>
      </c>
      <c r="C12" s="2817"/>
      <c r="D12" s="2889">
        <v>100</v>
      </c>
      <c r="E12" s="2817"/>
      <c r="F12" s="3735">
        <f>ROUND(100/'数据-取费表'!G16,1)</f>
        <v>109.3</v>
      </c>
      <c r="G12" s="2817"/>
      <c r="H12" s="3735">
        <f>ROUND(100/'数据-取费表'!G16,1)</f>
        <v>109.3</v>
      </c>
      <c r="I12" s="2817"/>
      <c r="J12" s="3735">
        <f>ROUND(100/'数据-取费表'!G16,1)</f>
        <v>109.3</v>
      </c>
      <c r="K12" s="434"/>
      <c r="L12" s="1977"/>
      <c r="M12" s="1978"/>
      <c r="N12" s="1978"/>
      <c r="O12" s="2029"/>
      <c r="P12" s="4511"/>
      <c r="Q12" s="1698" t="str">
        <f t="shared" si="6"/>
        <v>土地使用年限（年）</v>
      </c>
      <c r="R12" s="3763" t="s">
        <v>13</v>
      </c>
      <c r="S12" s="3543">
        <f t="shared" si="0"/>
        <v>109.3</v>
      </c>
      <c r="T12" s="3763" t="s">
        <v>13</v>
      </c>
      <c r="U12" s="3543">
        <f t="shared" si="1"/>
        <v>109.3</v>
      </c>
      <c r="V12" s="3763" t="s">
        <v>13</v>
      </c>
      <c r="W12" s="3543">
        <f t="shared" si="2"/>
        <v>109.3</v>
      </c>
      <c r="X12" s="482"/>
      <c r="Y12" s="4475"/>
      <c r="Z12" s="28" t="str">
        <f t="shared" si="7"/>
        <v>土地使用年限（年）</v>
      </c>
      <c r="AA12" s="28">
        <f t="shared" si="3"/>
        <v>0.91491308325709064</v>
      </c>
      <c r="AB12" s="28">
        <f t="shared" si="4"/>
        <v>0.91491308325709064</v>
      </c>
      <c r="AC12" s="28">
        <f t="shared" si="5"/>
        <v>0.91491308325709064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511"/>
      <c r="Q13" s="1698" t="str">
        <f t="shared" si="6"/>
        <v>容积率</v>
      </c>
      <c r="R13" s="3763" t="s">
        <v>13</v>
      </c>
      <c r="S13" s="3543" t="e">
        <f t="shared" si="0"/>
        <v>#N/A</v>
      </c>
      <c r="T13" s="3763" t="s">
        <v>13</v>
      </c>
      <c r="U13" s="3543" t="e">
        <f t="shared" si="1"/>
        <v>#N/A</v>
      </c>
      <c r="V13" s="3763" t="s">
        <v>13</v>
      </c>
      <c r="W13" s="3543" t="e">
        <f t="shared" si="2"/>
        <v>#N/A</v>
      </c>
      <c r="X13" s="482"/>
      <c r="Y13" s="4475"/>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511"/>
      <c r="Q14" s="1698">
        <f t="shared" si="6"/>
        <v>111</v>
      </c>
      <c r="R14" s="3763" t="s">
        <v>13</v>
      </c>
      <c r="S14" s="3543">
        <f t="shared" si="0"/>
        <v>100</v>
      </c>
      <c r="T14" s="3763" t="s">
        <v>13</v>
      </c>
      <c r="U14" s="3543">
        <f t="shared" si="1"/>
        <v>100</v>
      </c>
      <c r="V14" s="3763" t="s">
        <v>13</v>
      </c>
      <c r="W14" s="3543">
        <f t="shared" si="2"/>
        <v>100</v>
      </c>
      <c r="X14" s="482"/>
      <c r="Y14" s="4475"/>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511"/>
      <c r="Q15" s="1698">
        <f t="shared" si="6"/>
        <v>111</v>
      </c>
      <c r="R15" s="3763" t="s">
        <v>13</v>
      </c>
      <c r="S15" s="3543">
        <f t="shared" si="0"/>
        <v>100</v>
      </c>
      <c r="T15" s="3763" t="s">
        <v>13</v>
      </c>
      <c r="U15" s="3543">
        <f t="shared" si="1"/>
        <v>100</v>
      </c>
      <c r="V15" s="3763" t="s">
        <v>13</v>
      </c>
      <c r="W15" s="3543">
        <f t="shared" si="2"/>
        <v>100</v>
      </c>
      <c r="X15" s="482"/>
      <c r="Y15" s="4475"/>
      <c r="Z15" s="28">
        <f t="shared" si="7"/>
        <v>111</v>
      </c>
      <c r="AA15" s="28">
        <f t="shared" si="3"/>
        <v>1</v>
      </c>
      <c r="AB15" s="28">
        <f t="shared" si="4"/>
        <v>1</v>
      </c>
      <c r="AC15" s="28">
        <f t="shared" si="5"/>
        <v>1</v>
      </c>
    </row>
    <row r="16" spans="1:29" ht="15.6"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511"/>
      <c r="Q16" s="1698">
        <f t="shared" si="6"/>
        <v>111</v>
      </c>
      <c r="R16" s="3763" t="s">
        <v>13</v>
      </c>
      <c r="S16" s="3543">
        <f t="shared" si="0"/>
        <v>100</v>
      </c>
      <c r="T16" s="3763" t="s">
        <v>13</v>
      </c>
      <c r="U16" s="3543">
        <f t="shared" si="1"/>
        <v>100</v>
      </c>
      <c r="V16" s="3763" t="s">
        <v>13</v>
      </c>
      <c r="W16" s="3543">
        <f t="shared" si="2"/>
        <v>100</v>
      </c>
      <c r="X16" s="482"/>
      <c r="Y16" s="4475"/>
      <c r="Z16" s="28">
        <f t="shared" si="7"/>
        <v>111</v>
      </c>
      <c r="AA16" s="28">
        <f t="shared" si="3"/>
        <v>1</v>
      </c>
      <c r="AB16" s="28">
        <f t="shared" si="4"/>
        <v>1</v>
      </c>
      <c r="AC16" s="28">
        <f t="shared" si="5"/>
        <v>1</v>
      </c>
    </row>
    <row r="17" spans="1:29" ht="69">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78" t="s">
        <v>1601</v>
      </c>
      <c r="Q17" s="1507" t="str">
        <f t="shared" si="6"/>
        <v>产业集聚程度</v>
      </c>
      <c r="R17" s="3764" t="s">
        <v>13</v>
      </c>
      <c r="S17" s="3766">
        <f t="shared" si="0"/>
        <v>100</v>
      </c>
      <c r="T17" s="3764" t="s">
        <v>13</v>
      </c>
      <c r="U17" s="3766">
        <f t="shared" si="1"/>
        <v>100</v>
      </c>
      <c r="V17" s="3764" t="s">
        <v>13</v>
      </c>
      <c r="W17" s="3766">
        <f t="shared" si="2"/>
        <v>100</v>
      </c>
      <c r="X17" s="910"/>
      <c r="Y17" s="4504"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79"/>
      <c r="Q18" s="1507"/>
      <c r="R18" s="3764"/>
      <c r="S18" s="3766"/>
      <c r="T18" s="3764"/>
      <c r="U18" s="3766"/>
      <c r="V18" s="3764"/>
      <c r="W18" s="3766"/>
      <c r="X18" s="910"/>
      <c r="Y18" s="4505"/>
      <c r="Z18" s="908"/>
      <c r="AA18" s="908">
        <v>1</v>
      </c>
      <c r="AB18" s="908">
        <v>1</v>
      </c>
      <c r="AC18" s="908">
        <v>1</v>
      </c>
    </row>
    <row r="19" spans="1:29" ht="96.6">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79"/>
      <c r="Q19" s="1507" t="str">
        <f>B19</f>
        <v>交通便捷度</v>
      </c>
      <c r="R19" s="3764" t="s">
        <v>13</v>
      </c>
      <c r="S19" s="3766">
        <f>F19</f>
        <v>100</v>
      </c>
      <c r="T19" s="3764" t="s">
        <v>13</v>
      </c>
      <c r="U19" s="3766">
        <f>H19</f>
        <v>100</v>
      </c>
      <c r="V19" s="3764" t="s">
        <v>13</v>
      </c>
      <c r="W19" s="3766">
        <f>J19</f>
        <v>100</v>
      </c>
      <c r="X19" s="910"/>
      <c r="Y19" s="4505"/>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79"/>
      <c r="Q20" s="1507"/>
      <c r="R20" s="3764"/>
      <c r="S20" s="3766"/>
      <c r="T20" s="3764"/>
      <c r="U20" s="3766"/>
      <c r="V20" s="3764"/>
      <c r="W20" s="3766"/>
      <c r="X20" s="910"/>
      <c r="Y20" s="4505"/>
      <c r="Z20" s="908"/>
      <c r="AA20" s="908">
        <v>1</v>
      </c>
      <c r="AB20" s="908">
        <v>1</v>
      </c>
      <c r="AC20" s="908">
        <v>1</v>
      </c>
    </row>
    <row r="21" spans="1:29" ht="28.8">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79"/>
      <c r="Q21" s="1507" t="str">
        <f t="shared" ref="Q21:Q35" si="8">B21</f>
        <v>区域土地利用方向</v>
      </c>
      <c r="R21" s="3764" t="s">
        <v>13</v>
      </c>
      <c r="S21" s="3766">
        <f>F21</f>
        <v>100</v>
      </c>
      <c r="T21" s="3764" t="s">
        <v>13</v>
      </c>
      <c r="U21" s="3766">
        <f>H21</f>
        <v>100</v>
      </c>
      <c r="V21" s="3764" t="s">
        <v>13</v>
      </c>
      <c r="W21" s="3766">
        <f>J21</f>
        <v>100</v>
      </c>
      <c r="X21" s="910"/>
      <c r="Y21" s="4505"/>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79"/>
      <c r="Q22" s="1507"/>
      <c r="R22" s="3764"/>
      <c r="S22" s="3766"/>
      <c r="T22" s="3764"/>
      <c r="U22" s="3766"/>
      <c r="V22" s="3764"/>
      <c r="W22" s="3766"/>
      <c r="X22" s="910"/>
      <c r="Y22" s="4505"/>
      <c r="Z22" s="908"/>
      <c r="AA22" s="908"/>
      <c r="AB22" s="908"/>
      <c r="AC22" s="908"/>
    </row>
    <row r="23" spans="1:29" ht="82.8">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79"/>
      <c r="Q23" s="1507" t="str">
        <f t="shared" si="8"/>
        <v>环境状况</v>
      </c>
      <c r="R23" s="3764" t="s">
        <v>13</v>
      </c>
      <c r="S23" s="3766">
        <f>F23</f>
        <v>100</v>
      </c>
      <c r="T23" s="3764" t="s">
        <v>13</v>
      </c>
      <c r="U23" s="3766">
        <f>H23</f>
        <v>100</v>
      </c>
      <c r="V23" s="3764" t="s">
        <v>13</v>
      </c>
      <c r="W23" s="3766">
        <f>J23</f>
        <v>100</v>
      </c>
      <c r="X23" s="910"/>
      <c r="Y23" s="4505"/>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79"/>
      <c r="Q24" s="1507"/>
      <c r="R24" s="3764"/>
      <c r="S24" s="3766"/>
      <c r="T24" s="3764"/>
      <c r="U24" s="3766"/>
      <c r="V24" s="3764"/>
      <c r="W24" s="3766"/>
      <c r="X24" s="910"/>
      <c r="Y24" s="4505"/>
      <c r="Z24" s="908"/>
      <c r="AA24" s="908">
        <v>1</v>
      </c>
      <c r="AB24" s="908">
        <v>1</v>
      </c>
      <c r="AC24" s="908">
        <v>1</v>
      </c>
    </row>
    <row r="25" spans="1:29" s="46" customFormat="1" ht="41.4">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79"/>
      <c r="Q25" s="1698" t="str">
        <f t="shared" si="8"/>
        <v>公共配套设施</v>
      </c>
      <c r="R25" s="3763" t="s">
        <v>13</v>
      </c>
      <c r="S25" s="3543">
        <f>F25</f>
        <v>100</v>
      </c>
      <c r="T25" s="3763" t="s">
        <v>13</v>
      </c>
      <c r="U25" s="3543">
        <f>H25</f>
        <v>100</v>
      </c>
      <c r="V25" s="3763" t="s">
        <v>13</v>
      </c>
      <c r="W25" s="3543">
        <f>J25</f>
        <v>100</v>
      </c>
      <c r="X25" s="482"/>
      <c r="Y25" s="4505"/>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79"/>
      <c r="Q26" s="1698"/>
      <c r="R26" s="3763"/>
      <c r="S26" s="3543"/>
      <c r="T26" s="3763"/>
      <c r="U26" s="3543"/>
      <c r="V26" s="3763"/>
      <c r="W26" s="3543"/>
      <c r="X26" s="482"/>
      <c r="Y26" s="4505"/>
      <c r="Z26" s="28"/>
      <c r="AA26" s="28">
        <v>1</v>
      </c>
      <c r="AB26" s="28">
        <v>1</v>
      </c>
      <c r="AC26" s="28">
        <v>1</v>
      </c>
    </row>
    <row r="27" spans="1:29" s="46" customFormat="1" ht="41.4">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79"/>
      <c r="Q27" s="1698" t="str">
        <f t="shared" ref="Q27" si="9">B27</f>
        <v>基础设施水平</v>
      </c>
      <c r="R27" s="3763" t="s">
        <v>13</v>
      </c>
      <c r="S27" s="3543">
        <f>F27</f>
        <v>100</v>
      </c>
      <c r="T27" s="3763" t="s">
        <v>13</v>
      </c>
      <c r="U27" s="3543">
        <f>H27</f>
        <v>100</v>
      </c>
      <c r="V27" s="3763" t="s">
        <v>13</v>
      </c>
      <c r="W27" s="3543">
        <f>J27</f>
        <v>100</v>
      </c>
      <c r="X27" s="482"/>
      <c r="Y27" s="4505"/>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79"/>
      <c r="Q28" s="1698"/>
      <c r="R28" s="3763"/>
      <c r="S28" s="3543"/>
      <c r="T28" s="3763"/>
      <c r="U28" s="3543"/>
      <c r="V28" s="3763"/>
      <c r="W28" s="3543"/>
      <c r="X28" s="482"/>
      <c r="Y28" s="4505"/>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79"/>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505"/>
      <c r="Z29" s="908" t="str">
        <f t="shared" ref="Z29:Z42" si="13">Q29</f>
        <v>临街状况</v>
      </c>
      <c r="AA29" s="908">
        <f t="shared" si="3"/>
        <v>1</v>
      </c>
      <c r="AB29" s="908">
        <f t="shared" si="4"/>
        <v>1</v>
      </c>
      <c r="AC29" s="908">
        <f t="shared" si="5"/>
        <v>1</v>
      </c>
    </row>
    <row r="30" spans="1:29" ht="28.8">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79"/>
      <c r="Q30" s="1507" t="str">
        <f t="shared" si="8"/>
        <v>毗邻道路的类型与等级</v>
      </c>
      <c r="R30" s="3764" t="s">
        <v>13</v>
      </c>
      <c r="S30" s="3766">
        <f t="shared" si="10"/>
        <v>100</v>
      </c>
      <c r="T30" s="3764" t="s">
        <v>13</v>
      </c>
      <c r="U30" s="3766">
        <f t="shared" si="11"/>
        <v>100</v>
      </c>
      <c r="V30" s="3764" t="s">
        <v>13</v>
      </c>
      <c r="W30" s="3766">
        <f t="shared" si="12"/>
        <v>100</v>
      </c>
      <c r="X30" s="910"/>
      <c r="Y30" s="4505"/>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79"/>
      <c r="Q31" s="1507"/>
      <c r="R31" s="3764"/>
      <c r="S31" s="3766"/>
      <c r="T31" s="3764"/>
      <c r="U31" s="3766"/>
      <c r="V31" s="3764"/>
      <c r="W31" s="3766"/>
      <c r="X31" s="910"/>
      <c r="Y31" s="4505"/>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79"/>
      <c r="Q32" s="1507" t="str">
        <f t="shared" si="8"/>
        <v>土地级别</v>
      </c>
      <c r="R32" s="3764" t="s">
        <v>13</v>
      </c>
      <c r="S32" s="3766">
        <f t="shared" si="10"/>
        <v>100</v>
      </c>
      <c r="T32" s="3764" t="s">
        <v>13</v>
      </c>
      <c r="U32" s="3766">
        <f t="shared" si="11"/>
        <v>100</v>
      </c>
      <c r="V32" s="3764" t="s">
        <v>13</v>
      </c>
      <c r="W32" s="3766">
        <f t="shared" si="12"/>
        <v>100</v>
      </c>
      <c r="X32" s="910"/>
      <c r="Y32" s="4505"/>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79"/>
      <c r="Q33" s="1507">
        <f t="shared" si="8"/>
        <v>111</v>
      </c>
      <c r="R33" s="3764" t="s">
        <v>13</v>
      </c>
      <c r="S33" s="3766">
        <f t="shared" si="10"/>
        <v>100</v>
      </c>
      <c r="T33" s="3764" t="s">
        <v>13</v>
      </c>
      <c r="U33" s="3766">
        <f t="shared" si="11"/>
        <v>100</v>
      </c>
      <c r="V33" s="3764" t="s">
        <v>13</v>
      </c>
      <c r="W33" s="3766">
        <f t="shared" si="12"/>
        <v>100</v>
      </c>
      <c r="X33" s="910"/>
      <c r="Y33" s="4505"/>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0" t="s">
        <v>1606</v>
      </c>
      <c r="Q34" s="1507">
        <f t="shared" si="8"/>
        <v>111</v>
      </c>
      <c r="R34" s="3764" t="s">
        <v>13</v>
      </c>
      <c r="S34" s="3766">
        <f t="shared" si="10"/>
        <v>100</v>
      </c>
      <c r="T34" s="3764" t="s">
        <v>13</v>
      </c>
      <c r="U34" s="3766">
        <f t="shared" si="11"/>
        <v>100</v>
      </c>
      <c r="V34" s="3764" t="s">
        <v>13</v>
      </c>
      <c r="W34" s="3766">
        <f t="shared" si="12"/>
        <v>100</v>
      </c>
      <c r="X34" s="910"/>
      <c r="Y34" s="4509" t="s">
        <v>1606</v>
      </c>
      <c r="Z34" s="908">
        <f t="shared" si="13"/>
        <v>111</v>
      </c>
      <c r="AA34" s="908">
        <f t="shared" si="3"/>
        <v>1</v>
      </c>
      <c r="AB34" s="908">
        <f t="shared" si="4"/>
        <v>1</v>
      </c>
      <c r="AC34" s="908">
        <f t="shared" si="5"/>
        <v>1</v>
      </c>
    </row>
    <row r="35" spans="1:31" s="279" customFormat="1" ht="15.6"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1"/>
      <c r="Q35" s="1507">
        <f t="shared" si="8"/>
        <v>111</v>
      </c>
      <c r="R35" s="3765" t="s">
        <v>13</v>
      </c>
      <c r="S35" s="3767">
        <f t="shared" si="10"/>
        <v>100</v>
      </c>
      <c r="T35" s="3765" t="s">
        <v>13</v>
      </c>
      <c r="U35" s="3767">
        <f t="shared" si="11"/>
        <v>100</v>
      </c>
      <c r="V35" s="3765" t="s">
        <v>13</v>
      </c>
      <c r="W35" s="3767">
        <f t="shared" si="12"/>
        <v>100</v>
      </c>
      <c r="X35" s="484"/>
      <c r="Y35" s="4509"/>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1"/>
      <c r="Q36" s="1507" t="str">
        <f>B36</f>
        <v>宗地面积</v>
      </c>
      <c r="R36" s="3764" t="s">
        <v>13</v>
      </c>
      <c r="S36" s="3766" t="e">
        <f t="shared" si="10"/>
        <v>#N/A</v>
      </c>
      <c r="T36" s="3764" t="s">
        <v>13</v>
      </c>
      <c r="U36" s="3766" t="e">
        <f t="shared" si="11"/>
        <v>#N/A</v>
      </c>
      <c r="V36" s="3764" t="s">
        <v>13</v>
      </c>
      <c r="W36" s="3766" t="e">
        <f t="shared" si="12"/>
        <v>#N/A</v>
      </c>
      <c r="X36" s="910"/>
      <c r="Y36" s="4509"/>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1"/>
      <c r="Q37" s="1507" t="str">
        <f t="shared" ref="Q37:Q42" si="14">B37</f>
        <v>宗地形状</v>
      </c>
      <c r="R37" s="3764" t="s">
        <v>13</v>
      </c>
      <c r="S37" s="3766">
        <f t="shared" si="10"/>
        <v>100</v>
      </c>
      <c r="T37" s="3764" t="s">
        <v>13</v>
      </c>
      <c r="U37" s="3766">
        <f t="shared" si="11"/>
        <v>100</v>
      </c>
      <c r="V37" s="3764" t="s">
        <v>13</v>
      </c>
      <c r="W37" s="3766">
        <f t="shared" si="12"/>
        <v>100</v>
      </c>
      <c r="X37" s="910"/>
      <c r="Y37" s="4509"/>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1"/>
      <c r="Q38" s="1507" t="str">
        <f t="shared" si="14"/>
        <v>宗地开发程度</v>
      </c>
      <c r="R38" s="3763" t="s">
        <v>13</v>
      </c>
      <c r="S38" s="3543">
        <f t="shared" si="10"/>
        <v>100</v>
      </c>
      <c r="T38" s="3763" t="s">
        <v>13</v>
      </c>
      <c r="U38" s="3543">
        <f t="shared" si="11"/>
        <v>100</v>
      </c>
      <c r="V38" s="3763" t="s">
        <v>13</v>
      </c>
      <c r="W38" s="3543">
        <f t="shared" si="12"/>
        <v>100</v>
      </c>
      <c r="X38" s="482"/>
      <c r="Y38" s="4509"/>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1" t="s">
        <v>1606</v>
      </c>
      <c r="Q39" s="1507" t="str">
        <f t="shared" si="14"/>
        <v>工程地质条件</v>
      </c>
      <c r="R39" s="3764" t="s">
        <v>13</v>
      </c>
      <c r="S39" s="3766">
        <f t="shared" si="10"/>
        <v>100</v>
      </c>
      <c r="T39" s="3764" t="s">
        <v>13</v>
      </c>
      <c r="U39" s="3766">
        <f t="shared" si="11"/>
        <v>100</v>
      </c>
      <c r="V39" s="3764" t="s">
        <v>13</v>
      </c>
      <c r="W39" s="3766">
        <f t="shared" si="12"/>
        <v>100</v>
      </c>
      <c r="X39" s="910"/>
      <c r="Y39" s="4509"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1"/>
      <c r="Q40" s="1507">
        <f t="shared" si="14"/>
        <v>111</v>
      </c>
      <c r="R40" s="3764" t="s">
        <v>13</v>
      </c>
      <c r="S40" s="3766">
        <f t="shared" si="10"/>
        <v>100</v>
      </c>
      <c r="T40" s="3764" t="s">
        <v>13</v>
      </c>
      <c r="U40" s="3766">
        <f t="shared" si="11"/>
        <v>100</v>
      </c>
      <c r="V40" s="3764" t="s">
        <v>13</v>
      </c>
      <c r="W40" s="3766">
        <f t="shared" si="12"/>
        <v>100</v>
      </c>
      <c r="X40" s="910"/>
      <c r="Y40" s="4509"/>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1"/>
      <c r="Q41" s="1507">
        <f t="shared" si="14"/>
        <v>111</v>
      </c>
      <c r="R41" s="3764" t="s">
        <v>13</v>
      </c>
      <c r="S41" s="3766">
        <f t="shared" si="10"/>
        <v>100</v>
      </c>
      <c r="T41" s="3764" t="s">
        <v>13</v>
      </c>
      <c r="U41" s="3766">
        <f t="shared" si="11"/>
        <v>100</v>
      </c>
      <c r="V41" s="3764" t="s">
        <v>13</v>
      </c>
      <c r="W41" s="3766">
        <f t="shared" si="12"/>
        <v>100</v>
      </c>
      <c r="X41" s="910"/>
      <c r="Y41" s="4509"/>
      <c r="Z41" s="908">
        <f t="shared" si="13"/>
        <v>111</v>
      </c>
      <c r="AA41" s="908">
        <f t="shared" si="3"/>
        <v>1</v>
      </c>
      <c r="AB41" s="908">
        <f t="shared" si="4"/>
        <v>1</v>
      </c>
      <c r="AC41" s="908">
        <f t="shared" si="5"/>
        <v>1</v>
      </c>
    </row>
    <row r="42" spans="1:31" s="279" customFormat="1" ht="15.6"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1"/>
      <c r="Q42" s="1507">
        <f t="shared" si="14"/>
        <v>111</v>
      </c>
      <c r="R42" s="3765" t="s">
        <v>13</v>
      </c>
      <c r="S42" s="3767">
        <f t="shared" si="10"/>
        <v>100</v>
      </c>
      <c r="T42" s="3765" t="s">
        <v>13</v>
      </c>
      <c r="U42" s="3767">
        <f t="shared" si="11"/>
        <v>100</v>
      </c>
      <c r="V42" s="3765" t="s">
        <v>13</v>
      </c>
      <c r="W42" s="3767">
        <f t="shared" si="12"/>
        <v>100</v>
      </c>
      <c r="X42" s="484"/>
      <c r="Y42" s="4509"/>
      <c r="Z42" s="485">
        <f t="shared" si="13"/>
        <v>111</v>
      </c>
      <c r="AA42" s="908">
        <f t="shared" si="3"/>
        <v>1</v>
      </c>
      <c r="AB42" s="908">
        <f t="shared" si="4"/>
        <v>1</v>
      </c>
      <c r="AC42" s="908">
        <f t="shared" si="5"/>
        <v>1</v>
      </c>
    </row>
    <row r="43" spans="1:31" ht="14.4">
      <c r="A43" s="286" t="s">
        <v>1754</v>
      </c>
      <c r="B43" s="1430" t="s">
        <v>1832</v>
      </c>
      <c r="C43" s="439" t="s">
        <v>0</v>
      </c>
      <c r="D43" s="3177"/>
      <c r="E43" s="3206"/>
      <c r="F43" s="3154"/>
      <c r="G43" s="3207"/>
      <c r="H43" s="3155"/>
      <c r="I43" s="3206"/>
      <c r="J43" s="3155"/>
      <c r="K43" s="2863"/>
      <c r="L43" s="1982"/>
      <c r="M43" s="1975"/>
      <c r="N43" s="1975"/>
      <c r="O43" s="1975"/>
      <c r="P43" s="4511" t="str">
        <f>A43</f>
        <v>成交单价</v>
      </c>
      <c r="Q43" s="4511"/>
      <c r="R43" s="4512">
        <f>E43</f>
        <v>0</v>
      </c>
      <c r="S43" s="4512"/>
      <c r="T43" s="4512">
        <f>G43</f>
        <v>0</v>
      </c>
      <c r="U43" s="4512"/>
      <c r="V43" s="4512">
        <f>I43</f>
        <v>0</v>
      </c>
      <c r="W43" s="4512"/>
      <c r="X43" s="265"/>
      <c r="Y43" s="486"/>
      <c r="Z43" s="265"/>
      <c r="AA43" s="265"/>
      <c r="AB43" s="265"/>
      <c r="AC43" s="265"/>
    </row>
    <row r="44" spans="1:31" ht="1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511" t="str">
        <f>A44</f>
        <v>比较价值（元/平方米）</v>
      </c>
      <c r="Q44" s="4511"/>
      <c r="R44" s="4512" t="e">
        <f>ROUND(PRODUCT(R43,AA9:AA42),0)</f>
        <v>#DIV/0!</v>
      </c>
      <c r="S44" s="4512"/>
      <c r="T44" s="4512" t="e">
        <f>ROUND(PRODUCT(T43,AB9:AB42),0)</f>
        <v>#DIV/0!</v>
      </c>
      <c r="U44" s="4512"/>
      <c r="V44" s="4512" t="e">
        <f>ROUND(PRODUCT(V43,AC9:AC42),0)</f>
        <v>#DIV/0!</v>
      </c>
      <c r="W44" s="4512"/>
      <c r="X44" s="265"/>
      <c r="Y44" s="265"/>
      <c r="Z44" s="265"/>
      <c r="AA44" s="265"/>
      <c r="AB44" s="265"/>
      <c r="AC44" s="265"/>
    </row>
    <row r="45" spans="1:31" ht="15" thickBot="1">
      <c r="A45" s="291" t="s">
        <v>1704</v>
      </c>
      <c r="B45" s="292"/>
      <c r="C45" s="3749" t="e">
        <f>R45</f>
        <v>#DIV/0!</v>
      </c>
      <c r="D45" s="3156"/>
      <c r="E45" s="3156"/>
      <c r="F45" s="3156"/>
      <c r="G45" s="3156"/>
      <c r="H45" s="3156"/>
      <c r="I45" s="3156"/>
      <c r="J45" s="3156"/>
      <c r="K45" s="3178"/>
      <c r="L45" s="1982"/>
      <c r="M45" s="1975"/>
      <c r="N45" s="1975"/>
      <c r="O45" s="1975"/>
      <c r="P45" s="4571" t="str">
        <f>A45</f>
        <v>估价对象XX用房的比较价值（楼面单价，元/平方米）</v>
      </c>
      <c r="Q45" s="4572"/>
      <c r="R45" s="4573" t="e">
        <f>ROUND(IF(D44="简单平均",AVERAGE(R44:W44),R44*F44+T44*H44+V44*J44),0)</f>
        <v>#DIV/0!</v>
      </c>
      <c r="S45" s="4573"/>
      <c r="T45" s="4573"/>
      <c r="U45" s="4573"/>
      <c r="V45" s="4573"/>
      <c r="W45" s="4573"/>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4"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8">
      <c r="A52" s="441" t="s">
        <v>1791</v>
      </c>
      <c r="B52" s="442" t="s">
        <v>1792</v>
      </c>
      <c r="C52" s="1431" t="s">
        <v>1793</v>
      </c>
      <c r="D52" s="1432" t="s">
        <v>1794</v>
      </c>
      <c r="E52" s="443" t="s">
        <v>1795</v>
      </c>
      <c r="F52" s="444" t="s">
        <v>1796</v>
      </c>
      <c r="G52" s="4479" t="s">
        <v>1797</v>
      </c>
      <c r="H52" s="4595"/>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110.59</v>
      </c>
      <c r="F53" s="3068" t="e">
        <f t="shared" ref="F53:F62" si="15">ROUND(B53*E53/10000,0)</f>
        <v>#DIV/0!</v>
      </c>
      <c r="G53" s="4596"/>
      <c r="H53" s="4583"/>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4"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4"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2.2"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4"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9.4"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4"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4"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4"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4"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4"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4"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4"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ht="14.4">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9.4"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4"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4"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4"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4"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4"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4"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4"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4"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4"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4"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4"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4"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4"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5"/>
      <c r="F1" s="2045"/>
      <c r="G1" s="1938"/>
      <c r="H1" s="2045"/>
      <c r="I1" s="2045"/>
      <c r="J1" s="2045"/>
      <c r="K1" s="2046">
        <f>MATCH(C1,'数据-取费表'!A6:A16,0)+5</f>
        <v>7</v>
      </c>
    </row>
    <row r="2" spans="1:33" ht="18" customHeight="1">
      <c r="A2" s="96" t="s">
        <v>1431</v>
      </c>
      <c r="B2" s="2523">
        <f ca="1">IF(D2="含税",C37,C36)</f>
        <v>-2</v>
      </c>
      <c r="C2" s="171" t="s">
        <v>1534</v>
      </c>
      <c r="D2" s="3326"/>
      <c r="E2" s="2045"/>
      <c r="G2" s="2045"/>
      <c r="H2" s="2045"/>
      <c r="I2" s="2045"/>
      <c r="J2" s="2045"/>
      <c r="K2" s="2045"/>
    </row>
    <row r="3" spans="1:33" ht="18" customHeight="1">
      <c r="A3" s="98" t="s">
        <v>1433</v>
      </c>
      <c r="B3" s="2523">
        <f ca="1">ROUND(B2*10000/IF(C1="",'数据-汇总表'!E3,INDIRECT("'数据-取费表'!K"&amp;$K$1)),0)</f>
        <v>-181</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1" t="s">
        <v>3381</v>
      </c>
      <c r="D6" s="4601"/>
      <c r="E6" s="4601"/>
      <c r="F6" s="4601"/>
      <c r="G6" s="4601"/>
      <c r="H6" s="4601"/>
      <c r="I6" s="4601"/>
      <c r="J6" s="4601"/>
      <c r="K6" s="4602"/>
    </row>
    <row r="7" spans="1:33" s="518" customFormat="1" ht="14.4">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5" t="s">
        <v>3394</v>
      </c>
      <c r="B11" s="4606"/>
      <c r="C11" s="4606"/>
      <c r="D11" s="4606"/>
      <c r="E11" s="4606"/>
      <c r="F11" s="4606"/>
      <c r="G11" s="4606"/>
      <c r="H11" s="4606"/>
      <c r="I11" s="4606"/>
      <c r="J11" s="4606"/>
      <c r="K11" s="4607"/>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2</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2</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2</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2</v>
      </c>
      <c r="D22" s="2705">
        <f ca="1">IF(C1="",'数据-汇总表'!E6,IF(INDIRECT("'数据-取费表'!c"&amp;$K$1)="住宅",INDIRECT("'数据-取费表'!s"&amp;$K$1),INDIRECT("'数据-取费表'!k"&amp;$K$1)+INDIRECT("'数据-取费表'!s"&amp;$K$1)))</f>
        <v>110.59</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110.59</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110.59</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0</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1560</v>
      </c>
      <c r="C32" s="2686">
        <f>ROUND(C13*F32/(1+'数据-取费表'!C43),0)</f>
        <v>0</v>
      </c>
      <c r="D32" s="2678"/>
      <c r="E32" s="2690"/>
      <c r="F32" s="2687"/>
      <c r="G32" s="4603" t="s">
        <v>3393</v>
      </c>
      <c r="H32" s="4603"/>
      <c r="I32" s="4603"/>
      <c r="J32" s="4603"/>
      <c r="K32" s="4604"/>
    </row>
    <row r="33" spans="1:11" s="176" customFormat="1" ht="13.5" customHeight="1">
      <c r="A33" s="2493">
        <v>8</v>
      </c>
      <c r="B33" s="2659" t="s">
        <v>1557</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0</v>
      </c>
      <c r="D35" s="174"/>
      <c r="E35" s="525"/>
      <c r="F35" s="2673"/>
      <c r="G35" s="55"/>
      <c r="H35" s="55"/>
      <c r="I35" s="55"/>
      <c r="J35" s="55"/>
      <c r="K35" s="2680"/>
    </row>
    <row r="36" spans="1:11" s="521" customFormat="1" ht="15.6">
      <c r="A36" s="2493">
        <v>9</v>
      </c>
      <c r="B36" s="2677" t="s">
        <v>3392</v>
      </c>
      <c r="C36" s="2662">
        <f ca="1">ROUND((C13-C15-C27-C28-C31-C35-C32)/(1+F14+C30+C34),0)</f>
        <v>-2</v>
      </c>
      <c r="D36" s="2678"/>
      <c r="E36" s="2678"/>
      <c r="F36" s="172"/>
      <c r="G36" s="2711" t="s">
        <v>3404</v>
      </c>
      <c r="H36" s="2678"/>
      <c r="I36" s="2678"/>
      <c r="J36" s="2678"/>
      <c r="K36" s="2679"/>
    </row>
    <row r="37" spans="1:11" s="2789" customFormat="1" ht="15" thickBot="1">
      <c r="A37" s="2691">
        <v>10</v>
      </c>
      <c r="B37" s="2692" t="s">
        <v>3481</v>
      </c>
      <c r="C37" s="2786">
        <f ca="1">ROUND(C36*(1+F37),0)</f>
        <v>-2</v>
      </c>
      <c r="D37" s="2787"/>
      <c r="E37" s="2788"/>
      <c r="F37" s="2693">
        <v>0.09</v>
      </c>
      <c r="G37" s="2677" t="s">
        <v>3482</v>
      </c>
      <c r="H37" s="2678"/>
      <c r="I37" s="2678"/>
      <c r="J37" s="2678"/>
      <c r="K37" s="2679"/>
    </row>
    <row r="38" spans="1:11" ht="12.75" customHeight="1"/>
    <row r="44" spans="1:11" s="3210" customFormat="1" ht="18" thickBot="1">
      <c r="A44" s="3215" t="s">
        <v>3490</v>
      </c>
      <c r="B44" s="1861"/>
      <c r="C44" s="3216"/>
      <c r="D44" s="1861"/>
      <c r="E44" s="1861"/>
      <c r="F44" s="1861"/>
      <c r="G44" s="1861"/>
    </row>
    <row r="45" spans="1:11" s="3210" customFormat="1" ht="14.4">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2</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2</v>
      </c>
      <c r="D53" s="626"/>
      <c r="E53" s="626"/>
      <c r="F53" s="626"/>
      <c r="G53" s="626"/>
    </row>
    <row r="54" spans="1:7" s="3210" customFormat="1">
      <c r="A54" s="3405" t="s">
        <v>3390</v>
      </c>
      <c r="B54" s="3406" t="s">
        <v>3510</v>
      </c>
      <c r="C54" s="3407">
        <f ca="1">C20</f>
        <v>2</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0</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0+0V</v>
      </c>
      <c r="D64" s="626"/>
      <c r="E64" s="626"/>
      <c r="F64" s="626"/>
      <c r="G64" s="626"/>
    </row>
    <row r="65" spans="1:7" s="3210" customFormat="1">
      <c r="A65" s="626">
        <v>5</v>
      </c>
      <c r="B65" s="2695" t="s">
        <v>3500</v>
      </c>
      <c r="C65" s="2666">
        <f ca="1">C36</f>
        <v>-2</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62" sqref="C62:G6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2"/>
      <c r="G1" s="2032"/>
      <c r="H1" s="2032"/>
      <c r="I1" s="2032"/>
      <c r="J1" s="2032"/>
      <c r="K1" s="2032"/>
      <c r="L1" s="2032"/>
      <c r="M1" s="2032"/>
      <c r="N1" s="2032"/>
      <c r="O1" s="2032"/>
      <c r="P1" s="2032"/>
    </row>
    <row r="2" spans="1:16" ht="15.6">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6">
      <c r="A3" s="1574" t="s">
        <v>1986</v>
      </c>
      <c r="B3" s="2923" t="e">
        <f ca="1">ROUND(B2*10000/E2,0)</f>
        <v>#DIV/0!</v>
      </c>
      <c r="C3" s="1574" t="s">
        <v>1992</v>
      </c>
      <c r="D3" s="2032"/>
      <c r="E3" s="2032"/>
      <c r="F3" s="2032"/>
      <c r="G3" s="2032"/>
      <c r="H3" s="2032"/>
      <c r="I3" s="2032"/>
      <c r="J3" s="2032"/>
      <c r="K3" s="2032"/>
      <c r="L3" s="2032"/>
      <c r="M3" s="2032"/>
      <c r="N3" s="2032"/>
      <c r="O3" s="2032"/>
      <c r="P3" s="2032"/>
    </row>
    <row r="4" spans="1:16" ht="15.6">
      <c r="A4" s="2044"/>
      <c r="B4" s="2032"/>
      <c r="C4" s="2032"/>
      <c r="D4" s="2032"/>
      <c r="E4" s="2032"/>
      <c r="F4" s="2032"/>
      <c r="G4" s="2032"/>
      <c r="H4" s="2032"/>
      <c r="I4" s="2032"/>
      <c r="J4" s="2032"/>
      <c r="K4" s="2032"/>
      <c r="L4" s="2032"/>
      <c r="M4" s="2032"/>
      <c r="N4" s="2032"/>
      <c r="O4" s="2032"/>
      <c r="P4" s="2032"/>
    </row>
    <row r="5" spans="1:16" ht="31.2">
      <c r="A5" s="1885" t="s">
        <v>1987</v>
      </c>
      <c r="B5" s="1887" t="s">
        <v>1988</v>
      </c>
      <c r="C5" s="1575"/>
      <c r="D5" s="2032"/>
      <c r="E5" s="1888" t="s">
        <v>1989</v>
      </c>
      <c r="F5" s="2032"/>
      <c r="G5" s="2032"/>
      <c r="H5" s="2032"/>
      <c r="I5" s="2032"/>
      <c r="J5" s="2032"/>
      <c r="K5" s="2032"/>
      <c r="L5" s="2032"/>
      <c r="M5" s="2032"/>
      <c r="N5" s="2032"/>
      <c r="O5" s="2032"/>
      <c r="P5" s="2032"/>
    </row>
    <row r="6" spans="1:16" ht="15.6">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6">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6">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6">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6">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6">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6">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6">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62" sqref="C62:G62"/>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6">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6">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6"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6"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6"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2" t="s">
        <v>1870</v>
      </c>
      <c r="X8" s="4613"/>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4"/>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4"/>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6"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8"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24.6"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24">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6"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ht="24">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4"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3.8">
      <c r="A20" s="4615" t="s">
        <v>3146</v>
      </c>
      <c r="B20" s="66" t="s">
        <v>1904</v>
      </c>
      <c r="C20" s="4147" t="e">
        <f>ROUND(IF(F21="与级别开发程度一致",0,(G21-E21)/C21),0)</f>
        <v>#DIV/0!</v>
      </c>
      <c r="D20" s="2426" t="s">
        <v>1908</v>
      </c>
      <c r="E20" s="2427"/>
      <c r="F20" s="4621" t="s">
        <v>1905</v>
      </c>
      <c r="G20" s="4622"/>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4" thickBot="1">
      <c r="A21" s="4616"/>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4.6"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4">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3.1300000000000001E-2</v>
      </c>
      <c r="M36" s="2929">
        <f ca="1">ROUND($L$36*(1+M31),3)</f>
        <v>3.9E-2</v>
      </c>
      <c r="N36" s="2929">
        <f ca="1">ROUND($L$36*(1+N31),3)</f>
        <v>3.7999999999999999E-2</v>
      </c>
      <c r="O36" s="2929">
        <f ca="1">ROUND($L$36*(1+O31),3)</f>
        <v>3.5999999999999997E-2</v>
      </c>
      <c r="P36" s="2929">
        <f ca="1">ROUND($L$36*(1+P31),3)</f>
        <v>3.4000000000000002E-2</v>
      </c>
      <c r="Q36" s="292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19"/>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3.6299999999999999E-2</v>
      </c>
      <c r="M37" s="2929">
        <f ca="1">ROUND($L$37*(1+M31),3)</f>
        <v>4.4999999999999998E-2</v>
      </c>
      <c r="N37" s="2929">
        <f t="shared" ref="N37:Q37" ca="1" si="3">ROUND($L$37*(1+N31),3)</f>
        <v>4.3999999999999997E-2</v>
      </c>
      <c r="O37" s="2929">
        <f t="shared" ca="1" si="3"/>
        <v>4.2000000000000003E-2</v>
      </c>
      <c r="P37" s="2929">
        <f t="shared" ca="1" si="3"/>
        <v>0.04</v>
      </c>
      <c r="Q37" s="292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20"/>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20"/>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8"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9.6">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52.8">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48">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7.200000000000003">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36">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6.4">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6.4">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40.200000000000003"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4.4">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9.6">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52.8">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48">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7.200000000000003">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36">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6.4">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6.4">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40.200000000000003"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4.4">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2.8">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52.8">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48">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3.8">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6.4">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6.4">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36">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39.6">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36.6"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4.4">
      <c r="A81" s="1557" t="s">
        <v>1979</v>
      </c>
      <c r="B81" s="1558">
        <f>1+E83</f>
        <v>1</v>
      </c>
      <c r="C81" s="504"/>
      <c r="D81" s="504"/>
      <c r="E81" s="505"/>
      <c r="F81" s="1559"/>
      <c r="G81" s="3"/>
      <c r="H81" s="3"/>
      <c r="I81" s="3"/>
      <c r="J81" s="4"/>
      <c r="K81" s="4"/>
      <c r="L81" s="4"/>
      <c r="M81" s="4"/>
      <c r="N81" s="4"/>
      <c r="Z81" s="1440"/>
      <c r="AA81" s="1490"/>
      <c r="AG81" s="752"/>
      <c r="AK81" s="1490"/>
    </row>
    <row r="82" spans="1:37" ht="25.2">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9.6">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52.8">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48">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3.8">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6.4">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6.4">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36">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40.200000000000003"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3.8">
      <c r="A91" s="2451" t="s">
        <v>2504</v>
      </c>
      <c r="B91" s="2452">
        <f>1+E93</f>
        <v>1</v>
      </c>
      <c r="C91" s="2445"/>
      <c r="D91" s="2446"/>
      <c r="E91" s="1302"/>
      <c r="F91" s="1302"/>
      <c r="G91" s="2447"/>
      <c r="H91" s="2448"/>
      <c r="I91" s="2449"/>
      <c r="J91" s="2450"/>
      <c r="K91" s="2450"/>
      <c r="L91" s="2450"/>
      <c r="M91" s="2450"/>
      <c r="N91" s="2450"/>
    </row>
    <row r="92" spans="1:37" ht="25.2">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52.8">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48">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7.200000000000003">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36">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6.4">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6.4">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40.200000000000003"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17" t="s">
        <v>3184</v>
      </c>
      <c r="B103" s="4617"/>
      <c r="C103" s="4617"/>
      <c r="D103" s="4617"/>
      <c r="E103" s="4617"/>
      <c r="F103" s="4617"/>
      <c r="G103" s="4617"/>
      <c r="H103" s="4617"/>
      <c r="I103" s="4617"/>
      <c r="J103" s="4617"/>
      <c r="K103" s="1294"/>
      <c r="L103" s="1294"/>
      <c r="M103" s="1294"/>
      <c r="N103" s="1294"/>
    </row>
    <row r="104" spans="1:14">
      <c r="A104" s="4618" t="s">
        <v>3185</v>
      </c>
      <c r="B104" s="4618" t="s">
        <v>3186</v>
      </c>
      <c r="C104" s="4218" t="s">
        <v>3187</v>
      </c>
      <c r="D104" s="1534"/>
      <c r="E104" s="1534"/>
      <c r="F104" s="1534"/>
      <c r="G104" s="1534"/>
      <c r="H104" s="1534"/>
      <c r="I104" s="1534"/>
      <c r="J104" s="1534"/>
      <c r="K104" s="1534"/>
      <c r="L104" s="1534"/>
      <c r="M104" s="1534"/>
      <c r="N104" s="4219"/>
    </row>
    <row r="105" spans="1:14">
      <c r="A105" s="4618"/>
      <c r="B105" s="4618"/>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08"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09"/>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09"/>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09"/>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09"/>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09"/>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0"/>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1" t="s">
        <v>3201</v>
      </c>
      <c r="B113" s="4611"/>
      <c r="C113" s="4611"/>
      <c r="D113" s="4611"/>
      <c r="E113" s="4611"/>
      <c r="F113" s="4611"/>
      <c r="G113" s="4611"/>
      <c r="H113" s="4611"/>
      <c r="I113" s="4611"/>
      <c r="J113" s="4611"/>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8" thickBot="1">
      <c r="A115" s="2462"/>
      <c r="B115" s="2462"/>
      <c r="C115" s="2462"/>
      <c r="D115" s="2462"/>
      <c r="E115" s="2462"/>
      <c r="F115" s="2462"/>
      <c r="G115" s="2462"/>
      <c r="H115" s="2462"/>
      <c r="I115" s="2462"/>
      <c r="J115" s="2462"/>
      <c r="K115" s="1554"/>
      <c r="L115" s="2462"/>
      <c r="M115" s="2462"/>
      <c r="N115" s="2462"/>
    </row>
    <row r="116" spans="1:14" ht="25.8"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8"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7" t="s">
        <v>3523</v>
      </c>
      <c r="B1" s="47"/>
      <c r="C1" s="785"/>
      <c r="D1" s="784"/>
      <c r="E1" s="2045"/>
      <c r="F1" s="2045"/>
      <c r="G1" s="1938"/>
      <c r="H1" s="2045"/>
      <c r="I1" s="2045"/>
      <c r="J1" s="2045"/>
      <c r="K1" s="2046">
        <f>MATCH(C1,'数据-取费表'!A6:A16,0)+5</f>
        <v>7</v>
      </c>
    </row>
    <row r="2" spans="1:33" ht="18" customHeight="1">
      <c r="A2" s="96" t="s">
        <v>1431</v>
      </c>
      <c r="B2" s="2523">
        <f ca="1">C34</f>
        <v>-52</v>
      </c>
      <c r="C2" s="171" t="s">
        <v>1534</v>
      </c>
      <c r="D2" s="171"/>
      <c r="E2" s="2045"/>
      <c r="F2" s="2045"/>
      <c r="G2" s="2045"/>
      <c r="H2" s="2045"/>
      <c r="I2" s="2045"/>
      <c r="J2" s="2045"/>
      <c r="K2" s="2045"/>
    </row>
    <row r="3" spans="1:33" ht="18" customHeight="1">
      <c r="A3" s="98" t="s">
        <v>1433</v>
      </c>
      <c r="B3" s="2523">
        <f ca="1">ROUND(B2*10000/IF(C1="",'数据-汇总表'!E3,INDIRECT("'数据-取费表'!K"&amp;$K$1)),0)</f>
        <v>-4702</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1" t="s">
        <v>3381</v>
      </c>
      <c r="D6" s="4601"/>
      <c r="E6" s="4601"/>
      <c r="F6" s="4601"/>
      <c r="G6" s="4601"/>
      <c r="H6" s="4601"/>
      <c r="I6" s="4601"/>
      <c r="J6" s="4601"/>
      <c r="K6" s="4602"/>
    </row>
    <row r="7" spans="1:33" s="518" customFormat="1" ht="14.4">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3" t="s">
        <v>3528</v>
      </c>
      <c r="B11" s="4624"/>
      <c r="C11" s="4624"/>
      <c r="D11" s="4624"/>
      <c r="E11" s="4624"/>
      <c r="F11" s="4624"/>
      <c r="G11" s="4624"/>
      <c r="H11" s="4624"/>
      <c r="I11" s="4624"/>
      <c r="J11" s="4624"/>
      <c r="K11" s="4625"/>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52</v>
      </c>
      <c r="D15" s="530"/>
      <c r="E15" s="173"/>
      <c r="F15" s="3227"/>
      <c r="G15" s="3352" t="s">
        <v>3547</v>
      </c>
      <c r="H15" s="526"/>
      <c r="I15" s="526"/>
      <c r="J15" s="526"/>
      <c r="K15" s="527"/>
    </row>
    <row r="16" spans="1:33" s="523" customFormat="1" ht="13.5" customHeight="1">
      <c r="A16" s="3363" t="s">
        <v>3597</v>
      </c>
      <c r="B16" s="3231" t="s">
        <v>3530</v>
      </c>
      <c r="C16" s="3232">
        <f ca="1">SUM(C17:C22)</f>
        <v>52</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45</v>
      </c>
      <c r="D17" s="3234"/>
      <c r="E17" s="3235"/>
      <c r="F17" s="3247"/>
      <c r="G17" s="3353"/>
      <c r="H17" s="3350"/>
      <c r="I17" s="3350"/>
      <c r="J17" s="3350"/>
      <c r="K17" s="3362"/>
    </row>
    <row r="18" spans="1:33" s="523" customFormat="1" ht="13.5" customHeight="1">
      <c r="A18" s="3364" t="s">
        <v>3536</v>
      </c>
      <c r="B18" s="3219" t="s">
        <v>3537</v>
      </c>
      <c r="C18" s="2501">
        <f ca="1">ROUND(C17*F18,0)</f>
        <v>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4</v>
      </c>
      <c r="D20" s="3229">
        <f ca="1">IF(C1="",'数据-汇总表'!E3,INDIRECT("'数据-取费表'!K"&amp;$K$1)+INDIRECT("'数据-取费表'!S"&amp;$K$1))</f>
        <v>110.59</v>
      </c>
      <c r="E20" s="3230">
        <f>'数据-取费表'!B35</f>
        <v>350</v>
      </c>
      <c r="F20" s="3229"/>
      <c r="G20" s="2497"/>
      <c r="H20" s="3350"/>
      <c r="I20" s="3350"/>
      <c r="J20" s="526"/>
      <c r="K20" s="527"/>
    </row>
    <row r="21" spans="1:33" s="523" customFormat="1" ht="13.5" customHeight="1">
      <c r="A21" s="3364" t="s">
        <v>3551</v>
      </c>
      <c r="B21" s="3221" t="s">
        <v>3508</v>
      </c>
      <c r="C21" s="2501">
        <f ca="1">ROUND(C17*F21,0)</f>
        <v>0</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1</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3" t="s">
        <v>3600</v>
      </c>
      <c r="B25" s="3231" t="s">
        <v>3422</v>
      </c>
      <c r="C25" s="3238" t="str">
        <f ca="1">C26&amp;"+"&amp;C27&amp;"V建"</f>
        <v>2+0.0004V建</v>
      </c>
      <c r="D25" s="3239"/>
      <c r="E25" s="3239"/>
      <c r="F25" s="3248">
        <f ca="1">'数据-取费表'!B41</f>
        <v>3.1300000000000001E-2</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ROUND(IF('数据-取费表'!B20&lt;=1,F24*F25*'数据-取费表'!B20/2,F24*(POWER((1+F23),'数据-取费表'!B20/2)-1)),4)</f>
        <v>4.0000000000000002E-4</v>
      </c>
      <c r="D27" s="3031"/>
      <c r="E27" s="3031"/>
      <c r="F27" s="3247"/>
      <c r="G27" s="3356"/>
      <c r="H27" s="3350"/>
      <c r="I27" s="3350"/>
      <c r="J27" s="3350"/>
      <c r="K27" s="3362"/>
    </row>
    <row r="28" spans="1:33" s="523" customFormat="1" ht="13.5" customHeight="1">
      <c r="A28" s="3363" t="s">
        <v>3543</v>
      </c>
      <c r="B28" s="3231" t="s">
        <v>3560</v>
      </c>
      <c r="C28" s="2650" t="str">
        <f ca="1">C29&amp;"+"&amp;C30&amp;"V建"</f>
        <v>8+0.003V建</v>
      </c>
      <c r="D28" s="1012"/>
      <c r="E28" s="1012"/>
      <c r="F28" s="3250">
        <f ca="1">IF(C1="",'数据-取费表'!Q16,INDIRECT("'数据-取费表'!q"&amp;$K$1))</f>
        <v>0.15</v>
      </c>
      <c r="G28" s="4626" t="s">
        <v>3544</v>
      </c>
      <c r="H28" s="3350"/>
      <c r="I28" s="3350"/>
      <c r="J28" s="3350"/>
      <c r="K28" s="3362"/>
    </row>
    <row r="29" spans="1:33" s="523" customFormat="1" ht="13.5" customHeight="1">
      <c r="A29" s="3364" t="s">
        <v>3556</v>
      </c>
      <c r="B29" s="3221" t="s">
        <v>3561</v>
      </c>
      <c r="C29" s="2651">
        <f ca="1">ROUND((C16+C23)*F28,0)</f>
        <v>8</v>
      </c>
      <c r="D29" s="1012"/>
      <c r="E29" s="1012"/>
      <c r="F29" s="2720"/>
      <c r="G29" s="4626"/>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65</v>
      </c>
      <c r="D32" s="3242"/>
      <c r="E32" s="3243"/>
      <c r="F32" s="3229"/>
      <c r="G32" s="3360" t="s">
        <v>3534</v>
      </c>
      <c r="H32" s="3361"/>
      <c r="I32" s="3361"/>
      <c r="J32" s="3361"/>
      <c r="K32" s="3368"/>
    </row>
    <row r="33" spans="1:11" s="176" customFormat="1" ht="13.5" customHeight="1">
      <c r="A33" s="3363" t="s">
        <v>3555</v>
      </c>
      <c r="B33" s="3244" t="s">
        <v>3545</v>
      </c>
      <c r="C33" s="3245">
        <f ca="1">ROUND(C32*(1-F33),0)</f>
        <v>13</v>
      </c>
      <c r="D33" s="3246"/>
      <c r="E33" s="3031"/>
      <c r="F33" s="3249">
        <f>IF('数据-取费表'!B24=0,'数据-取费表'!N16,1)</f>
        <v>0.8</v>
      </c>
      <c r="G33" s="3352" t="s">
        <v>3546</v>
      </c>
      <c r="H33" s="3357"/>
      <c r="I33" s="3357"/>
      <c r="J33" s="3357"/>
      <c r="K33" s="3367"/>
    </row>
    <row r="34" spans="1:11" s="521" customFormat="1" ht="16.2" thickBot="1">
      <c r="A34" s="3369">
        <v>4</v>
      </c>
      <c r="B34" s="3370" t="s">
        <v>3603</v>
      </c>
      <c r="C34" s="3371">
        <f ca="1">C13-C15</f>
        <v>-52</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37"/>
      <c r="C2" s="4237"/>
      <c r="D2" s="4237"/>
      <c r="E2" s="4237"/>
    </row>
    <row r="3" spans="1:5" ht="17.399999999999999">
      <c r="A3" s="4238" t="str">
        <f>IF(项目基本情况!B9="房地产市场价值","估价结果一览表（市场价值不需“结果表-1”）","估价结果一览表")</f>
        <v>估价结果一览表</v>
      </c>
      <c r="B3" s="4238"/>
      <c r="C3" s="4238"/>
      <c r="D3" s="4238"/>
      <c r="E3" s="4238"/>
    </row>
    <row r="4" spans="1:5" ht="18" thickBot="1">
      <c r="A4" s="1036"/>
      <c r="B4" s="4236" t="s">
        <v>901</v>
      </c>
      <c r="C4" s="4236"/>
      <c r="D4" s="4236"/>
      <c r="E4" s="1036"/>
    </row>
    <row r="5" spans="1:5" ht="16.2" thickTop="1">
      <c r="B5" s="4234" t="s">
        <v>893</v>
      </c>
      <c r="C5" s="1037" t="s">
        <v>894</v>
      </c>
      <c r="D5" s="540">
        <f ca="1">结果表!H101</f>
        <v>212.25540000000001</v>
      </c>
    </row>
    <row r="6" spans="1:5" ht="31.2">
      <c r="B6" s="4234"/>
      <c r="C6" s="1037" t="s">
        <v>895</v>
      </c>
      <c r="D6" s="540" t="str">
        <f ca="1">NUMBERSTRING(INT(D5*10000),2)&amp;"元整"</f>
        <v>贰佰壹拾贰万贰仟伍佰伍拾肆元整</v>
      </c>
    </row>
    <row r="7" spans="1:5" ht="15.6">
      <c r="B7" s="4239"/>
      <c r="C7" s="1038" t="s">
        <v>896</v>
      </c>
      <c r="D7" s="541">
        <f ca="1">结果表!H102</f>
        <v>19193</v>
      </c>
    </row>
    <row r="8" spans="1:5" ht="15.6">
      <c r="B8" s="4240" t="str">
        <f>结果表!E103</f>
        <v>2.估价师知悉的法定优先受偿款</v>
      </c>
      <c r="C8" s="1039" t="s">
        <v>897</v>
      </c>
      <c r="D8" s="541">
        <f>结果表!H103</f>
        <v>0</v>
      </c>
    </row>
    <row r="9" spans="1:5" ht="15.6">
      <c r="B9" s="4242"/>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3" t="str">
        <f>结果表!E107</f>
        <v>3.房地产抵押价值</v>
      </c>
      <c r="C13" s="1042" t="s">
        <v>894</v>
      </c>
      <c r="D13" s="543">
        <f ca="1">结果表!H107</f>
        <v>212.25540000000001</v>
      </c>
    </row>
    <row r="14" spans="1:5" ht="31.2">
      <c r="B14" s="4234"/>
      <c r="C14" s="1037" t="s">
        <v>895</v>
      </c>
      <c r="D14" s="540" t="str">
        <f ca="1">NUMBERSTRING(INT(D13*10000),2)&amp;"元整"</f>
        <v>贰佰壹拾贰万贰仟伍佰伍拾肆元整</v>
      </c>
    </row>
    <row r="15" spans="1:5" ht="15.6">
      <c r="B15" s="4239"/>
      <c r="C15" s="1038" t="s">
        <v>905</v>
      </c>
      <c r="D15" s="548">
        <f ca="1">结果表!H108</f>
        <v>19193</v>
      </c>
    </row>
    <row r="16" spans="1:5" ht="15.6">
      <c r="B16" s="4240" t="str">
        <f>结果表!E109</f>
        <v>——</v>
      </c>
      <c r="C16" s="1042" t="s">
        <v>906</v>
      </c>
      <c r="D16" s="1043" t="str">
        <f>结果表!H109</f>
        <v>——</v>
      </c>
    </row>
    <row r="17" spans="1:5" ht="15.6">
      <c r="B17" s="4241"/>
      <c r="C17" s="1037" t="s">
        <v>907</v>
      </c>
      <c r="D17" s="540" t="e">
        <f>NUMBERSTRING(INT(D16*10000),2)&amp;"元整"</f>
        <v>#VALUE!</v>
      </c>
    </row>
    <row r="18" spans="1:5" ht="15.6">
      <c r="B18" s="4242"/>
      <c r="C18" s="1038" t="s">
        <v>896</v>
      </c>
      <c r="D18" s="548" t="str">
        <f>结果表!H110</f>
        <v>——</v>
      </c>
    </row>
    <row r="19" spans="1:5" ht="15.6">
      <c r="B19" s="4233" t="str">
        <f>结果表!E111</f>
        <v>——</v>
      </c>
      <c r="C19" s="1042" t="s">
        <v>894</v>
      </c>
      <c r="D19" s="541" t="str">
        <f>结果表!H111</f>
        <v>——</v>
      </c>
    </row>
    <row r="20" spans="1:5" ht="15.6">
      <c r="B20" s="4234"/>
      <c r="C20" s="1037" t="s">
        <v>907</v>
      </c>
      <c r="D20" s="540" t="e">
        <f>NUMBERSTRING(INT(D19*10000),2)&amp;"元整"</f>
        <v>#VALUE!</v>
      </c>
    </row>
    <row r="21" spans="1:5" ht="16.2" thickBot="1">
      <c r="B21" s="4235"/>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62" sqref="C62:G6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7" t="s">
        <v>3524</v>
      </c>
      <c r="B1" s="3225"/>
      <c r="C1" s="2829"/>
      <c r="D1" s="93"/>
      <c r="E1" s="93"/>
      <c r="F1" s="93"/>
      <c r="G1" s="756">
        <f>MATCH(C1,'数据-取费表'!A6:A16,0)+5</f>
        <v>7</v>
      </c>
    </row>
    <row r="2" spans="1:7" s="95" customFormat="1" ht="15.6">
      <c r="A2" s="96" t="s">
        <v>1431</v>
      </c>
      <c r="B2" s="2522">
        <f ca="1">C34</f>
        <v>6</v>
      </c>
      <c r="C2" s="94" t="s">
        <v>1432</v>
      </c>
      <c r="D2" s="94"/>
      <c r="E2" s="2510"/>
      <c r="F2" s="94"/>
      <c r="G2" s="94"/>
    </row>
    <row r="3" spans="1:7" s="95" customFormat="1" ht="15.6">
      <c r="A3" s="98" t="s">
        <v>1433</v>
      </c>
      <c r="B3" s="2523">
        <f ca="1">ROUND(B2*10000/(IF(C1="",'数据-汇总表'!E3,INDIRECT("'数据-取费表'!k"&amp;$G$1))),0)</f>
        <v>543</v>
      </c>
      <c r="C3" s="94" t="s">
        <v>1434</v>
      </c>
      <c r="D3" s="94"/>
      <c r="E3" s="2510"/>
      <c r="F3" s="94"/>
      <c r="G3" s="94"/>
    </row>
    <row r="4" spans="1:7" s="95" customFormat="1" ht="15.6">
      <c r="A4" s="3387" t="s">
        <v>3638</v>
      </c>
      <c r="B4" s="2522" t="e">
        <f ca="1">ROUND(B2*10000/'数据-汇总表'!D3,0)</f>
        <v>#DIV/0!</v>
      </c>
      <c r="C4" s="96" t="s">
        <v>3640</v>
      </c>
      <c r="D4" s="94"/>
      <c r="E4" s="2510"/>
      <c r="F4" s="94"/>
      <c r="G4" s="94"/>
    </row>
    <row r="5" spans="1:7" s="95" customFormat="1" ht="16.2" thickBot="1">
      <c r="A5" s="94"/>
      <c r="B5" s="3396" t="e">
        <f ca="1">ROUND(B2/('数据-汇总表'!D3/666.67),0)</f>
        <v>#DIV/0!</v>
      </c>
      <c r="C5" s="3381" t="s">
        <v>3639</v>
      </c>
      <c r="D5" s="94"/>
      <c r="E5" s="2510"/>
      <c r="F5" s="94"/>
      <c r="G5" s="94"/>
    </row>
    <row r="6" spans="1:7" s="95" customFormat="1" ht="15.6">
      <c r="A6" s="3269" t="s">
        <v>3333</v>
      </c>
      <c r="B6" s="3270" t="s">
        <v>3334</v>
      </c>
      <c r="C6" s="3271" t="s">
        <v>3963</v>
      </c>
      <c r="D6" s="3272" t="s">
        <v>3339</v>
      </c>
      <c r="E6" s="3273" t="s">
        <v>3340</v>
      </c>
      <c r="F6" s="3273" t="s">
        <v>3341</v>
      </c>
      <c r="G6" s="3274" t="s">
        <v>3335</v>
      </c>
    </row>
    <row r="7" spans="1:7" s="103" customFormat="1" ht="15.6">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4.4">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4.4">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6">
      <c r="A20" s="3275" t="s">
        <v>3608</v>
      </c>
      <c r="B20" s="2503" t="s">
        <v>3581</v>
      </c>
      <c r="C20" s="2534">
        <f ca="1">C21+C24+C25</f>
        <v>5</v>
      </c>
      <c r="D20" s="3337"/>
      <c r="E20" s="3338"/>
      <c r="F20" s="2557"/>
      <c r="G20" s="3344"/>
    </row>
    <row r="21" spans="1:9" s="118" customFormat="1" ht="14.4">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2</v>
      </c>
      <c r="D23" s="3251">
        <f ca="1">IF(C1="",'数据-汇总表'!E6,IF(INDIRECT("'数据-取费表'!c"&amp;$G$1)="住宅",INDIRECT("'数据-取费表'!s"&amp;$G$1),INDIRECT("'数据-取费表'!k"&amp;$G$1)+INDIRECT("'数据-取费表'!s"&amp;$G$1)))</f>
        <v>110.59</v>
      </c>
      <c r="E23" s="3251">
        <f>'数据-取费表'!B28</f>
        <v>200</v>
      </c>
      <c r="F23" s="2553"/>
      <c r="G23" s="3345"/>
    </row>
    <row r="24" spans="1:9" s="109" customFormat="1" ht="14.4">
      <c r="A24" s="3224" t="s">
        <v>3589</v>
      </c>
      <c r="B24" s="3260" t="s">
        <v>3605</v>
      </c>
      <c r="C24" s="2562">
        <f ca="1">IF(G24="已包含在土地取得成本中","0",ROUND(D24*E24/10000,0))</f>
        <v>1</v>
      </c>
      <c r="D24" s="3252">
        <f ca="1">D22+D23</f>
        <v>110.59</v>
      </c>
      <c r="E24" s="3252">
        <f>'数据-取费表'!B31</f>
        <v>130</v>
      </c>
      <c r="F24" s="3261"/>
      <c r="G24" s="1339"/>
    </row>
    <row r="25" spans="1:9" s="109" customFormat="1" ht="14.4">
      <c r="A25" s="3224" t="s">
        <v>337</v>
      </c>
      <c r="B25" s="3260" t="s">
        <v>3606</v>
      </c>
      <c r="C25" s="2562">
        <f ca="1">ROUND(E25*D25/10000,0)</f>
        <v>4</v>
      </c>
      <c r="D25" s="3252">
        <f ca="1">D24</f>
        <v>110.59</v>
      </c>
      <c r="E25" s="3252">
        <f>'数据-取费表'!B35</f>
        <v>350</v>
      </c>
      <c r="F25" s="3254"/>
      <c r="G25" s="3346"/>
    </row>
    <row r="26" spans="1:9" s="103" customFormat="1" ht="15.6">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6">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3.1300000000000001E-2</v>
      </c>
      <c r="G29" s="3348" t="str">
        <f>IF('数据-取费表'!B19&lt;=1,"单利计息","复利计息")</f>
        <v>单利计息</v>
      </c>
    </row>
    <row r="30" spans="1:9" s="2533" customFormat="1" ht="15.6">
      <c r="A30" s="3275" t="s">
        <v>3613</v>
      </c>
      <c r="B30" s="2503" t="s">
        <v>3614</v>
      </c>
      <c r="C30" s="2540">
        <f ca="1">ROUND((C7+C20+C26)*F30,0)</f>
        <v>1</v>
      </c>
      <c r="D30" s="2538"/>
      <c r="E30" s="296"/>
      <c r="F30" s="3266">
        <f ca="1">IF(C1="",'数据-取费表'!Q16,INDIRECT("'数据-取费表'!q"&amp;$G$1))</f>
        <v>0.15</v>
      </c>
      <c r="G30" s="3348"/>
    </row>
    <row r="31" spans="1:9" s="109" customFormat="1" ht="15.6">
      <c r="A31" s="2504" t="s">
        <v>3594</v>
      </c>
      <c r="B31" s="2503" t="s">
        <v>3586</v>
      </c>
      <c r="C31" s="2525">
        <f ca="1">C7+C20+C29+C30</f>
        <v>6</v>
      </c>
      <c r="D31" s="2516"/>
      <c r="E31" s="2516"/>
      <c r="F31" s="2515"/>
      <c r="G31" s="2517" t="s">
        <v>3617</v>
      </c>
    </row>
    <row r="32" spans="1:9" s="109" customFormat="1" ht="15.6">
      <c r="A32" s="2504" t="s">
        <v>3585</v>
      </c>
      <c r="B32" s="2503" t="s">
        <v>3584</v>
      </c>
      <c r="C32" s="3331">
        <f ca="1">ROUND(C31*F32,0)</f>
        <v>1</v>
      </c>
      <c r="D32" s="130"/>
      <c r="E32" s="131"/>
      <c r="F32" s="3267">
        <v>0.1</v>
      </c>
      <c r="G32" s="3349"/>
    </row>
    <row r="33" spans="1:7" s="109" customFormat="1" ht="15.6">
      <c r="A33" s="3330">
        <v>8</v>
      </c>
      <c r="B33" s="2503" t="s">
        <v>3596</v>
      </c>
      <c r="C33" s="2525">
        <f ca="1">C31+C32</f>
        <v>7</v>
      </c>
      <c r="D33" s="2516"/>
      <c r="E33" s="2516"/>
      <c r="F33" s="3268"/>
      <c r="G33" s="2517" t="s">
        <v>3616</v>
      </c>
    </row>
    <row r="34" spans="1:7" s="118" customFormat="1" ht="16.2" thickBot="1">
      <c r="A34" s="3282">
        <v>9</v>
      </c>
      <c r="B34" s="3283" t="s">
        <v>3595</v>
      </c>
      <c r="C34" s="2525">
        <f ca="1">ROUND(C33*F34,0)</f>
        <v>6</v>
      </c>
      <c r="D34" s="3284"/>
      <c r="E34" s="3284"/>
      <c r="F34" s="3333">
        <f>'数据-取费表'!AS16</f>
        <v>0.83499999999999996</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8" customWidth="1"/>
    <col min="14" max="14" width="10" style="2228" customWidth="1"/>
    <col min="15" max="16" width="8.21875" style="2228"/>
    <col min="17" max="17" width="34.109375" style="2228" customWidth="1"/>
    <col min="18" max="18" width="8.21875" style="2228" customWidth="1"/>
    <col min="19" max="19" width="8.21875" style="2228"/>
    <col min="20" max="20" width="11.6640625" style="2228" customWidth="1"/>
    <col min="21" max="16384" width="8.2187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37" t="s">
        <v>2499</v>
      </c>
      <c r="B20" s="4627" t="s">
        <v>2520</v>
      </c>
      <c r="C20" s="2492" t="s">
        <v>2331</v>
      </c>
      <c r="D20" s="2492"/>
      <c r="E20" s="3056">
        <v>1</v>
      </c>
      <c r="F20" s="2246" t="s">
        <v>2332</v>
      </c>
      <c r="G20" s="2246"/>
    </row>
    <row r="21" spans="1:13" ht="19.5" customHeight="1">
      <c r="A21" s="4638"/>
      <c r="B21" s="4628"/>
      <c r="C21" s="2255" t="s">
        <v>2333</v>
      </c>
      <c r="D21" s="2255"/>
      <c r="E21" s="3057">
        <v>1</v>
      </c>
      <c r="F21" s="2246" t="s">
        <v>2334</v>
      </c>
      <c r="G21" s="2246"/>
    </row>
    <row r="22" spans="1:13" ht="19.5" customHeight="1">
      <c r="A22" s="4638"/>
      <c r="B22" s="4628"/>
      <c r="C22" s="2255" t="s">
        <v>2335</v>
      </c>
      <c r="D22" s="2255"/>
      <c r="E22" s="3057">
        <v>0.9</v>
      </c>
      <c r="F22" s="2246" t="s">
        <v>2336</v>
      </c>
      <c r="G22" s="2246"/>
    </row>
    <row r="23" spans="1:13" ht="19.5" customHeight="1">
      <c r="A23" s="4638"/>
      <c r="B23" s="4628"/>
      <c r="C23" s="2255" t="s">
        <v>2337</v>
      </c>
      <c r="D23" s="2255"/>
      <c r="E23" s="3057">
        <v>0.9</v>
      </c>
      <c r="F23" s="2246" t="s">
        <v>2338</v>
      </c>
      <c r="G23" s="2246"/>
    </row>
    <row r="24" spans="1:13" ht="19.5" customHeight="1">
      <c r="A24" s="4638"/>
      <c r="B24" s="4628"/>
      <c r="C24" s="2255" t="s">
        <v>2339</v>
      </c>
      <c r="D24" s="2255"/>
      <c r="E24" s="3057">
        <v>0.8</v>
      </c>
      <c r="F24" s="2246" t="s">
        <v>2340</v>
      </c>
      <c r="G24" s="2246"/>
    </row>
    <row r="25" spans="1:13" ht="19.5" customHeight="1">
      <c r="A25" s="4638"/>
      <c r="B25" s="4628"/>
      <c r="C25" s="2255" t="s">
        <v>2341</v>
      </c>
      <c r="D25" s="2255"/>
      <c r="E25" s="3057">
        <v>0.8</v>
      </c>
      <c r="F25" s="2246"/>
      <c r="G25" s="2246"/>
    </row>
    <row r="26" spans="1:13" ht="19.5" customHeight="1">
      <c r="A26" s="4638"/>
      <c r="B26" s="4628"/>
      <c r="C26" s="2255" t="s">
        <v>3280</v>
      </c>
      <c r="D26" s="2255"/>
      <c r="E26" s="3057">
        <v>0.43</v>
      </c>
      <c r="F26" s="2246"/>
      <c r="G26" s="2246"/>
    </row>
    <row r="27" spans="1:13" ht="19.5" customHeight="1" thickBot="1">
      <c r="A27" s="4639"/>
      <c r="B27" s="4629"/>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0" t="s">
        <v>2523</v>
      </c>
      <c r="B29" s="4633" t="s">
        <v>2504</v>
      </c>
      <c r="C29" s="2244" t="s">
        <v>2344</v>
      </c>
      <c r="D29" s="2245"/>
      <c r="E29" s="3056">
        <v>1</v>
      </c>
      <c r="F29" s="2246" t="s">
        <v>2345</v>
      </c>
      <c r="G29" s="2246"/>
    </row>
    <row r="30" spans="1:13" ht="19.5" customHeight="1">
      <c r="A30" s="4631"/>
      <c r="B30" s="4634"/>
      <c r="C30" s="2247" t="s">
        <v>2346</v>
      </c>
      <c r="D30" s="2248"/>
      <c r="E30" s="3057">
        <v>1</v>
      </c>
      <c r="F30" s="2246" t="s">
        <v>2347</v>
      </c>
      <c r="G30" s="2246"/>
    </row>
    <row r="31" spans="1:13" ht="19.5" customHeight="1">
      <c r="A31" s="4631"/>
      <c r="B31" s="4634"/>
      <c r="C31" s="2247" t="s">
        <v>2348</v>
      </c>
      <c r="D31" s="2248"/>
      <c r="E31" s="3057">
        <v>0.8</v>
      </c>
      <c r="F31" s="2246" t="s">
        <v>2349</v>
      </c>
      <c r="G31" s="2246"/>
    </row>
    <row r="32" spans="1:13" ht="19.5" customHeight="1">
      <c r="A32" s="4631"/>
      <c r="B32" s="4634"/>
      <c r="C32" s="2247" t="s">
        <v>2350</v>
      </c>
      <c r="D32" s="2248"/>
      <c r="E32" s="3057">
        <v>0.8</v>
      </c>
      <c r="F32" s="2246" t="s">
        <v>2351</v>
      </c>
      <c r="G32" s="2246"/>
    </row>
    <row r="33" spans="1:7" ht="19.5" customHeight="1">
      <c r="A33" s="4631"/>
      <c r="B33" s="4634"/>
      <c r="C33" s="2247" t="s">
        <v>2352</v>
      </c>
      <c r="D33" s="2248"/>
      <c r="E33" s="3057">
        <v>0.8</v>
      </c>
      <c r="F33" s="2246" t="s">
        <v>2353</v>
      </c>
      <c r="G33" s="2246"/>
    </row>
    <row r="34" spans="1:7" ht="19.5" customHeight="1">
      <c r="A34" s="4631"/>
      <c r="B34" s="4634"/>
      <c r="C34" s="2247" t="s">
        <v>2354</v>
      </c>
      <c r="D34" s="2248"/>
      <c r="E34" s="3057">
        <v>0.7</v>
      </c>
      <c r="F34" s="2246" t="s">
        <v>2355</v>
      </c>
      <c r="G34" s="2246"/>
    </row>
    <row r="35" spans="1:7" ht="19.5" customHeight="1">
      <c r="A35" s="4631"/>
      <c r="B35" s="4634"/>
      <c r="C35" s="2247" t="s">
        <v>2356</v>
      </c>
      <c r="D35" s="2248"/>
      <c r="E35" s="3057">
        <v>0.8</v>
      </c>
      <c r="F35" s="2246" t="s">
        <v>2357</v>
      </c>
      <c r="G35" s="2246"/>
    </row>
    <row r="36" spans="1:7" ht="19.5" customHeight="1">
      <c r="A36" s="4631"/>
      <c r="B36" s="4634"/>
      <c r="C36" s="2247" t="s">
        <v>2358</v>
      </c>
      <c r="D36" s="2248"/>
      <c r="E36" s="3057">
        <v>0.6</v>
      </c>
      <c r="F36" s="2246" t="s">
        <v>2359</v>
      </c>
      <c r="G36" s="2246"/>
    </row>
    <row r="37" spans="1:7" ht="19.5" customHeight="1">
      <c r="A37" s="4631"/>
      <c r="B37" s="4634"/>
      <c r="C37" s="2247" t="s">
        <v>2360</v>
      </c>
      <c r="D37" s="2248"/>
      <c r="E37" s="3057">
        <v>0.2</v>
      </c>
      <c r="F37" s="2246" t="s">
        <v>2361</v>
      </c>
      <c r="G37" s="2246"/>
    </row>
    <row r="38" spans="1:7" ht="19.5" customHeight="1">
      <c r="A38" s="4631"/>
      <c r="B38" s="4634"/>
      <c r="C38" s="2247" t="s">
        <v>2362</v>
      </c>
      <c r="D38" s="2248"/>
      <c r="E38" s="3057">
        <v>0.2</v>
      </c>
      <c r="F38" s="2246" t="s">
        <v>2363</v>
      </c>
      <c r="G38" s="2246"/>
    </row>
    <row r="39" spans="1:7" ht="19.5" customHeight="1">
      <c r="A39" s="4631"/>
      <c r="B39" s="4635" t="s">
        <v>2524</v>
      </c>
      <c r="C39" s="2247" t="s">
        <v>2364</v>
      </c>
      <c r="D39" s="2248"/>
      <c r="E39" s="3057">
        <v>0.6</v>
      </c>
      <c r="F39" s="2246" t="s">
        <v>2365</v>
      </c>
      <c r="G39" s="2246"/>
    </row>
    <row r="40" spans="1:7" ht="19.5" customHeight="1">
      <c r="A40" s="4631"/>
      <c r="B40" s="4634"/>
      <c r="C40" s="2247" t="s">
        <v>2366</v>
      </c>
      <c r="D40" s="2248"/>
      <c r="E40" s="3057">
        <v>0.6</v>
      </c>
      <c r="F40" s="2246" t="s">
        <v>2367</v>
      </c>
      <c r="G40" s="2246"/>
    </row>
    <row r="41" spans="1:7" ht="19.5" customHeight="1" thickBot="1">
      <c r="A41" s="4632"/>
      <c r="B41" s="4636"/>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37" t="s">
        <v>2502</v>
      </c>
      <c r="B43" s="4633" t="s">
        <v>2526</v>
      </c>
      <c r="C43" s="2244" t="s">
        <v>2371</v>
      </c>
      <c r="D43" s="2245"/>
      <c r="E43" s="3056">
        <v>1</v>
      </c>
      <c r="F43" s="2246" t="s">
        <v>2372</v>
      </c>
      <c r="G43" s="2246"/>
    </row>
    <row r="44" spans="1:7" ht="19.5" customHeight="1">
      <c r="A44" s="4638"/>
      <c r="B44" s="4634"/>
      <c r="C44" s="2247" t="s">
        <v>2373</v>
      </c>
      <c r="D44" s="2248"/>
      <c r="E44" s="3057">
        <v>1</v>
      </c>
      <c r="F44" s="2246" t="s">
        <v>2374</v>
      </c>
      <c r="G44" s="2246"/>
    </row>
    <row r="45" spans="1:7" ht="19.5" customHeight="1">
      <c r="A45" s="4638"/>
      <c r="B45" s="4640"/>
      <c r="C45" s="2247" t="s">
        <v>2375</v>
      </c>
      <c r="D45" s="2248"/>
      <c r="E45" s="3057">
        <v>1.5</v>
      </c>
      <c r="F45" s="2246" t="s">
        <v>2376</v>
      </c>
      <c r="G45" s="2246"/>
    </row>
    <row r="46" spans="1:7" ht="19.5" customHeight="1">
      <c r="A46" s="4638"/>
      <c r="B46" s="2255" t="s">
        <v>2527</v>
      </c>
      <c r="C46" s="2247" t="s">
        <v>2528</v>
      </c>
      <c r="D46" s="2248"/>
      <c r="E46" s="3057">
        <v>2</v>
      </c>
      <c r="F46" s="2246" t="s">
        <v>2377</v>
      </c>
      <c r="G46" s="2246"/>
    </row>
    <row r="47" spans="1:7" ht="19.5" customHeight="1">
      <c r="A47" s="4638"/>
      <c r="B47" s="4635" t="s">
        <v>2529</v>
      </c>
      <c r="C47" s="2247" t="s">
        <v>2378</v>
      </c>
      <c r="D47" s="2248"/>
      <c r="E47" s="3057">
        <v>1</v>
      </c>
      <c r="F47" s="2246" t="s">
        <v>2379</v>
      </c>
      <c r="G47" s="2246"/>
    </row>
    <row r="48" spans="1:7" ht="19.5" customHeight="1">
      <c r="A48" s="4638"/>
      <c r="B48" s="4634"/>
      <c r="C48" s="2247" t="s">
        <v>2380</v>
      </c>
      <c r="D48" s="2248"/>
      <c r="E48" s="3057">
        <v>1</v>
      </c>
      <c r="F48" s="2246" t="s">
        <v>2381</v>
      </c>
      <c r="G48" s="2246"/>
    </row>
    <row r="49" spans="1:7" ht="19.5" customHeight="1">
      <c r="A49" s="4638"/>
      <c r="B49" s="4634"/>
      <c r="C49" s="2247" t="s">
        <v>2382</v>
      </c>
      <c r="D49" s="2248"/>
      <c r="E49" s="3057">
        <v>1</v>
      </c>
      <c r="F49" s="2246" t="s">
        <v>2383</v>
      </c>
      <c r="G49" s="2246"/>
    </row>
    <row r="50" spans="1:7" ht="19.5" customHeight="1">
      <c r="A50" s="4638"/>
      <c r="B50" s="4634"/>
      <c r="C50" s="2247" t="s">
        <v>2384</v>
      </c>
      <c r="D50" s="2248"/>
      <c r="E50" s="3057">
        <v>1</v>
      </c>
      <c r="F50" s="2246" t="s">
        <v>2385</v>
      </c>
      <c r="G50" s="2246"/>
    </row>
    <row r="51" spans="1:7" ht="19.5" customHeight="1">
      <c r="A51" s="4638"/>
      <c r="B51" s="4634"/>
      <c r="C51" s="2247" t="s">
        <v>2386</v>
      </c>
      <c r="D51" s="2248"/>
      <c r="E51" s="3057">
        <v>1</v>
      </c>
      <c r="F51" s="2246" t="s">
        <v>2387</v>
      </c>
      <c r="G51" s="2246"/>
    </row>
    <row r="52" spans="1:7" ht="19.5" customHeight="1">
      <c r="A52" s="4638"/>
      <c r="B52" s="4634"/>
      <c r="C52" s="2247" t="s">
        <v>2388</v>
      </c>
      <c r="D52" s="2248"/>
      <c r="E52" s="3057">
        <v>1</v>
      </c>
      <c r="F52" s="2246" t="s">
        <v>2389</v>
      </c>
      <c r="G52" s="2246"/>
    </row>
    <row r="53" spans="1:7" ht="19.5" customHeight="1" thickBot="1">
      <c r="A53" s="4639"/>
      <c r="B53" s="4636"/>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4.4">
      <c r="A74" s="2255"/>
      <c r="B74" s="2255"/>
      <c r="C74" s="2255" t="s">
        <v>2542</v>
      </c>
      <c r="D74" s="2255"/>
      <c r="E74" s="2255" t="s">
        <v>2513</v>
      </c>
      <c r="F74" s="2255" t="s">
        <v>2513</v>
      </c>
    </row>
    <row r="75" spans="1:7" ht="14.4">
      <c r="A75" s="2255">
        <v>1</v>
      </c>
      <c r="B75" s="4635" t="s">
        <v>2543</v>
      </c>
      <c r="C75" s="2235" t="s">
        <v>2544</v>
      </c>
      <c r="D75" s="2235" t="s">
        <v>2545</v>
      </c>
      <c r="E75" s="3062">
        <v>0.2</v>
      </c>
      <c r="F75" s="3063">
        <v>25</v>
      </c>
    </row>
    <row r="76" spans="1:7" ht="24">
      <c r="A76" s="2255">
        <v>2</v>
      </c>
      <c r="B76" s="4634"/>
      <c r="C76" s="2235" t="s">
        <v>2546</v>
      </c>
      <c r="D76" s="2235" t="s">
        <v>2547</v>
      </c>
      <c r="E76" s="3062">
        <v>0.2</v>
      </c>
      <c r="F76" s="3063">
        <v>25</v>
      </c>
    </row>
    <row r="77" spans="1:7" ht="24">
      <c r="A77" s="2255">
        <v>3</v>
      </c>
      <c r="B77" s="4634"/>
      <c r="C77" s="2235" t="s">
        <v>2548</v>
      </c>
      <c r="D77" s="2235" t="s">
        <v>2549</v>
      </c>
      <c r="E77" s="3062">
        <v>0.2</v>
      </c>
      <c r="F77" s="3063">
        <v>25</v>
      </c>
    </row>
    <row r="78" spans="1:7" ht="14.4">
      <c r="A78" s="2255">
        <v>4</v>
      </c>
      <c r="B78" s="4634"/>
      <c r="C78" s="2235" t="s">
        <v>2550</v>
      </c>
      <c r="D78" s="2235" t="s">
        <v>2551</v>
      </c>
      <c r="E78" s="3062">
        <v>0.15</v>
      </c>
      <c r="F78" s="3063">
        <v>20</v>
      </c>
    </row>
    <row r="79" spans="1:7" ht="24">
      <c r="A79" s="2255">
        <v>5</v>
      </c>
      <c r="B79" s="4634"/>
      <c r="C79" s="2235" t="s">
        <v>2552</v>
      </c>
      <c r="D79" s="2235" t="s">
        <v>2553</v>
      </c>
      <c r="E79" s="3062">
        <v>0.15</v>
      </c>
      <c r="F79" s="3063">
        <v>20</v>
      </c>
    </row>
    <row r="80" spans="1:7" ht="24">
      <c r="A80" s="2255">
        <v>6</v>
      </c>
      <c r="B80" s="4634"/>
      <c r="C80" s="2235" t="s">
        <v>2554</v>
      </c>
      <c r="D80" s="2235" t="s">
        <v>2555</v>
      </c>
      <c r="E80" s="3062">
        <v>0.15</v>
      </c>
      <c r="F80" s="3063">
        <v>20</v>
      </c>
    </row>
    <row r="81" spans="1:6" ht="24">
      <c r="A81" s="2255">
        <v>7</v>
      </c>
      <c r="B81" s="4634"/>
      <c r="C81" s="2235" t="s">
        <v>2556</v>
      </c>
      <c r="D81" s="2235" t="s">
        <v>2557</v>
      </c>
      <c r="E81" s="3062">
        <v>0.15</v>
      </c>
      <c r="F81" s="3063">
        <v>20</v>
      </c>
    </row>
    <row r="82" spans="1:6" ht="24">
      <c r="A82" s="2255">
        <v>8</v>
      </c>
      <c r="B82" s="4634"/>
      <c r="C82" s="2235" t="s">
        <v>2558</v>
      </c>
      <c r="D82" s="2235" t="s">
        <v>2559</v>
      </c>
      <c r="E82" s="3062">
        <v>0.1</v>
      </c>
      <c r="F82" s="3063">
        <v>15</v>
      </c>
    </row>
    <row r="83" spans="1:6" ht="24">
      <c r="A83" s="2255">
        <v>9</v>
      </c>
      <c r="B83" s="4634"/>
      <c r="C83" s="2235" t="s">
        <v>2560</v>
      </c>
      <c r="D83" s="2235" t="s">
        <v>2561</v>
      </c>
      <c r="E83" s="3062">
        <v>0.1</v>
      </c>
      <c r="F83" s="3063">
        <v>15</v>
      </c>
    </row>
    <row r="84" spans="1:6" ht="24">
      <c r="A84" s="2255">
        <v>10</v>
      </c>
      <c r="B84" s="4634"/>
      <c r="C84" s="2235" t="s">
        <v>2562</v>
      </c>
      <c r="D84" s="2235" t="s">
        <v>2563</v>
      </c>
      <c r="E84" s="3062">
        <v>0.1</v>
      </c>
      <c r="F84" s="3063">
        <v>15</v>
      </c>
    </row>
    <row r="85" spans="1:6" ht="24">
      <c r="A85" s="2255">
        <v>11</v>
      </c>
      <c r="B85" s="4634"/>
      <c r="C85" s="2235" t="s">
        <v>2564</v>
      </c>
      <c r="D85" s="2235" t="s">
        <v>2565</v>
      </c>
      <c r="E85" s="3062">
        <v>0.1</v>
      </c>
      <c r="F85" s="3063">
        <v>15</v>
      </c>
    </row>
    <row r="86" spans="1:6" ht="24">
      <c r="A86" s="2255">
        <v>12</v>
      </c>
      <c r="B86" s="4634"/>
      <c r="C86" s="2235" t="s">
        <v>2566</v>
      </c>
      <c r="D86" s="2235" t="s">
        <v>2567</v>
      </c>
      <c r="E86" s="3062">
        <v>0.1</v>
      </c>
      <c r="F86" s="3063">
        <v>15</v>
      </c>
    </row>
    <row r="87" spans="1:6" ht="24">
      <c r="A87" s="2255">
        <v>13</v>
      </c>
      <c r="B87" s="4634"/>
      <c r="C87" s="2235" t="s">
        <v>2568</v>
      </c>
      <c r="D87" s="2235" t="s">
        <v>2569</v>
      </c>
      <c r="E87" s="3062">
        <v>0.1</v>
      </c>
      <c r="F87" s="3063">
        <v>15</v>
      </c>
    </row>
    <row r="88" spans="1:6" ht="24">
      <c r="A88" s="2255">
        <v>14</v>
      </c>
      <c r="B88" s="4634"/>
      <c r="C88" s="2235" t="s">
        <v>2570</v>
      </c>
      <c r="D88" s="2235" t="s">
        <v>2571</v>
      </c>
      <c r="E88" s="3062">
        <v>0.1</v>
      </c>
      <c r="F88" s="3063">
        <v>15</v>
      </c>
    </row>
    <row r="89" spans="1:6" ht="24">
      <c r="A89" s="2255">
        <v>15</v>
      </c>
      <c r="B89" s="4634"/>
      <c r="C89" s="2235" t="s">
        <v>2572</v>
      </c>
      <c r="D89" s="2235" t="s">
        <v>2573</v>
      </c>
      <c r="E89" s="3062">
        <v>0.1</v>
      </c>
      <c r="F89" s="3063">
        <v>15</v>
      </c>
    </row>
    <row r="90" spans="1:6" ht="24">
      <c r="A90" s="2255">
        <v>16</v>
      </c>
      <c r="B90" s="4634"/>
      <c r="C90" s="2235" t="s">
        <v>2574</v>
      </c>
      <c r="D90" s="2235" t="s">
        <v>2575</v>
      </c>
      <c r="E90" s="3062">
        <v>0.1</v>
      </c>
      <c r="F90" s="3063">
        <v>15</v>
      </c>
    </row>
    <row r="91" spans="1:6" ht="24">
      <c r="A91" s="2255">
        <v>17</v>
      </c>
      <c r="B91" s="4640"/>
      <c r="C91" s="2235" t="s">
        <v>2576</v>
      </c>
      <c r="D91" s="2235" t="s">
        <v>2577</v>
      </c>
      <c r="E91" s="3062">
        <v>0.1</v>
      </c>
      <c r="F91" s="3063">
        <v>15</v>
      </c>
    </row>
    <row r="92" spans="1:6" ht="14.4">
      <c r="A92" s="2255">
        <v>18</v>
      </c>
      <c r="B92" s="4635" t="s">
        <v>2578</v>
      </c>
      <c r="C92" s="2235" t="s">
        <v>2579</v>
      </c>
      <c r="D92" s="2235" t="s">
        <v>2580</v>
      </c>
      <c r="E92" s="3062">
        <v>0.2</v>
      </c>
      <c r="F92" s="3063">
        <v>25</v>
      </c>
    </row>
    <row r="93" spans="1:6" ht="24">
      <c r="A93" s="2255">
        <v>19</v>
      </c>
      <c r="B93" s="4634"/>
      <c r="C93" s="2235" t="s">
        <v>2581</v>
      </c>
      <c r="D93" s="2235" t="s">
        <v>2582</v>
      </c>
      <c r="E93" s="3062">
        <v>0.2</v>
      </c>
      <c r="F93" s="3063">
        <v>25</v>
      </c>
    </row>
    <row r="94" spans="1:6" ht="14.4">
      <c r="A94" s="2255">
        <v>20</v>
      </c>
      <c r="B94" s="4634"/>
      <c r="C94" s="2235" t="s">
        <v>2583</v>
      </c>
      <c r="D94" s="2235" t="s">
        <v>2584</v>
      </c>
      <c r="E94" s="3062">
        <v>0.15</v>
      </c>
      <c r="F94" s="3063">
        <v>20</v>
      </c>
    </row>
    <row r="95" spans="1:6" ht="24">
      <c r="A95" s="2255">
        <v>21</v>
      </c>
      <c r="B95" s="4634"/>
      <c r="C95" s="2235" t="s">
        <v>2585</v>
      </c>
      <c r="D95" s="2235" t="s">
        <v>2586</v>
      </c>
      <c r="E95" s="3062">
        <v>0.15</v>
      </c>
      <c r="F95" s="3063">
        <v>20</v>
      </c>
    </row>
    <row r="96" spans="1:6" ht="24">
      <c r="A96" s="2255">
        <v>22</v>
      </c>
      <c r="B96" s="4634"/>
      <c r="C96" s="2235" t="s">
        <v>2587</v>
      </c>
      <c r="D96" s="2235" t="s">
        <v>2588</v>
      </c>
      <c r="E96" s="3062">
        <v>0.15</v>
      </c>
      <c r="F96" s="3063">
        <v>20</v>
      </c>
    </row>
    <row r="97" spans="1:6" ht="36">
      <c r="A97" s="2255">
        <v>23</v>
      </c>
      <c r="B97" s="4634"/>
      <c r="C97" s="2235" t="s">
        <v>2589</v>
      </c>
      <c r="D97" s="2235" t="s">
        <v>2590</v>
      </c>
      <c r="E97" s="3062">
        <v>0.15</v>
      </c>
      <c r="F97" s="3063">
        <v>20</v>
      </c>
    </row>
    <row r="98" spans="1:6" ht="24">
      <c r="A98" s="2255">
        <v>24</v>
      </c>
      <c r="B98" s="4634"/>
      <c r="C98" s="2235" t="s">
        <v>2591</v>
      </c>
      <c r="D98" s="2235" t="s">
        <v>2592</v>
      </c>
      <c r="E98" s="3062">
        <v>0.1</v>
      </c>
      <c r="F98" s="3063">
        <v>15</v>
      </c>
    </row>
    <row r="99" spans="1:6" ht="24">
      <c r="A99" s="2255">
        <v>25</v>
      </c>
      <c r="B99" s="4634"/>
      <c r="C99" s="2235" t="s">
        <v>2593</v>
      </c>
      <c r="D99" s="2235" t="s">
        <v>2594</v>
      </c>
      <c r="E99" s="3062">
        <v>0.1</v>
      </c>
      <c r="F99" s="3063">
        <v>15</v>
      </c>
    </row>
    <row r="100" spans="1:6" ht="24">
      <c r="A100" s="2255">
        <v>26</v>
      </c>
      <c r="B100" s="4634"/>
      <c r="C100" s="2235" t="s">
        <v>2595</v>
      </c>
      <c r="D100" s="2235" t="s">
        <v>2596</v>
      </c>
      <c r="E100" s="3062">
        <v>0.1</v>
      </c>
      <c r="F100" s="3063">
        <v>15</v>
      </c>
    </row>
    <row r="101" spans="1:6" ht="24">
      <c r="A101" s="2255">
        <v>27</v>
      </c>
      <c r="B101" s="4634"/>
      <c r="C101" s="2235" t="s">
        <v>2597</v>
      </c>
      <c r="D101" s="2235" t="s">
        <v>2598</v>
      </c>
      <c r="E101" s="3062">
        <v>0.1</v>
      </c>
      <c r="F101" s="3063">
        <v>15</v>
      </c>
    </row>
    <row r="102" spans="1:6" ht="24">
      <c r="A102" s="2255">
        <v>28</v>
      </c>
      <c r="B102" s="4634"/>
      <c r="C102" s="2235" t="s">
        <v>2599</v>
      </c>
      <c r="D102" s="2235" t="s">
        <v>2600</v>
      </c>
      <c r="E102" s="3062">
        <v>0.1</v>
      </c>
      <c r="F102" s="3063">
        <v>15</v>
      </c>
    </row>
    <row r="103" spans="1:6" ht="24">
      <c r="A103" s="2255">
        <v>29</v>
      </c>
      <c r="B103" s="4634"/>
      <c r="C103" s="2235" t="s">
        <v>2601</v>
      </c>
      <c r="D103" s="2235" t="s">
        <v>2602</v>
      </c>
      <c r="E103" s="3062">
        <v>0.1</v>
      </c>
      <c r="F103" s="3063">
        <v>15</v>
      </c>
    </row>
    <row r="104" spans="1:6" ht="24">
      <c r="A104" s="2255">
        <v>30</v>
      </c>
      <c r="B104" s="4634"/>
      <c r="C104" s="2235" t="s">
        <v>2603</v>
      </c>
      <c r="D104" s="2235" t="s">
        <v>2604</v>
      </c>
      <c r="E104" s="3062">
        <v>0.1</v>
      </c>
      <c r="F104" s="3063">
        <v>15</v>
      </c>
    </row>
    <row r="105" spans="1:6" ht="24">
      <c r="A105" s="2255">
        <v>31</v>
      </c>
      <c r="B105" s="4634"/>
      <c r="C105" s="2235" t="s">
        <v>2605</v>
      </c>
      <c r="D105" s="2235" t="s">
        <v>2606</v>
      </c>
      <c r="E105" s="3062">
        <v>0.1</v>
      </c>
      <c r="F105" s="3063">
        <v>15</v>
      </c>
    </row>
    <row r="106" spans="1:6" ht="24">
      <c r="A106" s="2255">
        <v>32</v>
      </c>
      <c r="B106" s="4634"/>
      <c r="C106" s="2235" t="s">
        <v>2607</v>
      </c>
      <c r="D106" s="2235" t="s">
        <v>2608</v>
      </c>
      <c r="E106" s="3062">
        <v>0.1</v>
      </c>
      <c r="F106" s="3063">
        <v>15</v>
      </c>
    </row>
    <row r="107" spans="1:6" ht="24">
      <c r="A107" s="2255">
        <v>33</v>
      </c>
      <c r="B107" s="4634"/>
      <c r="C107" s="2235" t="s">
        <v>2609</v>
      </c>
      <c r="D107" s="2235" t="s">
        <v>2610</v>
      </c>
      <c r="E107" s="3062">
        <v>0.1</v>
      </c>
      <c r="F107" s="3063">
        <v>15</v>
      </c>
    </row>
    <row r="108" spans="1:6" ht="24">
      <c r="A108" s="2255">
        <v>34</v>
      </c>
      <c r="B108" s="4640"/>
      <c r="C108" s="2235" t="s">
        <v>2611</v>
      </c>
      <c r="D108" s="2235" t="s">
        <v>2612</v>
      </c>
      <c r="E108" s="3062">
        <v>0.1</v>
      </c>
      <c r="F108" s="3063">
        <v>15</v>
      </c>
    </row>
    <row r="109" spans="1:6" ht="36">
      <c r="A109" s="2255">
        <v>35</v>
      </c>
      <c r="B109" s="4635" t="s">
        <v>2613</v>
      </c>
      <c r="C109" s="2255" t="s">
        <v>2614</v>
      </c>
      <c r="D109" s="2235" t="s">
        <v>2615</v>
      </c>
      <c r="E109" s="3062">
        <v>0.15</v>
      </c>
      <c r="F109" s="3063">
        <v>20</v>
      </c>
    </row>
    <row r="110" spans="1:6" ht="24">
      <c r="A110" s="2255">
        <v>36</v>
      </c>
      <c r="B110" s="4634"/>
      <c r="C110" s="2255" t="s">
        <v>2616</v>
      </c>
      <c r="D110" s="2235" t="s">
        <v>2617</v>
      </c>
      <c r="E110" s="3062">
        <v>0.15</v>
      </c>
      <c r="F110" s="3063">
        <v>20</v>
      </c>
    </row>
    <row r="111" spans="1:6" ht="24">
      <c r="A111" s="2255">
        <v>37</v>
      </c>
      <c r="B111" s="4634"/>
      <c r="C111" s="2255" t="s">
        <v>2618</v>
      </c>
      <c r="D111" s="2235" t="s">
        <v>2619</v>
      </c>
      <c r="E111" s="3062">
        <v>0.15</v>
      </c>
      <c r="F111" s="3063">
        <v>20</v>
      </c>
    </row>
    <row r="112" spans="1:6" ht="24">
      <c r="A112" s="2255">
        <v>38</v>
      </c>
      <c r="B112" s="4634"/>
      <c r="C112" s="2255" t="s">
        <v>2620</v>
      </c>
      <c r="D112" s="2235" t="s">
        <v>2621</v>
      </c>
      <c r="E112" s="3062">
        <v>0.1</v>
      </c>
      <c r="F112" s="3063">
        <v>15</v>
      </c>
    </row>
    <row r="113" spans="1:6" ht="24">
      <c r="A113" s="2255">
        <v>39</v>
      </c>
      <c r="B113" s="4634"/>
      <c r="C113" s="2255" t="s">
        <v>2622</v>
      </c>
      <c r="D113" s="2235" t="s">
        <v>2623</v>
      </c>
      <c r="E113" s="3062">
        <v>0.1</v>
      </c>
      <c r="F113" s="3063">
        <v>15</v>
      </c>
    </row>
    <row r="114" spans="1:6" ht="24">
      <c r="A114" s="2255">
        <v>40</v>
      </c>
      <c r="B114" s="4640"/>
      <c r="C114" s="2255" t="s">
        <v>2624</v>
      </c>
      <c r="D114" s="2235" t="s">
        <v>2625</v>
      </c>
      <c r="E114" s="3062">
        <v>0.1</v>
      </c>
      <c r="F114" s="3063">
        <v>15</v>
      </c>
    </row>
    <row r="115" spans="1:6" ht="24">
      <c r="A115" s="2255">
        <v>41</v>
      </c>
      <c r="B115" s="4628" t="s">
        <v>2626</v>
      </c>
      <c r="C115" s="2255" t="s">
        <v>2627</v>
      </c>
      <c r="D115" s="2235" t="s">
        <v>2628</v>
      </c>
      <c r="E115" s="3062">
        <v>0.1</v>
      </c>
      <c r="F115" s="3063">
        <v>15</v>
      </c>
    </row>
    <row r="116" spans="1:6" ht="24">
      <c r="A116" s="2255">
        <v>42</v>
      </c>
      <c r="B116" s="4628"/>
      <c r="C116" s="2255" t="s">
        <v>2629</v>
      </c>
      <c r="D116" s="2235" t="s">
        <v>2630</v>
      </c>
      <c r="E116" s="3062">
        <v>0.1</v>
      </c>
      <c r="F116" s="3063">
        <v>15</v>
      </c>
    </row>
    <row r="117" spans="1:6" ht="24">
      <c r="A117" s="2255">
        <v>43</v>
      </c>
      <c r="B117" s="4628"/>
      <c r="C117" s="2255" t="s">
        <v>2631</v>
      </c>
      <c r="D117" s="2235" t="s">
        <v>2632</v>
      </c>
      <c r="E117" s="3062">
        <v>0.1</v>
      </c>
      <c r="F117" s="3063">
        <v>15</v>
      </c>
    </row>
    <row r="118" spans="1:6" ht="24">
      <c r="A118" s="2255">
        <v>44</v>
      </c>
      <c r="B118" s="4635" t="s">
        <v>2633</v>
      </c>
      <c r="C118" s="2255" t="s">
        <v>2634</v>
      </c>
      <c r="D118" s="2235" t="s">
        <v>2635</v>
      </c>
      <c r="E118" s="3062">
        <v>0.1</v>
      </c>
      <c r="F118" s="3063">
        <v>15</v>
      </c>
    </row>
    <row r="119" spans="1:6" ht="24">
      <c r="A119" s="2255">
        <v>45</v>
      </c>
      <c r="B119" s="4640"/>
      <c r="C119" s="2235" t="s">
        <v>2636</v>
      </c>
      <c r="D119" s="2235" t="s">
        <v>2637</v>
      </c>
      <c r="E119" s="3062">
        <v>0.1</v>
      </c>
      <c r="F119" s="3063">
        <v>15</v>
      </c>
    </row>
    <row r="120" spans="1:6" ht="24">
      <c r="A120" s="2255">
        <v>46</v>
      </c>
      <c r="B120" s="4635" t="s">
        <v>2638</v>
      </c>
      <c r="C120" s="2255" t="s">
        <v>2639</v>
      </c>
      <c r="D120" s="2235" t="s">
        <v>2640</v>
      </c>
      <c r="E120" s="3062">
        <v>0.1</v>
      </c>
      <c r="F120" s="3063">
        <v>15</v>
      </c>
    </row>
    <row r="121" spans="1:6" ht="24">
      <c r="A121" s="2255">
        <v>47</v>
      </c>
      <c r="B121" s="4640"/>
      <c r="C121" s="2255" t="s">
        <v>2641</v>
      </c>
      <c r="D121" s="2235" t="s">
        <v>2642</v>
      </c>
      <c r="E121" s="3062">
        <v>0.1</v>
      </c>
      <c r="F121" s="3063">
        <v>15</v>
      </c>
    </row>
    <row r="122" spans="1:6" ht="24">
      <c r="A122" s="2255">
        <v>48</v>
      </c>
      <c r="B122" s="4635" t="s">
        <v>2643</v>
      </c>
      <c r="C122" s="2255" t="s">
        <v>2644</v>
      </c>
      <c r="D122" s="2235" t="s">
        <v>2645</v>
      </c>
      <c r="E122" s="3062">
        <v>0.1</v>
      </c>
      <c r="F122" s="3063">
        <v>15</v>
      </c>
    </row>
    <row r="123" spans="1:6" ht="24">
      <c r="A123" s="2255">
        <v>49</v>
      </c>
      <c r="B123" s="4640"/>
      <c r="C123" s="2255" t="s">
        <v>2646</v>
      </c>
      <c r="D123" s="2235" t="s">
        <v>2647</v>
      </c>
      <c r="E123" s="3062">
        <v>0.1</v>
      </c>
      <c r="F123" s="3063">
        <v>15</v>
      </c>
    </row>
    <row r="124" spans="1:6" ht="24">
      <c r="A124" s="2255">
        <v>50</v>
      </c>
      <c r="B124" s="4628" t="s">
        <v>2648</v>
      </c>
      <c r="C124" s="2255" t="s">
        <v>2649</v>
      </c>
      <c r="D124" s="2235" t="s">
        <v>2650</v>
      </c>
      <c r="E124" s="3062">
        <v>0.1</v>
      </c>
      <c r="F124" s="3063">
        <v>15</v>
      </c>
    </row>
    <row r="125" spans="1:6" ht="24">
      <c r="A125" s="2255">
        <v>51</v>
      </c>
      <c r="B125" s="4628"/>
      <c r="C125" s="2255" t="s">
        <v>2651</v>
      </c>
      <c r="D125" s="2235" t="s">
        <v>2652</v>
      </c>
      <c r="E125" s="3062">
        <v>0.1</v>
      </c>
      <c r="F125" s="3063">
        <v>15</v>
      </c>
    </row>
    <row r="126" spans="1:6" ht="24">
      <c r="A126" s="2255">
        <v>52</v>
      </c>
      <c r="B126" s="4628" t="s">
        <v>2653</v>
      </c>
      <c r="C126" s="2255" t="s">
        <v>2654</v>
      </c>
      <c r="D126" s="2235" t="s">
        <v>2655</v>
      </c>
      <c r="E126" s="3062">
        <v>0.1</v>
      </c>
      <c r="F126" s="3063">
        <v>15</v>
      </c>
    </row>
    <row r="127" spans="1:6" ht="24">
      <c r="A127" s="2255">
        <v>53</v>
      </c>
      <c r="B127" s="4628"/>
      <c r="C127" s="2255" t="s">
        <v>2656</v>
      </c>
      <c r="D127" s="2235" t="s">
        <v>2657</v>
      </c>
      <c r="E127" s="3062">
        <v>0.1</v>
      </c>
      <c r="F127" s="3063">
        <v>15</v>
      </c>
    </row>
    <row r="128" spans="1:6" ht="24">
      <c r="A128" s="2255">
        <v>54</v>
      </c>
      <c r="B128" s="2255" t="s">
        <v>2658</v>
      </c>
      <c r="C128" s="2255" t="s">
        <v>2659</v>
      </c>
      <c r="D128" s="2235" t="s">
        <v>2660</v>
      </c>
      <c r="E128" s="3062">
        <v>0.1</v>
      </c>
      <c r="F128" s="3063">
        <v>15</v>
      </c>
    </row>
    <row r="129" spans="1:6" ht="24">
      <c r="A129" s="2255">
        <v>55</v>
      </c>
      <c r="B129" s="4628" t="s">
        <v>2661</v>
      </c>
      <c r="C129" s="2255" t="s">
        <v>2662</v>
      </c>
      <c r="D129" s="2235" t="s">
        <v>2663</v>
      </c>
      <c r="E129" s="3062">
        <v>0.1</v>
      </c>
      <c r="F129" s="3063">
        <v>15</v>
      </c>
    </row>
    <row r="130" spans="1:6" ht="24">
      <c r="A130" s="2255">
        <v>56</v>
      </c>
      <c r="B130" s="4628"/>
      <c r="C130" s="2255" t="s">
        <v>2664</v>
      </c>
      <c r="D130" s="2235" t="s">
        <v>2665</v>
      </c>
      <c r="E130" s="3062">
        <v>0.1</v>
      </c>
      <c r="F130" s="3063">
        <v>15</v>
      </c>
    </row>
    <row r="131" spans="1:6" ht="24">
      <c r="A131" s="2255">
        <v>57</v>
      </c>
      <c r="B131" s="4628"/>
      <c r="C131" s="2255" t="s">
        <v>2666</v>
      </c>
      <c r="D131" s="2235" t="s">
        <v>2667</v>
      </c>
      <c r="E131" s="3062">
        <v>0.1</v>
      </c>
      <c r="F131" s="3063">
        <v>15</v>
      </c>
    </row>
    <row r="132" spans="1:6" ht="24">
      <c r="A132" s="2255">
        <v>58</v>
      </c>
      <c r="B132" s="4628" t="s">
        <v>2668</v>
      </c>
      <c r="C132" s="2255" t="s">
        <v>2669</v>
      </c>
      <c r="D132" s="2235" t="s">
        <v>2670</v>
      </c>
      <c r="E132" s="3062">
        <v>0.1</v>
      </c>
      <c r="F132" s="3063">
        <v>15</v>
      </c>
    </row>
    <row r="133" spans="1:6" ht="24">
      <c r="A133" s="2255">
        <v>59</v>
      </c>
      <c r="B133" s="4628"/>
      <c r="C133" s="2255" t="s">
        <v>2671</v>
      </c>
      <c r="D133" s="2235" t="s">
        <v>2672</v>
      </c>
      <c r="E133" s="3062">
        <v>0.1</v>
      </c>
      <c r="F133" s="3063">
        <v>15</v>
      </c>
    </row>
    <row r="134" spans="1:6" ht="24">
      <c r="A134" s="2255">
        <v>60</v>
      </c>
      <c r="B134" s="4635" t="s">
        <v>2673</v>
      </c>
      <c r="C134" s="2255" t="s">
        <v>2674</v>
      </c>
      <c r="D134" s="2235" t="s">
        <v>2675</v>
      </c>
      <c r="E134" s="3062">
        <v>0.1</v>
      </c>
      <c r="F134" s="3063">
        <v>15</v>
      </c>
    </row>
    <row r="135" spans="1:6" ht="24">
      <c r="A135" s="2255">
        <v>61</v>
      </c>
      <c r="B135" s="4640"/>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24">
      <c r="A137" s="2255">
        <v>63</v>
      </c>
      <c r="B137" s="4628" t="s">
        <v>2681</v>
      </c>
      <c r="C137" s="2255" t="s">
        <v>2682</v>
      </c>
      <c r="D137" s="2235" t="s">
        <v>2683</v>
      </c>
      <c r="E137" s="3062">
        <v>0.1</v>
      </c>
      <c r="F137" s="3063">
        <v>15</v>
      </c>
    </row>
    <row r="138" spans="1:6" ht="24">
      <c r="A138" s="2255">
        <v>64</v>
      </c>
      <c r="B138" s="4628"/>
      <c r="C138" s="2255" t="s">
        <v>2684</v>
      </c>
      <c r="D138" s="2235" t="s">
        <v>2685</v>
      </c>
      <c r="E138" s="3062">
        <v>0.1</v>
      </c>
      <c r="F138" s="3063">
        <v>15</v>
      </c>
    </row>
    <row r="139" spans="1:6" ht="24">
      <c r="A139" s="2255">
        <v>65</v>
      </c>
      <c r="B139" s="2255" t="s">
        <v>2686</v>
      </c>
      <c r="C139" s="2255" t="s">
        <v>2687</v>
      </c>
      <c r="D139" s="2235" t="s">
        <v>2688</v>
      </c>
      <c r="E139" s="3062">
        <v>0.1</v>
      </c>
      <c r="F139" s="3063">
        <v>15</v>
      </c>
    </row>
    <row r="140" spans="1:6" ht="14.4">
      <c r="A140" s="2255"/>
      <c r="B140" s="2255"/>
      <c r="C140" s="2255"/>
      <c r="D140" s="2255"/>
      <c r="E140" s="2255" t="s">
        <v>2689</v>
      </c>
      <c r="F140" s="2255"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7"/>
  </cols>
  <sheetData>
    <row r="1" spans="1:20" ht="16.2"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6.2"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6">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6">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6.2"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6.2"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6.2"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26167</v>
      </c>
      <c r="C2" s="2" t="s">
        <v>104</v>
      </c>
      <c r="D2" s="94"/>
      <c r="E2" s="94"/>
      <c r="F2" s="94"/>
      <c r="G2" s="94"/>
    </row>
    <row r="3" spans="1:7" s="95" customFormat="1" ht="18" customHeight="1" thickBot="1">
      <c r="A3" s="98" t="s">
        <v>56</v>
      </c>
      <c r="B3" s="99">
        <f ca="1">ROUND(B2*10000/'数据-汇总表'!E3,0)</f>
        <v>2366127</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2</v>
      </c>
      <c r="D10" s="538">
        <f>'数据-汇总表'!E6</f>
        <v>110.59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110.59</v>
      </c>
      <c r="E19" s="106">
        <f>'数据-取费表'!B31</f>
        <v>130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52</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45</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110.59</v>
      </c>
      <c r="E37" s="144">
        <f>'数据-取费表'!B35</f>
        <v>350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44" t="s">
        <v>92</v>
      </c>
    </row>
    <row r="43" spans="1:7" ht="13.5" customHeight="1">
      <c r="A43" s="513" t="s">
        <v>345</v>
      </c>
      <c r="B43" s="110" t="s">
        <v>420</v>
      </c>
      <c r="C43" s="133">
        <f ca="1">ROUND(IF('数据-取费表'!B22&lt;=1,C39*F22*'数据-取费表'!B21/2,C39*(POWER((1+F22),'数据-取费表'!B21/2)-1)),0)</f>
        <v>0</v>
      </c>
      <c r="D43" s="133"/>
      <c r="E43" s="133"/>
      <c r="F43" s="134"/>
      <c r="G43" s="4446"/>
    </row>
    <row r="44" spans="1:7" ht="13.5" customHeight="1">
      <c r="A44" s="513" t="s">
        <v>346</v>
      </c>
      <c r="B44" s="110" t="s">
        <v>422</v>
      </c>
      <c r="C44" s="133">
        <f ca="1">ROUND(IF('数据-取费表'!B22&lt;=1,C40*F22*'数据-取费表'!B21/2,C40*(POWER((1+F22),'数据-取费表'!B21/2)-1)),4)</f>
        <v>5.9999999999999995E-4</v>
      </c>
      <c r="D44" s="133"/>
      <c r="E44" s="133"/>
      <c r="F44" s="134"/>
      <c r="G44" s="4445"/>
    </row>
    <row r="45" spans="1:7" s="109" customFormat="1" ht="13.5" customHeight="1">
      <c r="A45" s="510" t="s">
        <v>339</v>
      </c>
      <c r="B45" s="139" t="s">
        <v>83</v>
      </c>
      <c r="C45" s="140">
        <f>C46</f>
        <v>8</v>
      </c>
      <c r="D45" s="130">
        <f>C47</f>
        <v>3.0000000000000001E-3</v>
      </c>
      <c r="E45" s="131" t="s">
        <v>100</v>
      </c>
      <c r="F45" s="141"/>
      <c r="G45" s="142" t="s">
        <v>428</v>
      </c>
    </row>
    <row r="46" spans="1:7" s="109" customFormat="1" ht="13.5" customHeight="1">
      <c r="A46" s="513" t="s">
        <v>347</v>
      </c>
      <c r="B46" s="143" t="s">
        <v>421</v>
      </c>
      <c r="C46" s="144">
        <f>ROUND((C33+C39)*F27,0)</f>
        <v>8</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65</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52</v>
      </c>
      <c r="D51" s="127"/>
      <c r="E51" s="127"/>
      <c r="F51" s="159"/>
      <c r="G51" s="129" t="s">
        <v>35</v>
      </c>
    </row>
    <row r="52" spans="1:7" s="103" customFormat="1" ht="16.8" thickBot="1">
      <c r="A52" s="160" t="s">
        <v>36</v>
      </c>
      <c r="B52" s="161"/>
      <c r="C52" s="162">
        <f ca="1">C31+C51</f>
        <v>26167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2" customWidth="1"/>
    <col min="2" max="2" width="20" style="2352" customWidth="1"/>
    <col min="3" max="7" width="8.88671875" style="2352"/>
    <col min="8" max="16384" width="8.88671875" style="2228"/>
  </cols>
  <sheetData>
    <row r="1" spans="1:7">
      <c r="A1" s="4641" t="s">
        <v>3073</v>
      </c>
      <c r="B1" s="4641"/>
    </row>
    <row r="2" spans="1:7" ht="15" thickBot="1">
      <c r="A2" s="2353"/>
      <c r="B2" s="2353"/>
    </row>
    <row r="3" spans="1:7" ht="15" thickBot="1">
      <c r="A3" s="2353"/>
      <c r="B3" s="2353"/>
      <c r="C3" s="2354" t="s">
        <v>2703</v>
      </c>
      <c r="D3" s="2354" t="s">
        <v>2759</v>
      </c>
      <c r="E3" s="2354" t="s">
        <v>2705</v>
      </c>
      <c r="F3" s="2354" t="s">
        <v>2760</v>
      </c>
      <c r="G3" s="2354" t="s">
        <v>2523</v>
      </c>
    </row>
    <row r="4" spans="1:7" ht="1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8"/>
  </cols>
  <sheetData>
    <row r="1" spans="1:6">
      <c r="A1" s="4642" t="s">
        <v>3124</v>
      </c>
      <c r="B1" s="4642"/>
      <c r="C1" s="4642"/>
      <c r="D1" s="4642"/>
      <c r="E1" s="4642"/>
      <c r="F1" s="4643"/>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C62" sqref="C62:G62"/>
    </sheetView>
  </sheetViews>
  <sheetFormatPr defaultRowHeight="14.4"/>
  <cols>
    <col min="1" max="1" width="13.88671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4" t="s">
        <v>450</v>
      </c>
      <c r="S1" s="4645"/>
      <c r="T1" s="4645"/>
      <c r="U1" s="4645"/>
      <c r="V1" s="4645"/>
      <c r="W1" s="4645"/>
      <c r="X1" s="2293"/>
      <c r="Y1" s="4644" t="s">
        <v>451</v>
      </c>
      <c r="Z1" s="4645"/>
      <c r="AA1" s="4645"/>
      <c r="AB1" s="4645"/>
      <c r="AC1" s="4645"/>
      <c r="AD1" s="4645"/>
    </row>
    <row r="2" spans="1:44" s="1592" customFormat="1" ht="1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3.2">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2">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3.2">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3.2">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3.2">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3.2">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3.2">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3.2">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3.2">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3.2">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3.2">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3.2">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3.2">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3.2">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3.2">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3.2">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3.2">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3.2">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3.2">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3.2">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3.2">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3.2">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3.2">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3.2">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5" thickTop="1"/>
    <row r="30" spans="1:44">
      <c r="A30" s="2485" t="s">
        <v>3270</v>
      </c>
    </row>
    <row r="31" spans="1:44">
      <c r="I31" s="1050" t="s">
        <v>2717</v>
      </c>
    </row>
    <row r="33" spans="1:44" s="1591" customFormat="1" ht="13.2">
      <c r="B33" s="2318" t="s">
        <v>3268</v>
      </c>
      <c r="C33" s="2319"/>
      <c r="D33" s="2319"/>
      <c r="E33" s="2319"/>
      <c r="F33" s="2319"/>
      <c r="G33" s="2319"/>
      <c r="H33" s="2319"/>
      <c r="I33" s="2319"/>
      <c r="J33" s="2293"/>
      <c r="K33" s="2319" t="s">
        <v>2718</v>
      </c>
      <c r="L33" s="2319"/>
      <c r="M33" s="2319"/>
      <c r="N33" s="2319"/>
      <c r="O33" s="2319"/>
      <c r="P33" s="2319"/>
      <c r="Q33" s="2293"/>
      <c r="R33" s="4644" t="s">
        <v>2719</v>
      </c>
      <c r="S33" s="4645"/>
      <c r="T33" s="4645"/>
      <c r="U33" s="4645"/>
      <c r="V33" s="4645"/>
      <c r="W33" s="4645"/>
      <c r="X33" s="2293"/>
      <c r="Y33" s="4644" t="s">
        <v>2720</v>
      </c>
      <c r="Z33" s="4645"/>
      <c r="AA33" s="4645"/>
      <c r="AB33" s="4645"/>
      <c r="AC33" s="4645"/>
      <c r="AD33" s="4645"/>
    </row>
    <row r="34" spans="1:44" s="1592" customFormat="1" ht="1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3.2">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2">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3.2">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3.2">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3.2">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3.2">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3.2">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3.2">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3.2">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3.2">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3.2">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3.2">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3.2">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3.2">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3.2">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3.2">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3.2">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3.2">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3.2">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3.2">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3.2">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3.2">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3.2">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3.2">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49" t="s">
        <v>446</v>
      </c>
      <c r="C1" s="4649"/>
      <c r="D1" s="4649"/>
      <c r="E1" s="4649"/>
      <c r="F1" s="4649"/>
      <c r="G1" s="4645" t="s">
        <v>447</v>
      </c>
      <c r="H1" s="4645"/>
      <c r="I1" s="4645"/>
      <c r="J1" s="4645"/>
      <c r="K1" s="4645"/>
      <c r="L1" s="4645"/>
      <c r="N1" s="4645" t="s">
        <v>448</v>
      </c>
      <c r="O1" s="4645"/>
      <c r="P1" s="4645"/>
      <c r="Q1" s="4645"/>
      <c r="S1" s="4645" t="s">
        <v>449</v>
      </c>
      <c r="T1" s="4645"/>
      <c r="U1" s="4645"/>
      <c r="V1" s="4645"/>
      <c r="X1" s="4644" t="s">
        <v>450</v>
      </c>
      <c r="Y1" s="4645"/>
      <c r="Z1" s="4645"/>
      <c r="AA1" s="4645"/>
      <c r="AB1" s="4645"/>
      <c r="AD1" s="4644" t="s">
        <v>451</v>
      </c>
      <c r="AE1" s="4645"/>
      <c r="AF1" s="4645"/>
      <c r="AG1" s="4645"/>
      <c r="AH1" s="4645"/>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47">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47"/>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47"/>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4"/>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0">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47"/>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47"/>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4"/>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0">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47"/>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47"/>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48"/>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46">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47"/>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47"/>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48"/>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46">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47"/>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47"/>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48"/>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51">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2"/>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2"/>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3"/>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46">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47"/>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47"/>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48"/>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46">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47">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47">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48">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46">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47">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47">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48">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46">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47">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47">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48">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46">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47">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47">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48">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46">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47">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47">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48">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46">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47">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47">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48">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46">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47">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47">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48">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46">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47">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47">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48">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46">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47">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47">
        <v>2003</v>
      </c>
      <c r="H83" s="2969">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48">
        <v>2003</v>
      </c>
      <c r="H84" s="2977">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46">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47">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47">
        <v>2002</v>
      </c>
      <c r="H87" s="2969">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48">
        <v>2002</v>
      </c>
      <c r="H88" s="2978">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2" customWidth="1"/>
    <col min="2" max="2" width="18.6640625" style="2202" customWidth="1"/>
    <col min="3" max="6" width="10.21875" style="2202" customWidth="1"/>
    <col min="7" max="7" width="10.44140625" style="2202" bestFit="1" customWidth="1"/>
    <col min="8" max="8" width="8.88671875" style="2201"/>
    <col min="9" max="9" width="13.33203125" style="2201" customWidth="1"/>
    <col min="10" max="13" width="13.33203125" style="2202" customWidth="1"/>
    <col min="14" max="14" width="18.21875" style="2202" customWidth="1"/>
    <col min="15" max="17" width="15.109375" style="2202" customWidth="1"/>
    <col min="18" max="20" width="11.44140625" style="2202" customWidth="1"/>
    <col min="21" max="16384" width="8.88671875" style="2202"/>
  </cols>
  <sheetData>
    <row r="1" spans="1:20" ht="11.4" thickBot="1">
      <c r="A1" s="4657" t="s">
        <v>2731</v>
      </c>
      <c r="B1" s="4657"/>
      <c r="C1" s="4657"/>
      <c r="D1" s="4657"/>
      <c r="E1" s="4657"/>
      <c r="F1" s="4657"/>
      <c r="G1" s="4658"/>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1.4"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5"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1.4" thickBot="1">
      <c r="A4" s="4656"/>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1.4"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1.4"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1.4"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1.4"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1.4"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1.4"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C62" sqref="C62:G62"/>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46051</v>
      </c>
      <c r="D1" s="875" t="s">
        <v>597</v>
      </c>
      <c r="E1" s="3002">
        <f>'数据-取费表'!B22</f>
        <v>2</v>
      </c>
      <c r="F1" s="875" t="s">
        <v>598</v>
      </c>
      <c r="G1" s="871">
        <f ca="1">IF(OR(C1&lt;C27,E1&lt;=1),INDIRECT("d"&amp;$K$1)/100,ROUND((D5+(E1-C5)*(D7-D5)/(C7-C5))/100,4))</f>
        <v>3.1300000000000001E-2</v>
      </c>
      <c r="H1" s="875" t="s">
        <v>628</v>
      </c>
      <c r="I1" s="871">
        <f ca="1">F4/100</f>
        <v>1.4999999999999999E-2</v>
      </c>
      <c r="J1" s="876">
        <f>IF(C1&gt;C13,0,MATCH(C1,C$13:C$115,-1))+IF(SUMIF(C13:C115,C1,D13:D115)=0,13,12)</f>
        <v>13</v>
      </c>
      <c r="K1" s="876">
        <f>MATCH(E1,C3:C7,1)+IF(SUMIF(C3:C7,E1,D3:D7)=0,2,1)</f>
        <v>5</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5.6">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5.6">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5.6">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6.8">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5.6">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5.6">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5.6">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5.6">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5.6">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5.6">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43" t="str">
        <f>IF(项目基本情况!B9="房地产市场价值","估价结果一览表","结果表-2")</f>
        <v>结果表-2</v>
      </c>
      <c r="B1" s="4243"/>
      <c r="C1" s="4243"/>
      <c r="D1" s="4243"/>
      <c r="E1" s="4243"/>
      <c r="F1" s="4243"/>
      <c r="G1" s="4243"/>
      <c r="H1" s="4243"/>
      <c r="I1" s="4243"/>
    </row>
    <row r="2" spans="1:9" ht="30" customHeight="1" thickTop="1">
      <c r="A2" s="4244" t="s">
        <v>912</v>
      </c>
      <c r="B2" s="4244" t="s">
        <v>913</v>
      </c>
      <c r="C2" s="4244" t="s">
        <v>914</v>
      </c>
      <c r="D2" s="4244" t="str">
        <f>结果表!D116</f>
        <v>出让国有建设用地使用权价值</v>
      </c>
      <c r="E2" s="4244"/>
      <c r="F2" s="4244">
        <f>结果表!F116</f>
        <v>0</v>
      </c>
      <c r="G2" s="4244"/>
      <c r="H2" s="4244" t="str">
        <f>IF(项目基本情况!B9="房地产市场价值","房地产市场价值","房地产价值")</f>
        <v>房地产价值</v>
      </c>
      <c r="I2" s="4244"/>
    </row>
    <row r="3" spans="1:9" ht="15.6">
      <c r="A3" s="4245"/>
      <c r="B3" s="4245"/>
      <c r="C3" s="4245"/>
      <c r="D3" s="544" t="s">
        <v>909</v>
      </c>
      <c r="E3" s="544" t="s">
        <v>915</v>
      </c>
      <c r="F3" s="544" t="s">
        <v>909</v>
      </c>
      <c r="G3" s="544" t="s">
        <v>910</v>
      </c>
      <c r="H3" s="544" t="s">
        <v>909</v>
      </c>
      <c r="I3" s="544" t="s">
        <v>910</v>
      </c>
    </row>
    <row r="4" spans="1:9" ht="15">
      <c r="A4" s="1048" t="str">
        <f>项目基本情况!S2</f>
        <v>北京市房地产</v>
      </c>
      <c r="B4" s="544">
        <f>项目基本情况!C17</f>
        <v>110.59</v>
      </c>
      <c r="C4" s="544">
        <f>项目基本情况!C18</f>
        <v>0</v>
      </c>
      <c r="D4" s="544">
        <f>结果表!D118</f>
        <v>0</v>
      </c>
      <c r="E4" s="544">
        <f>结果表!E118</f>
        <v>0</v>
      </c>
      <c r="F4" s="544">
        <f>结果表!F118</f>
        <v>0</v>
      </c>
      <c r="G4" s="544">
        <f>结果表!G118</f>
        <v>0</v>
      </c>
      <c r="H4" s="544">
        <f ca="1">结果表!H118</f>
        <v>212.25540000000001</v>
      </c>
      <c r="I4" s="544">
        <f ca="1">结果表!I118</f>
        <v>19193</v>
      </c>
    </row>
    <row r="5" spans="1:9" ht="30" customHeight="1">
      <c r="A5" s="4245" t="s">
        <v>911</v>
      </c>
      <c r="B5" s="4245"/>
      <c r="C5" s="4245"/>
      <c r="D5" s="4245" t="str">
        <f>结果表!D119</f>
        <v>零元整</v>
      </c>
      <c r="E5" s="4245"/>
      <c r="F5" s="4245" t="str">
        <f>结果表!F119</f>
        <v>零元整</v>
      </c>
      <c r="G5" s="4245"/>
      <c r="H5" s="4245" t="str">
        <f ca="1">结果表!H119</f>
        <v>贰佰壹拾贰万贰仟伍佰伍拾肆元整</v>
      </c>
      <c r="I5" s="4245"/>
    </row>
    <row r="6" spans="1:9" ht="15.6">
      <c r="A6" s="4246" t="str">
        <f>结果表!A120</f>
        <v>估价师知悉的法定优先受偿款</v>
      </c>
      <c r="B6" s="4246"/>
      <c r="C6" s="4246"/>
      <c r="D6" s="4246">
        <f>结果表!H120</f>
        <v>0</v>
      </c>
      <c r="E6" s="4246"/>
      <c r="F6" s="4246"/>
      <c r="G6" s="4246"/>
      <c r="H6" s="4246"/>
      <c r="I6" s="4246"/>
    </row>
    <row r="7" spans="1:9" ht="15">
      <c r="A7" s="4245" t="s">
        <v>911</v>
      </c>
      <c r="B7" s="4245"/>
      <c r="C7" s="4245"/>
      <c r="D7" s="4247" t="str">
        <f>结果表!H121</f>
        <v>零元整</v>
      </c>
      <c r="E7" s="4248"/>
      <c r="F7" s="4248"/>
      <c r="G7" s="4248"/>
      <c r="H7" s="4248"/>
      <c r="I7" s="4249"/>
    </row>
    <row r="8" spans="1:9" ht="15.6">
      <c r="A8" s="4246" t="str">
        <f>结果表!A122</f>
        <v>房地产抵押价值</v>
      </c>
      <c r="B8" s="4246"/>
      <c r="C8" s="4246"/>
      <c r="D8" s="4246">
        <f ca="1">结果表!H122</f>
        <v>212.25540000000001</v>
      </c>
      <c r="E8" s="4246"/>
      <c r="F8" s="4246"/>
      <c r="G8" s="4246"/>
      <c r="H8" s="4246"/>
      <c r="I8" s="4246"/>
    </row>
    <row r="9" spans="1:9" ht="15">
      <c r="A9" s="4245" t="s">
        <v>911</v>
      </c>
      <c r="B9" s="4245"/>
      <c r="C9" s="4245"/>
      <c r="D9" s="4245" t="str">
        <f ca="1">结果表!H123</f>
        <v>贰佰壹拾贰万贰仟伍佰伍拾肆元整</v>
      </c>
      <c r="E9" s="4245"/>
      <c r="F9" s="4245"/>
      <c r="G9" s="4245"/>
      <c r="H9" s="4245"/>
      <c r="I9" s="4245"/>
    </row>
    <row r="10" spans="1:9" ht="15.6">
      <c r="A10" s="4246" t="str">
        <f>结果表!A124</f>
        <v/>
      </c>
      <c r="B10" s="4246"/>
      <c r="C10" s="4246"/>
      <c r="D10" s="4246" t="str">
        <f>结果表!H124</f>
        <v>——</v>
      </c>
      <c r="E10" s="4246"/>
      <c r="F10" s="4246"/>
      <c r="G10" s="4246"/>
      <c r="H10" s="4246"/>
      <c r="I10" s="4246"/>
    </row>
    <row r="11" spans="1:9" ht="15">
      <c r="A11" s="4245" t="s">
        <v>911</v>
      </c>
      <c r="B11" s="4245"/>
      <c r="C11" s="4245"/>
      <c r="D11" s="4245" t="e">
        <f>结果表!H125</f>
        <v>#VALUE!</v>
      </c>
      <c r="E11" s="4245"/>
      <c r="F11" s="4245"/>
      <c r="G11" s="4245"/>
      <c r="H11" s="4245"/>
      <c r="I11" s="4245"/>
    </row>
    <row r="12" spans="1:9" ht="15.6">
      <c r="A12" s="4246" t="str">
        <f>结果表!A126</f>
        <v/>
      </c>
      <c r="B12" s="4246"/>
      <c r="C12" s="4246"/>
      <c r="D12" s="4246" t="str">
        <f>结果表!H126</f>
        <v>——</v>
      </c>
      <c r="E12" s="4246"/>
      <c r="F12" s="4246"/>
      <c r="G12" s="4246"/>
      <c r="H12" s="4246"/>
      <c r="I12" s="4246"/>
    </row>
    <row r="13" spans="1:9" ht="15.6" thickBot="1">
      <c r="A13" s="4250" t="s">
        <v>911</v>
      </c>
      <c r="B13" s="4250"/>
      <c r="C13" s="4250"/>
      <c r="D13" s="4250" t="e">
        <f>结果表!H127</f>
        <v>#VALUE!</v>
      </c>
      <c r="E13" s="4250"/>
      <c r="F13" s="4250"/>
      <c r="G13" s="4250"/>
      <c r="H13" s="4250"/>
      <c r="I13" s="4250"/>
    </row>
    <row r="14" spans="1:9" ht="14.4" thickTop="1">
      <c r="A14" s="4251" t="s">
        <v>916</v>
      </c>
      <c r="B14" s="4251"/>
      <c r="C14" s="4251"/>
      <c r="D14" s="4251"/>
      <c r="E14" s="4251"/>
      <c r="F14" s="4251"/>
      <c r="G14" s="4251"/>
      <c r="H14" s="4251"/>
      <c r="I14" s="4251"/>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F15" sqref="F1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52" t="s">
        <v>933</v>
      </c>
      <c r="B1" s="4252"/>
      <c r="C1" s="4252"/>
      <c r="D1" s="4252"/>
    </row>
    <row r="2" spans="1:4" ht="17.399999999999999">
      <c r="A2" s="4253" t="s">
        <v>917</v>
      </c>
      <c r="B2" s="4253"/>
      <c r="C2" s="4253"/>
      <c r="D2" s="4253"/>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53" t="s">
        <v>923</v>
      </c>
      <c r="B6" s="4253"/>
      <c r="C6" s="4253"/>
      <c r="D6" s="4253"/>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54" t="s">
        <v>926</v>
      </c>
      <c r="B11" s="4255"/>
      <c r="C11" s="4255"/>
      <c r="D11" s="4255"/>
    </row>
    <row r="12" spans="1:4" ht="15.6">
      <c r="A12" s="4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6"/>
      <c r="C12" s="4256"/>
      <c r="D12" s="4256"/>
    </row>
    <row r="13" spans="1:4" ht="30" customHeight="1">
      <c r="A13" s="4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6"/>
      <c r="C13" s="4256"/>
      <c r="D13" s="4256"/>
    </row>
    <row r="14" spans="1:4" ht="15.75" customHeight="1">
      <c r="A14" s="4255" t="str">
        <f>IF(项目基本情况!B8="抵押","4.本次评估估价师所知悉的法定优先受偿款情况说明如下：","——")</f>
        <v>4.本次评估估价师所知悉的法定优先受偿款情况说明如下：</v>
      </c>
      <c r="B14" s="4256"/>
      <c r="C14" s="4256"/>
      <c r="D14" s="4256"/>
    </row>
    <row r="15" spans="1:4" ht="42" customHeight="1">
      <c r="A15" s="4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5"/>
      <c r="C15" s="4255"/>
      <c r="D15" s="4255"/>
    </row>
    <row r="16" spans="1:4" ht="30" customHeight="1">
      <c r="A16" s="4258" t="s">
        <v>927</v>
      </c>
      <c r="B16" s="4258"/>
      <c r="C16" s="4258"/>
      <c r="D16" s="4258"/>
    </row>
    <row r="17" spans="1:4" ht="144" customHeight="1">
      <c r="A17" s="4258" t="s">
        <v>928</v>
      </c>
      <c r="B17" s="4258"/>
      <c r="C17" s="4258"/>
      <c r="D17" s="4258"/>
    </row>
    <row r="18" spans="1:4" ht="15.75" customHeight="1">
      <c r="A18" s="4255" t="str">
        <f>IF(项目基本情况!B8="抵押",结果表!K120,"——")</f>
        <v>故，本次评估不存在估价师知悉的法定优先受偿款</v>
      </c>
      <c r="B18" s="4255"/>
      <c r="C18" s="4255"/>
      <c r="D18" s="4255"/>
    </row>
    <row r="19" spans="1:4" ht="46.5" customHeight="1">
      <c r="A19" s="4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5"/>
      <c r="C19" s="4255"/>
      <c r="D19" s="4255"/>
    </row>
    <row r="20" spans="1:4" ht="57.75" customHeight="1">
      <c r="A20" s="4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5"/>
      <c r="C20" s="4255"/>
      <c r="D20" s="4255"/>
    </row>
    <row r="21" spans="1:4" ht="57.75" customHeight="1">
      <c r="A21" s="4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59"/>
      <c r="C21" s="4259"/>
      <c r="D21" s="4259"/>
    </row>
    <row r="22" spans="1:4" ht="18.75" customHeight="1">
      <c r="A22" s="4260" t="s">
        <v>929</v>
      </c>
      <c r="B22" s="4260"/>
      <c r="C22" s="4260"/>
      <c r="D22" s="4260"/>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57">
        <v>42551</v>
      </c>
      <c r="D31" s="425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6" t="s">
        <v>940</v>
      </c>
      <c r="B15" s="4261" t="s">
        <v>107</v>
      </c>
      <c r="C15" s="4262"/>
    </row>
    <row r="16" spans="1:7" ht="14.4">
      <c r="A16" s="4267"/>
      <c r="B16" s="4261" t="s">
        <v>40</v>
      </c>
      <c r="C16" s="4262"/>
    </row>
    <row r="17" spans="1:3" ht="14.4">
      <c r="A17" s="4267"/>
      <c r="B17" s="4264" t="s">
        <v>941</v>
      </c>
      <c r="C17" s="1074" t="s">
        <v>940</v>
      </c>
    </row>
    <row r="18" spans="1:3" ht="14.4">
      <c r="A18" s="4267"/>
      <c r="B18" s="4264"/>
      <c r="C18" s="1074" t="s">
        <v>942</v>
      </c>
    </row>
    <row r="19" spans="1:3" ht="14.4">
      <c r="A19" s="4267"/>
      <c r="B19" s="4264"/>
      <c r="C19" s="1074" t="s">
        <v>943</v>
      </c>
    </row>
    <row r="20" spans="1:3" ht="14.4">
      <c r="A20" s="4268"/>
      <c r="B20" s="4263" t="s">
        <v>944</v>
      </c>
      <c r="C20" s="4262"/>
    </row>
    <row r="21" spans="1:3" ht="14.4">
      <c r="A21" s="1075" t="s">
        <v>945</v>
      </c>
      <c r="B21" s="1076"/>
      <c r="C21" s="1077"/>
    </row>
    <row r="22" spans="1:3" ht="14.4">
      <c r="A22" s="4265" t="s">
        <v>946</v>
      </c>
      <c r="B22" s="4263" t="s">
        <v>947</v>
      </c>
      <c r="C22" s="4262"/>
    </row>
    <row r="23" spans="1:3" ht="14.4">
      <c r="A23" s="4265"/>
      <c r="B23" s="4263" t="s">
        <v>948</v>
      </c>
      <c r="C23" s="4262"/>
    </row>
    <row r="24" spans="1:3" ht="14.4">
      <c r="A24" s="4265"/>
      <c r="B24" s="4263" t="s">
        <v>949</v>
      </c>
      <c r="C24" s="4262"/>
    </row>
    <row r="25" spans="1:3" ht="14.4">
      <c r="A25" s="4265"/>
      <c r="B25" s="4264" t="s">
        <v>950</v>
      </c>
      <c r="C25" s="1074" t="s">
        <v>951</v>
      </c>
    </row>
    <row r="26" spans="1:3" ht="14.4">
      <c r="A26" s="4265"/>
      <c r="B26" s="4264"/>
      <c r="C26" s="1074" t="s">
        <v>952</v>
      </c>
    </row>
    <row r="27" spans="1:3" ht="14.4">
      <c r="A27" s="4265"/>
      <c r="B27" s="4264"/>
      <c r="C27" s="1074" t="s">
        <v>953</v>
      </c>
    </row>
    <row r="28" spans="1:3" ht="14.4">
      <c r="A28" s="4265"/>
      <c r="B28" s="4264"/>
      <c r="C28" s="1074" t="s">
        <v>954</v>
      </c>
    </row>
    <row r="29" spans="1:3" ht="14.4">
      <c r="A29" s="4265"/>
      <c r="B29" s="4264"/>
      <c r="C29" s="1074" t="s">
        <v>955</v>
      </c>
    </row>
    <row r="30" spans="1:3" ht="14.4">
      <c r="A30" s="4265"/>
      <c r="B30" s="4264"/>
      <c r="C30" s="1074" t="s">
        <v>956</v>
      </c>
    </row>
    <row r="31" spans="1:3" ht="14.4">
      <c r="A31" s="4265"/>
      <c r="B31" s="4264"/>
      <c r="C31" s="1074" t="s">
        <v>957</v>
      </c>
    </row>
    <row r="32" spans="1:3" ht="14.4">
      <c r="A32" s="4265"/>
      <c r="B32" s="4264"/>
      <c r="C32" s="1074" t="s">
        <v>958</v>
      </c>
    </row>
    <row r="33" spans="1:3" ht="14.4">
      <c r="A33" s="4265"/>
      <c r="B33" s="4264"/>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2046</v>
      </c>
      <c r="B2" s="1704">
        <f ca="1">TODAY()</f>
        <v>46057</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69" t="s">
        <v>2067</v>
      </c>
      <c r="B17" s="4269"/>
      <c r="C17" s="4269"/>
      <c r="D17" s="4269"/>
      <c r="E17" s="4269"/>
      <c r="F17" s="4269"/>
      <c r="G17" s="4269"/>
      <c r="H17" s="4269"/>
    </row>
    <row r="18" spans="1:8" ht="24" customHeight="1">
      <c r="A18" s="4270" t="s">
        <v>2068</v>
      </c>
      <c r="B18" s="4270"/>
      <c r="C18" s="4270"/>
      <c r="D18" s="1707"/>
      <c r="E18" s="4271" t="s">
        <v>2069</v>
      </c>
      <c r="F18" s="4270"/>
      <c r="G18" s="4270"/>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2026-02-04T03:17:30Z</dcterms:modified>
</cp:coreProperties>
</file>