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0" yWindow="0" windowWidth="19320" windowHeight="13620" tabRatio="894" firstSheet="13" activeTab="2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81" r:id="rId14"/>
    <sheet name="数据-汇总表" sheetId="6" r:id="rId15"/>
    <sheet name="数据-取费表" sheetId="1" r:id="rId16"/>
    <sheet name="估价对象房地状况" sheetId="20" state="hidden" r:id="rId17"/>
    <sheet name="租赁明细" sheetId="80" r:id="rId18"/>
    <sheet name="系统读取表" sheetId="74" r:id="rId19"/>
    <sheet name="结果表" sheetId="9" r:id="rId20"/>
    <sheet name="成本法 (元)" sheetId="69" state="hidden" r:id="rId21"/>
    <sheet name="假设开发法" sheetId="12" state="hidden" r:id="rId22"/>
    <sheet name="结果表 (1)" sheetId="82" r:id="rId23"/>
    <sheet name="结果表 (2) " sheetId="83" r:id="rId24"/>
    <sheet name="比较法-办公" sheetId="34" r:id="rId25"/>
    <sheet name="比较法-商业" sheetId="33" r:id="rId26"/>
    <sheet name="商业案例" sheetId="84" r:id="rId27"/>
    <sheet name="比较法-车位" sheetId="35" r:id="rId28"/>
    <sheet name="收益法（汇总）" sheetId="70" state="hidden" r:id="rId29"/>
    <sheet name="收益法（办公）" sheetId="15" r:id="rId30"/>
    <sheet name="收益法 (元)" sheetId="67" state="hidden" r:id="rId31"/>
    <sheet name="酒店收入计算" sheetId="66" state="hidden" r:id="rId32"/>
    <sheet name="比较法-住宅" sheetId="21" state="hidden" r:id="rId33"/>
    <sheet name="收益法（商业）" sheetId="78" r:id="rId34"/>
    <sheet name="收益法（车位）" sheetId="77" r:id="rId35"/>
    <sheet name="比较法-工业" sheetId="37"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 sheetId="68"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现金流预测审核报告" sheetId="79" r:id="rId52"/>
  </sheets>
  <definedNames>
    <definedName name="——" localSheetId="22" hidden="1">#REF!</definedName>
    <definedName name="——" localSheetId="23" hidden="1">#REF!</definedName>
    <definedName name="——" localSheetId="51" hidden="1">#REF!</definedName>
    <definedName name="——" hidden="1">#REF!</definedName>
    <definedName name="\0" localSheetId="22">#REF!</definedName>
    <definedName name="\0" localSheetId="23">#REF!</definedName>
    <definedName name="\0">#REF!</definedName>
    <definedName name="\3">#N/A</definedName>
    <definedName name="\4">#N/A</definedName>
    <definedName name="\c" localSheetId="22">#REF!</definedName>
    <definedName name="\c" localSheetId="23">#REF!</definedName>
    <definedName name="\c">#REF!</definedName>
    <definedName name="\d" localSheetId="22">#REF!</definedName>
    <definedName name="\d" localSheetId="23">#REF!</definedName>
    <definedName name="\d">#REF!</definedName>
    <definedName name="\e" localSheetId="22">#REF!</definedName>
    <definedName name="\e" localSheetId="23">#REF!</definedName>
    <definedName name="\e">#REF!</definedName>
    <definedName name="\f" localSheetId="22">#REF!</definedName>
    <definedName name="\f" localSheetId="23">#REF!</definedName>
    <definedName name="\f">#REF!</definedName>
    <definedName name="\g" localSheetId="22">#REF!</definedName>
    <definedName name="\g" localSheetId="23">#REF!</definedName>
    <definedName name="\g">#REF!</definedName>
    <definedName name="\h" localSheetId="22">#REF!</definedName>
    <definedName name="\h" localSheetId="23">#REF!</definedName>
    <definedName name="\h">#REF!</definedName>
    <definedName name="\i" localSheetId="22">#REF!</definedName>
    <definedName name="\i" localSheetId="23">#REF!</definedName>
    <definedName name="\i">#REF!</definedName>
    <definedName name="\j" localSheetId="22">#REF!</definedName>
    <definedName name="\j" localSheetId="23">#REF!</definedName>
    <definedName name="\j">#REF!</definedName>
    <definedName name="\k" localSheetId="22">#REF!</definedName>
    <definedName name="\k" localSheetId="23">#REF!</definedName>
    <definedName name="\k">#REF!</definedName>
    <definedName name="\l" localSheetId="22">#REF!</definedName>
    <definedName name="\l" localSheetId="23">#REF!</definedName>
    <definedName name="\l" localSheetId="51">#REF!</definedName>
    <definedName name="\l">#REF!</definedName>
    <definedName name="\m" localSheetId="22">#REF!</definedName>
    <definedName name="\m" localSheetId="23">#REF!</definedName>
    <definedName name="\m">#REF!</definedName>
    <definedName name="\n" localSheetId="22">#REF!</definedName>
    <definedName name="\n" localSheetId="23">#REF!</definedName>
    <definedName name="\n">#REF!</definedName>
    <definedName name="\o" localSheetId="22">#REF!</definedName>
    <definedName name="\o" localSheetId="23">#REF!</definedName>
    <definedName name="\o">#REF!</definedName>
    <definedName name="\P" localSheetId="22">#REF!</definedName>
    <definedName name="\P" localSheetId="23">#REF!</definedName>
    <definedName name="\P" localSheetId="51">#REF!</definedName>
    <definedName name="\P">#REF!</definedName>
    <definedName name="\q">#N/A</definedName>
    <definedName name="\r" localSheetId="22">#REF!</definedName>
    <definedName name="\r" localSheetId="23">#REF!</definedName>
    <definedName name="\r">#REF!</definedName>
    <definedName name="\s" localSheetId="22">#REF!</definedName>
    <definedName name="\s" localSheetId="23">#REF!</definedName>
    <definedName name="\s">#REF!</definedName>
    <definedName name="\t" localSheetId="22">#REF!</definedName>
    <definedName name="\t" localSheetId="23">#REF!</definedName>
    <definedName name="\t" localSheetId="51">#REF!</definedName>
    <definedName name="\t">#REF!</definedName>
    <definedName name="\TB_1" localSheetId="22">#REF!</definedName>
    <definedName name="\TB_1" localSheetId="23">#REF!</definedName>
    <definedName name="\TB_1">#REF!</definedName>
    <definedName name="\TB_3" localSheetId="22">#REF!</definedName>
    <definedName name="\TB_3" localSheetId="23">#REF!</definedName>
    <definedName name="\TB_3">#REF!</definedName>
    <definedName name="\TB_4" localSheetId="22">#REF!</definedName>
    <definedName name="\TB_4" localSheetId="23">#REF!</definedName>
    <definedName name="\TB_4">#REF!</definedName>
    <definedName name="\TB_6" localSheetId="22">#REF!</definedName>
    <definedName name="\TB_6" localSheetId="23">#REF!</definedName>
    <definedName name="\TB_6">#REF!</definedName>
    <definedName name="\TB_7" localSheetId="22">#REF!</definedName>
    <definedName name="\TB_7" localSheetId="23">#REF!</definedName>
    <definedName name="\TB_7">#REF!</definedName>
    <definedName name="\TB_8" localSheetId="22">#REF!</definedName>
    <definedName name="\TB_8" localSheetId="23">#REF!</definedName>
    <definedName name="\TB_8">#REF!</definedName>
    <definedName name="\v" localSheetId="22">#REF!</definedName>
    <definedName name="\v" localSheetId="23">#REF!</definedName>
    <definedName name="\v">#REF!</definedName>
    <definedName name="\x" localSheetId="22">#REF!</definedName>
    <definedName name="\x" localSheetId="23">#REF!</definedName>
    <definedName name="\x">#REF!</definedName>
    <definedName name="\y" localSheetId="22">#REF!</definedName>
    <definedName name="\y" localSheetId="23">#REF!</definedName>
    <definedName name="\y">#REF!</definedName>
    <definedName name="\z" localSheetId="22">#REF!</definedName>
    <definedName name="\z" localSheetId="23">#REF!</definedName>
    <definedName name="\z">#REF!</definedName>
    <definedName name="\ㅈㅂ" localSheetId="22">#REF!</definedName>
    <definedName name="\ㅈㅂ" localSheetId="23">#REF!</definedName>
    <definedName name="\ㅈㅂ">#REF!</definedName>
    <definedName name="_" localSheetId="22">#REF!</definedName>
    <definedName name="_" localSheetId="23">#REF!</definedName>
    <definedName name="_" localSheetId="51">#REF!</definedName>
    <definedName name="_">#REF!</definedName>
    <definedName name="________TBC95" hidden="1">{#N/A,#N/A,FALSE,"Co_BalSht";#N/A,#N/A,FALSE,"Co_IncStmt";#N/A,#N/A,FALSE,"Cons_BalSht";#N/A,#N/A,FALSE,"Cons_IncStmt";#N/A,#N/A,FALSE,"Cashflow"}</definedName>
    <definedName name="________wrn1" hidden="1">{#N/A,#N/A,FALSE,"Co_BalSht";#N/A,#N/A,FALSE,"Co_IncStmt";#N/A,#N/A,FALSE,"Cons_BalSht";#N/A,#N/A,FALSE,"Cons_IncStmt";#N/A,#N/A,FALSE,"Cashflow"}</definedName>
    <definedName name="_______TBC95" hidden="1">{#N/A,#N/A,FALSE,"Co_BalSht";#N/A,#N/A,FALSE,"Co_IncStmt";#N/A,#N/A,FALSE,"Cons_BalSht";#N/A,#N/A,FALSE,"Cons_IncStmt";#N/A,#N/A,FALSE,"Cashflow"}</definedName>
    <definedName name="_______wrn1" hidden="1">{#N/A,#N/A,FALSE,"Co_BalSht";#N/A,#N/A,FALSE,"Co_IncStmt";#N/A,#N/A,FALSE,"Cons_BalSht";#N/A,#N/A,FALSE,"Cons_IncStmt";#N/A,#N/A,FALSE,"Cashflow"}</definedName>
    <definedName name="______TBC95" hidden="1">{#N/A,#N/A,FALSE,"Co_BalSht";#N/A,#N/A,FALSE,"Co_IncStmt";#N/A,#N/A,FALSE,"Cons_BalSht";#N/A,#N/A,FALSE,"Cons_IncStmt";#N/A,#N/A,FALSE,"Cashflow"}</definedName>
    <definedName name="______wrn1" hidden="1">{#N/A,#N/A,FALSE,"Co_BalSht";#N/A,#N/A,FALSE,"Co_IncStmt";#N/A,#N/A,FALSE,"Cons_BalSht";#N/A,#N/A,FALSE,"Cons_IncStmt";#N/A,#N/A,FALSE,"Cashflow"}</definedName>
    <definedName name="_____TBC95" hidden="1">{#N/A,#N/A,FALSE,"Co_BalSht";#N/A,#N/A,FALSE,"Co_IncStmt";#N/A,#N/A,FALSE,"Cons_BalSht";#N/A,#N/A,FALSE,"Cons_IncStmt";#N/A,#N/A,FALSE,"Cashflow"}</definedName>
    <definedName name="_____wrn1" hidden="1">{#N/A,#N/A,FALSE,"Co_BalSht";#N/A,#N/A,FALSE,"Co_IncStmt";#N/A,#N/A,FALSE,"Cons_BalSht";#N/A,#N/A,FALSE,"Cons_IncStmt";#N/A,#N/A,FALSE,"Cashflow"}</definedName>
    <definedName name="____TBC95" hidden="1">{#N/A,#N/A,FALSE,"Co_BalSht";#N/A,#N/A,FALSE,"Co_IncStmt";#N/A,#N/A,FALSE,"Cons_BalSht";#N/A,#N/A,FALSE,"Cons_IncStmt";#N/A,#N/A,FALSE,"Cashflow"}</definedName>
    <definedName name="____wrn1" hidden="1">{#N/A,#N/A,FALSE,"Co_BalSht";#N/A,#N/A,FALSE,"Co_IncStmt";#N/A,#N/A,FALSE,"Cons_BalSht";#N/A,#N/A,FALSE,"Cons_IncStmt";#N/A,#N/A,FALSE,"Cashflow"}</definedName>
    <definedName name="___ACC1" localSheetId="22">#REF!</definedName>
    <definedName name="___ACC1" localSheetId="23">#REF!</definedName>
    <definedName name="___ACC1">#REF!</definedName>
    <definedName name="___ADD1" localSheetId="22">#REF!</definedName>
    <definedName name="___ADD1" localSheetId="23">#REF!</definedName>
    <definedName name="___ADD1">#REF!</definedName>
    <definedName name="___ADD2" localSheetId="22">#REF!</definedName>
    <definedName name="___ADD2" localSheetId="23">#REF!</definedName>
    <definedName name="___ADD2">#REF!</definedName>
    <definedName name="___ADD3" localSheetId="22">#REF!</definedName>
    <definedName name="___ADD3" localSheetId="23">#REF!</definedName>
    <definedName name="___ADD3">#REF!</definedName>
    <definedName name="___DAT1" localSheetId="22">#REF!</definedName>
    <definedName name="___DAT1" localSheetId="23">#REF!</definedName>
    <definedName name="___DAT1">#REF!</definedName>
    <definedName name="___DAT12" localSheetId="22">#REF!</definedName>
    <definedName name="___DAT12" localSheetId="23">#REF!</definedName>
    <definedName name="___DAT12">#REF!</definedName>
    <definedName name="___DAT13" localSheetId="22">#REF!</definedName>
    <definedName name="___DAT13" localSheetId="23">#REF!</definedName>
    <definedName name="___DAT13">#REF!</definedName>
    <definedName name="___DAT14" localSheetId="22">#REF!</definedName>
    <definedName name="___DAT14" localSheetId="23">#REF!</definedName>
    <definedName name="___DAT14">#REF!</definedName>
    <definedName name="___DAT2" localSheetId="22">#REF!</definedName>
    <definedName name="___DAT2" localSheetId="23">#REF!</definedName>
    <definedName name="___DAT2">#REF!</definedName>
    <definedName name="___DAT3" localSheetId="22">#REF!</definedName>
    <definedName name="___DAT3" localSheetId="23">#REF!</definedName>
    <definedName name="___DAT3">#REF!</definedName>
    <definedName name="___DAT6" localSheetId="22">#REF!</definedName>
    <definedName name="___DAT6" localSheetId="23">#REF!</definedName>
    <definedName name="___DAT6">#REF!</definedName>
    <definedName name="___DAT7" localSheetId="22">#REF!</definedName>
    <definedName name="___DAT7" localSheetId="23">#REF!</definedName>
    <definedName name="___DAT7">#REF!</definedName>
    <definedName name="___DAT9" localSheetId="22">#REF!</definedName>
    <definedName name="___DAT9" localSheetId="23">#REF!</definedName>
    <definedName name="___DAT9">#REF!</definedName>
    <definedName name="___FS1" localSheetId="22">#REF!</definedName>
    <definedName name="___FS1" localSheetId="23">#REF!</definedName>
    <definedName name="___FS1">#REF!</definedName>
    <definedName name="___IRR1" localSheetId="22">#REF!</definedName>
    <definedName name="___IRR1" localSheetId="23">#REF!</definedName>
    <definedName name="___IRR1">#REF!</definedName>
    <definedName name="___IRR2" localSheetId="22">#REF!</definedName>
    <definedName name="___IRR2" localSheetId="23">#REF!</definedName>
    <definedName name="___IRR2">#REF!</definedName>
    <definedName name="___IRR3" localSheetId="22">#REF!</definedName>
    <definedName name="___IRR3" localSheetId="23">#REF!</definedName>
    <definedName name="___IRR3">#REF!</definedName>
    <definedName name="___IRR4" localSheetId="22">#REF!</definedName>
    <definedName name="___IRR4" localSheetId="23">#REF!</definedName>
    <definedName name="___IRR4">#REF!</definedName>
    <definedName name="___IRR5" localSheetId="22">#REF!</definedName>
    <definedName name="___IRR5" localSheetId="23">#REF!</definedName>
    <definedName name="___IRR5">#REF!</definedName>
    <definedName name="___IRR6" localSheetId="22">#REF!</definedName>
    <definedName name="___IRR6" localSheetId="23">#REF!</definedName>
    <definedName name="___IRR6">#REF!</definedName>
    <definedName name="___Mei97" localSheetId="22">#REF!</definedName>
    <definedName name="___Mei97" localSheetId="23">#REF!</definedName>
    <definedName name="___Mei97">#REF!</definedName>
    <definedName name="___NO1" localSheetId="22">#REF!</definedName>
    <definedName name="___NO1" localSheetId="23">#REF!</definedName>
    <definedName name="___NO1">#REF!</definedName>
    <definedName name="___NO2" localSheetId="22">#REF!</definedName>
    <definedName name="___NO2" localSheetId="23">#REF!</definedName>
    <definedName name="___NO2">#REF!</definedName>
    <definedName name="___NO3" localSheetId="22">#REF!</definedName>
    <definedName name="___NO3" localSheetId="23">#REF!</definedName>
    <definedName name="___NO3">#REF!</definedName>
    <definedName name="___NO4" localSheetId="22">#REF!</definedName>
    <definedName name="___NO4" localSheetId="23">#REF!</definedName>
    <definedName name="___NO4">#REF!</definedName>
    <definedName name="___NO5" localSheetId="22">#REF!</definedName>
    <definedName name="___NO5" localSheetId="23">#REF!</definedName>
    <definedName name="___NO5">#REF!</definedName>
    <definedName name="___NO6" localSheetId="22">#REF!</definedName>
    <definedName name="___NO6" localSheetId="23">#REF!</definedName>
    <definedName name="___NO6">#REF!</definedName>
    <definedName name="___NO7" localSheetId="22">#REF!</definedName>
    <definedName name="___NO7" localSheetId="23">#REF!</definedName>
    <definedName name="___NO7">#REF!</definedName>
    <definedName name="___tb2" localSheetId="22">#REF!</definedName>
    <definedName name="___tb2" localSheetId="23">#REF!</definedName>
    <definedName name="___tb2">#REF!</definedName>
    <definedName name="___TBC95" hidden="1">{#N/A,#N/A,FALSE,"Co_BalSht";#N/A,#N/A,FALSE,"Co_IncStmt";#N/A,#N/A,FALSE,"Cons_BalSht";#N/A,#N/A,FALSE,"Cons_IncStmt";#N/A,#N/A,FALSE,"Cashflow"}</definedName>
    <definedName name="___wrn1" hidden="1">{#N/A,#N/A,FALSE,"Co_BalSht";#N/A,#N/A,FALSE,"Co_IncStmt";#N/A,#N/A,FALSE,"Cons_BalSht";#N/A,#N/A,FALSE,"Cons_IncStmt";#N/A,#N/A,FALSE,"Cashflow"}</definedName>
    <definedName name="__123Graph_B" localSheetId="22" hidden="1">#REF!</definedName>
    <definedName name="__123Graph_B" localSheetId="23" hidden="1">#REF!</definedName>
    <definedName name="__123Graph_B" localSheetId="51" hidden="1">#REF!</definedName>
    <definedName name="__123Graph_B" hidden="1">#REF!</definedName>
    <definedName name="__123Graph_C" localSheetId="22" hidden="1">#REF!</definedName>
    <definedName name="__123Graph_C" localSheetId="23" hidden="1">#REF!</definedName>
    <definedName name="__123Graph_C" localSheetId="51" hidden="1">#REF!</definedName>
    <definedName name="__123Graph_C" hidden="1">#REF!</definedName>
    <definedName name="__123Graph_D" localSheetId="22" hidden="1">#REF!</definedName>
    <definedName name="__123Graph_D" localSheetId="23" hidden="1">#REF!</definedName>
    <definedName name="__123Graph_D" localSheetId="51" hidden="1">#REF!</definedName>
    <definedName name="__123Graph_D" hidden="1">#REF!</definedName>
    <definedName name="__123Graph_LBL_A" localSheetId="22" hidden="1">#REF!</definedName>
    <definedName name="__123Graph_LBL_A" localSheetId="23" hidden="1">#REF!</definedName>
    <definedName name="__123Graph_LBL_A" localSheetId="51" hidden="1">#REF!</definedName>
    <definedName name="__123Graph_LBL_A" hidden="1">#REF!</definedName>
    <definedName name="__123Graph_LBL_C" localSheetId="22" hidden="1">#REF!</definedName>
    <definedName name="__123Graph_LBL_C" localSheetId="23" hidden="1">#REF!</definedName>
    <definedName name="__123Graph_LBL_C" localSheetId="51" hidden="1">#REF!</definedName>
    <definedName name="__123Graph_LBL_C" hidden="1">#REF!</definedName>
    <definedName name="__1FS1_" localSheetId="22">#REF!</definedName>
    <definedName name="__1FS1_" localSheetId="23">#REF!</definedName>
    <definedName name="__1FS1_">#REF!</definedName>
    <definedName name="__A70000" localSheetId="22">#REF!</definedName>
    <definedName name="__A70000" localSheetId="23">#REF!</definedName>
    <definedName name="__A70000">#REF!</definedName>
    <definedName name="__ACC1" localSheetId="22">#REF!</definedName>
    <definedName name="__ACC1" localSheetId="23">#REF!</definedName>
    <definedName name="__ACC1">#REF!</definedName>
    <definedName name="__ADD1" localSheetId="22">#REF!</definedName>
    <definedName name="__ADD1" localSheetId="23">#REF!</definedName>
    <definedName name="__ADD1">#REF!</definedName>
    <definedName name="__ADD2" localSheetId="22">#REF!</definedName>
    <definedName name="__ADD2" localSheetId="23">#REF!</definedName>
    <definedName name="__ADD2">#REF!</definedName>
    <definedName name="__ADD3" localSheetId="22">#REF!</definedName>
    <definedName name="__ADD3" localSheetId="23">#REF!</definedName>
    <definedName name="__ADD3">#REF!</definedName>
    <definedName name="__Aug08" localSheetId="22">#REF!</definedName>
    <definedName name="__Aug08" localSheetId="23">#REF!</definedName>
    <definedName name="__Aug08">#REF!</definedName>
    <definedName name="__DAT1" localSheetId="22">#REF!</definedName>
    <definedName name="__DAT1" localSheetId="23">#REF!</definedName>
    <definedName name="__DAT1">#REF!</definedName>
    <definedName name="__DAT10" localSheetId="22">#REF!</definedName>
    <definedName name="__DAT10" localSheetId="23">#REF!</definedName>
    <definedName name="__DAT10">#REF!</definedName>
    <definedName name="__DAT11" localSheetId="22">#REF!</definedName>
    <definedName name="__DAT11" localSheetId="23">#REF!</definedName>
    <definedName name="__DAT11">#REF!</definedName>
    <definedName name="__DAT12" localSheetId="22">#REF!</definedName>
    <definedName name="__DAT12" localSheetId="23">#REF!</definedName>
    <definedName name="__DAT12">#REF!</definedName>
    <definedName name="__DAT13" localSheetId="22">#REF!</definedName>
    <definedName name="__DAT13" localSheetId="23">#REF!</definedName>
    <definedName name="__DAT13">#REF!</definedName>
    <definedName name="__DAT14" localSheetId="22">#REF!</definedName>
    <definedName name="__DAT14" localSheetId="23">#REF!</definedName>
    <definedName name="__DAT14">#REF!</definedName>
    <definedName name="__DAT16" localSheetId="22">#REF!</definedName>
    <definedName name="__DAT16" localSheetId="23">#REF!</definedName>
    <definedName name="__DAT16">#REF!</definedName>
    <definedName name="__DAT2" localSheetId="22">#REF!</definedName>
    <definedName name="__DAT2" localSheetId="23">#REF!</definedName>
    <definedName name="__DAT2">#REF!</definedName>
    <definedName name="__DAT3" localSheetId="22">#REF!</definedName>
    <definedName name="__DAT3" localSheetId="23">#REF!</definedName>
    <definedName name="__DAT3">#REF!</definedName>
    <definedName name="__DAT5" localSheetId="22">#REF!</definedName>
    <definedName name="__DAT5" localSheetId="23">#REF!</definedName>
    <definedName name="__DAT5">#REF!</definedName>
    <definedName name="__DAT6" localSheetId="22">#REF!</definedName>
    <definedName name="__DAT6" localSheetId="23">#REF!</definedName>
    <definedName name="__DAT6">#REF!</definedName>
    <definedName name="__DAT7" localSheetId="22">#REF!</definedName>
    <definedName name="__DAT7" localSheetId="23">#REF!</definedName>
    <definedName name="__DAT7">#REF!</definedName>
    <definedName name="__DAT9" localSheetId="22">#REF!</definedName>
    <definedName name="__DAT9" localSheetId="23">#REF!</definedName>
    <definedName name="__DAT9">#REF!</definedName>
    <definedName name="__E100000" localSheetId="22">#REF!</definedName>
    <definedName name="__E100000" localSheetId="23">#REF!</definedName>
    <definedName name="__E100000">#REF!</definedName>
    <definedName name="__FDS_HYPERLINK_TOGGLE_STATE__" hidden="1">"ON"</definedName>
    <definedName name="__FDS_UNIQUE_RANGE_ID_GENERATOR_COUNTER" hidden="1">1</definedName>
    <definedName name="__FDS_USED_FOR_REUSING_RANGE_IDS_RECYCLE" hidden="1">{78,65,88,63}</definedName>
    <definedName name="__FS1" localSheetId="22">#REF!</definedName>
    <definedName name="__FS1" localSheetId="23">#REF!</definedName>
    <definedName name="__FS1">#REF!</definedName>
    <definedName name="__IntlFixup" hidden="1">TRUE</definedName>
    <definedName name="__KE8" localSheetId="22" hidden="1">#REF!</definedName>
    <definedName name="__KE8" localSheetId="23" hidden="1">#REF!</definedName>
    <definedName name="__KE8" localSheetId="51" hidden="1">#REF!</definedName>
    <definedName name="__KE8" hidden="1">#REF!</definedName>
    <definedName name="__key11" localSheetId="22" hidden="1">#REF!</definedName>
    <definedName name="__key11" localSheetId="23" hidden="1">#REF!</definedName>
    <definedName name="__key11" localSheetId="51" hidden="1">#REF!</definedName>
    <definedName name="__key11" hidden="1">#REF!</definedName>
    <definedName name="__key12" localSheetId="22" hidden="1">#REF!</definedName>
    <definedName name="__key12" localSheetId="23" hidden="1">#REF!</definedName>
    <definedName name="__key12" localSheetId="51" hidden="1">#REF!</definedName>
    <definedName name="__key12" hidden="1">#REF!</definedName>
    <definedName name="__KEY123" localSheetId="22" hidden="1">#REF!</definedName>
    <definedName name="__KEY123" localSheetId="23" hidden="1">#REF!</definedName>
    <definedName name="__KEY123" localSheetId="51" hidden="1">#REF!</definedName>
    <definedName name="__KEY123" hidden="1">#REF!</definedName>
    <definedName name="__key2" localSheetId="22" hidden="1">#REF!</definedName>
    <definedName name="__key2" localSheetId="23" hidden="1">#REF!</definedName>
    <definedName name="__key2" localSheetId="51" hidden="1">#REF!</definedName>
    <definedName name="__key2" hidden="1">#REF!</definedName>
    <definedName name="__KEY3" localSheetId="22" hidden="1">#REF!</definedName>
    <definedName name="__KEY3" localSheetId="23" hidden="1">#REF!</definedName>
    <definedName name="__KEY3" localSheetId="51" hidden="1">#REF!</definedName>
    <definedName name="__KEY3" hidden="1">#REF!</definedName>
    <definedName name="__KEY4" localSheetId="22" hidden="1">#REF!</definedName>
    <definedName name="__KEY4" localSheetId="23" hidden="1">#REF!</definedName>
    <definedName name="__KEY4" localSheetId="51" hidden="1">#REF!</definedName>
    <definedName name="__KEY4" hidden="1">#REF!</definedName>
    <definedName name="__KEY5" localSheetId="22" hidden="1">#REF!</definedName>
    <definedName name="__KEY5" localSheetId="23" hidden="1">#REF!</definedName>
    <definedName name="__KEY5" localSheetId="51" hidden="1">#REF!</definedName>
    <definedName name="__KEY5" hidden="1">#REF!</definedName>
    <definedName name="__KEY6" localSheetId="22" hidden="1">#REF!</definedName>
    <definedName name="__KEY6" localSheetId="23" hidden="1">#REF!</definedName>
    <definedName name="__KEY6" localSheetId="51" hidden="1">#REF!</definedName>
    <definedName name="__KEY6" hidden="1">#REF!</definedName>
    <definedName name="__KEY7" localSheetId="22" hidden="1">#REF!</definedName>
    <definedName name="__KEY7" localSheetId="23" hidden="1">#REF!</definedName>
    <definedName name="__KEY7" localSheetId="51" hidden="1">#REF!</definedName>
    <definedName name="__KEY7" hidden="1">#REF!</definedName>
    <definedName name="__key8" localSheetId="22" hidden="1">#REF!</definedName>
    <definedName name="__key8" localSheetId="23" hidden="1">#REF!</definedName>
    <definedName name="__key8" localSheetId="51" hidden="1">#REF!</definedName>
    <definedName name="__key8" hidden="1">#REF!</definedName>
    <definedName name="__KEY90" localSheetId="22" hidden="1">#REF!</definedName>
    <definedName name="__KEY90" localSheetId="23" hidden="1">#REF!</definedName>
    <definedName name="__KEY90" localSheetId="51" hidden="1">#REF!</definedName>
    <definedName name="__KEY90" hidden="1">#REF!</definedName>
    <definedName name="__Mei97" localSheetId="22">#REF!</definedName>
    <definedName name="__Mei97" localSheetId="23">#REF!</definedName>
    <definedName name="__Mei97">#REF!</definedName>
    <definedName name="__NO1" localSheetId="22">#REF!</definedName>
    <definedName name="__NO1" localSheetId="23">#REF!</definedName>
    <definedName name="__NO1">#REF!</definedName>
    <definedName name="__NO2" localSheetId="22">#REF!</definedName>
    <definedName name="__NO2" localSheetId="23">#REF!</definedName>
    <definedName name="__NO2">#REF!</definedName>
    <definedName name="__NO3" localSheetId="22">#REF!</definedName>
    <definedName name="__NO3" localSheetId="23">#REF!</definedName>
    <definedName name="__NO3">#REF!</definedName>
    <definedName name="__NO4" localSheetId="22">#REF!</definedName>
    <definedName name="__NO4" localSheetId="23">#REF!</definedName>
    <definedName name="__NO4">#REF!</definedName>
    <definedName name="__NO5" localSheetId="22">#REF!</definedName>
    <definedName name="__NO5" localSheetId="23">#REF!</definedName>
    <definedName name="__NO5">#REF!</definedName>
    <definedName name="__NO6" localSheetId="22">#REF!</definedName>
    <definedName name="__NO6" localSheetId="23">#REF!</definedName>
    <definedName name="__NO6">#REF!</definedName>
    <definedName name="__NO7" localSheetId="22">#REF!</definedName>
    <definedName name="__NO7" localSheetId="23">#REF!</definedName>
    <definedName name="__NO7">#REF!</definedName>
    <definedName name="__PRN10">#N/A</definedName>
    <definedName name="__PRN3">#N/A</definedName>
    <definedName name="__PRN4">#N/A</definedName>
    <definedName name="__RAN1">#N/A</definedName>
    <definedName name="__tb2" localSheetId="22">#REF!</definedName>
    <definedName name="__tb2" localSheetId="23">#REF!</definedName>
    <definedName name="__tb2">#REF!</definedName>
    <definedName name="_05年" localSheetId="22">#REF!</definedName>
    <definedName name="_05年" localSheetId="23">#REF!</definedName>
    <definedName name="_05年" localSheetId="51">#REF!</definedName>
    <definedName name="_05年">#REF!</definedName>
    <definedName name="_06年" localSheetId="22">#REF!</definedName>
    <definedName name="_06年" localSheetId="23">#REF!</definedName>
    <definedName name="_06年" localSheetId="51">#REF!</definedName>
    <definedName name="_06年">#REF!</definedName>
    <definedName name="_07年" localSheetId="22">#REF!</definedName>
    <definedName name="_07年" localSheetId="23">#REF!</definedName>
    <definedName name="_07年" localSheetId="51">#REF!</definedName>
    <definedName name="_07年">#REF!</definedName>
    <definedName name="_1" localSheetId="22" hidden="1">#REF!</definedName>
    <definedName name="_1" localSheetId="23" hidden="1">#REF!</definedName>
    <definedName name="_1" hidden="1">#REF!</definedName>
    <definedName name="_10_F">#N/A</definedName>
    <definedName name="_11" localSheetId="22">#REF!</definedName>
    <definedName name="_11" localSheetId="23">#REF!</definedName>
    <definedName name="_11">#REF!</definedName>
    <definedName name="_11_15_F">#N/A</definedName>
    <definedName name="_125G2001_" hidden="1">{#N/A,#N/A,FALSE,"COVER";#N/A,#N/A,FALSE,"0";#N/A,#N/A,FALSE,"1";#N/A,#N/A,FALSE,"2";#N/A,#N/A,FALSE,"3";#N/A,#N/A,FALSE,"4";#N/A,#N/A,FALSE,"5";#N/A,#N/A,FALSE,"6";#N/A,#N/A,FALSE,"7";#N/A,#N/A,FALSE,"8";#N/A,#N/A,FALSE,"9";#N/A,#N/A,FALSE,"10";#N/A,#N/A,FALSE,"11"}</definedName>
    <definedName name="_132__123Graph_ACHART_2" localSheetId="22" hidden="1">#REF!</definedName>
    <definedName name="_132__123Graph_ACHART_2" localSheetId="23" hidden="1">#REF!</definedName>
    <definedName name="_132__123Graph_ACHART_2" hidden="1">#REF!</definedName>
    <definedName name="_16_F">#N/A</definedName>
    <definedName name="_165__123Graph_LBL_ACHART_1" localSheetId="22" hidden="1">#REF!</definedName>
    <definedName name="_165__123Graph_LBL_ACHART_1" localSheetId="23" hidden="1">#REF!</definedName>
    <definedName name="_165__123Graph_LBL_ACHART_1" hidden="1">#REF!</definedName>
    <definedName name="_17_F">#N/A</definedName>
    <definedName name="_18_F">#N/A</definedName>
    <definedName name="_181" localSheetId="22">#REF!</definedName>
    <definedName name="_181" localSheetId="23">#REF!</definedName>
    <definedName name="_181" localSheetId="51">#REF!</definedName>
    <definedName name="_181">#REF!</definedName>
    <definedName name="_19_F">#N/A</definedName>
    <definedName name="_198__123Graph_LBL_ACHART_2" localSheetId="22" hidden="1">#REF!</definedName>
    <definedName name="_198__123Graph_LBL_ACHART_2" localSheetId="23" hidden="1">#REF!</definedName>
    <definedName name="_198__123Graph_LBL_ACHART_2" hidden="1">#REF!</definedName>
    <definedName name="_1FS1_" localSheetId="22">#REF!</definedName>
    <definedName name="_1FS1_" localSheetId="23">#REF!</definedName>
    <definedName name="_1FS1_">#REF!</definedName>
    <definedName name="_2" localSheetId="22">#REF!</definedName>
    <definedName name="_2" localSheetId="23">#REF!</definedName>
    <definedName name="_2">#REF!</definedName>
    <definedName name="_20_F">#N/A</definedName>
    <definedName name="_21_F">#N/A</definedName>
    <definedName name="_22_F">#N/A</definedName>
    <definedName name="_23_F">#N/A</definedName>
    <definedName name="_231__123Graph_XCHART_1" localSheetId="22" hidden="1">#REF!</definedName>
    <definedName name="_231__123Graph_XCHART_1" localSheetId="23" hidden="1">#REF!</definedName>
    <definedName name="_231__123Graph_XCHART_1" hidden="1">#REF!</definedName>
    <definedName name="_24_25_F">#N/A</definedName>
    <definedName name="_264__123Graph_XCHART_2" localSheetId="22" hidden="1">#REF!</definedName>
    <definedName name="_264__123Graph_XCHART_2" localSheetId="23" hidden="1">#REF!</definedName>
    <definedName name="_264__123Graph_XCHART_2" hidden="1">#REF!</definedName>
    <definedName name="_2Z1_" hidden="1">{#N/A,#N/A,FALSE,"431"}</definedName>
    <definedName name="_3item" localSheetId="22">#REF!</definedName>
    <definedName name="_3item" localSheetId="23">#REF!</definedName>
    <definedName name="_3item">#REF!</definedName>
    <definedName name="_5item" localSheetId="22">#REF!</definedName>
    <definedName name="_5item" localSheetId="23">#REF!</definedName>
    <definedName name="_5item">#REF!</definedName>
    <definedName name="_9_F">#N/A</definedName>
    <definedName name="_94FAS01" localSheetId="22">#REF!</definedName>
    <definedName name="_94FAS01" localSheetId="23">#REF!</definedName>
    <definedName name="_94FAS01">#REF!</definedName>
    <definedName name="_94FAS02" localSheetId="22">#REF!</definedName>
    <definedName name="_94FAS02" localSheetId="23">#REF!</definedName>
    <definedName name="_94FAS02">#REF!</definedName>
    <definedName name="_94FAS03" localSheetId="22">#REF!</definedName>
    <definedName name="_94FAS03" localSheetId="23">#REF!</definedName>
    <definedName name="_94FAS03">#REF!</definedName>
    <definedName name="_94FAS04" localSheetId="22">#REF!</definedName>
    <definedName name="_94FAS04" localSheetId="23">#REF!</definedName>
    <definedName name="_94FAS04">#REF!</definedName>
    <definedName name="_94FAS05" localSheetId="22">#REF!</definedName>
    <definedName name="_94FAS05" localSheetId="23">#REF!</definedName>
    <definedName name="_94FAS05">#REF!</definedName>
    <definedName name="_94PRT01" localSheetId="22">#REF!</definedName>
    <definedName name="_94PRT01" localSheetId="23">#REF!</definedName>
    <definedName name="_94PRT01">#REF!</definedName>
    <definedName name="_94PRT02" localSheetId="22">#REF!</definedName>
    <definedName name="_94PRT02" localSheetId="23">#REF!</definedName>
    <definedName name="_94PRT02">#REF!</definedName>
    <definedName name="_94PRT03" localSheetId="22">#REF!</definedName>
    <definedName name="_94PRT03" localSheetId="23">#REF!</definedName>
    <definedName name="_94PRT03">#REF!</definedName>
    <definedName name="_94PRT04" localSheetId="22">#REF!</definedName>
    <definedName name="_94PRT04" localSheetId="23">#REF!</definedName>
    <definedName name="_94PRT04">#REF!</definedName>
    <definedName name="_94PRT05" localSheetId="22">#REF!</definedName>
    <definedName name="_94PRT05" localSheetId="23">#REF!</definedName>
    <definedName name="_94PRT05">#REF!</definedName>
    <definedName name="_94STAT" localSheetId="22">#REF!</definedName>
    <definedName name="_94STAT" localSheetId="23">#REF!</definedName>
    <definedName name="_94STAT">#REF!</definedName>
    <definedName name="_95FAS01" localSheetId="22">#REF!</definedName>
    <definedName name="_95FAS01" localSheetId="23">#REF!</definedName>
    <definedName name="_95FAS01">#REF!</definedName>
    <definedName name="_95FAS02" localSheetId="22">#REF!</definedName>
    <definedName name="_95FAS02" localSheetId="23">#REF!</definedName>
    <definedName name="_95FAS02">#REF!</definedName>
    <definedName name="_95FAS03" localSheetId="22">#REF!</definedName>
    <definedName name="_95FAS03" localSheetId="23">#REF!</definedName>
    <definedName name="_95FAS03">#REF!</definedName>
    <definedName name="_95FAS04" localSheetId="22">#REF!</definedName>
    <definedName name="_95FAS04" localSheetId="23">#REF!</definedName>
    <definedName name="_95FAS04">#REF!</definedName>
    <definedName name="_95FAS05" localSheetId="22">#REF!</definedName>
    <definedName name="_95FAS05" localSheetId="23">#REF!</definedName>
    <definedName name="_95FAS05">#REF!</definedName>
    <definedName name="_95PRT01" localSheetId="22">#REF!</definedName>
    <definedName name="_95PRT01" localSheetId="23">#REF!</definedName>
    <definedName name="_95PRT01">#REF!</definedName>
    <definedName name="_95PRT02" localSheetId="22">#REF!</definedName>
    <definedName name="_95PRT02" localSheetId="23">#REF!</definedName>
    <definedName name="_95PRT02">#REF!</definedName>
    <definedName name="_95PRT03" localSheetId="22">#REF!</definedName>
    <definedName name="_95PRT03" localSheetId="23">#REF!</definedName>
    <definedName name="_95PRT03">#REF!</definedName>
    <definedName name="_95PRT04" localSheetId="22">#REF!</definedName>
    <definedName name="_95PRT04" localSheetId="23">#REF!</definedName>
    <definedName name="_95PRT04">#REF!</definedName>
    <definedName name="_95PRT05" localSheetId="22">#REF!</definedName>
    <definedName name="_95PRT05" localSheetId="23">#REF!</definedName>
    <definedName name="_95PRT05">#REF!</definedName>
    <definedName name="_95STAT" localSheetId="22">#REF!</definedName>
    <definedName name="_95STAT" localSheetId="23">#REF!</definedName>
    <definedName name="_95STAT">#REF!</definedName>
    <definedName name="_96FAS01" localSheetId="22">#REF!</definedName>
    <definedName name="_96FAS01" localSheetId="23">#REF!</definedName>
    <definedName name="_96FAS01">#REF!</definedName>
    <definedName name="_96FAS02" localSheetId="22">#REF!</definedName>
    <definedName name="_96FAS02" localSheetId="23">#REF!</definedName>
    <definedName name="_96FAS02">#REF!</definedName>
    <definedName name="_96FAS03" localSheetId="22">#REF!</definedName>
    <definedName name="_96FAS03" localSheetId="23">#REF!</definedName>
    <definedName name="_96FAS03">#REF!</definedName>
    <definedName name="_96FAS04" localSheetId="22">#REF!</definedName>
    <definedName name="_96FAS04" localSheetId="23">#REF!</definedName>
    <definedName name="_96FAS04">#REF!</definedName>
    <definedName name="_96FAS05" localSheetId="22">#REF!</definedName>
    <definedName name="_96FAS05" localSheetId="23">#REF!</definedName>
    <definedName name="_96FAS05">#REF!</definedName>
    <definedName name="_96PRT01" localSheetId="22">#REF!</definedName>
    <definedName name="_96PRT01" localSheetId="23">#REF!</definedName>
    <definedName name="_96PRT01">#REF!</definedName>
    <definedName name="_96PRT02" localSheetId="22">#REF!</definedName>
    <definedName name="_96PRT02" localSheetId="23">#REF!</definedName>
    <definedName name="_96PRT02">#REF!</definedName>
    <definedName name="_96PRT03" localSheetId="22">#REF!</definedName>
    <definedName name="_96PRT03" localSheetId="23">#REF!</definedName>
    <definedName name="_96PRT03">#REF!</definedName>
    <definedName name="_96PRT04" localSheetId="22">#REF!</definedName>
    <definedName name="_96PRT04" localSheetId="23">#REF!</definedName>
    <definedName name="_96PRT04">#REF!</definedName>
    <definedName name="_96PRT05" localSheetId="22">#REF!</definedName>
    <definedName name="_96PRT05" localSheetId="23">#REF!</definedName>
    <definedName name="_96PRT05">#REF!</definedName>
    <definedName name="_96STAT" localSheetId="22">#REF!</definedName>
    <definedName name="_96STAT" localSheetId="23">#REF!</definedName>
    <definedName name="_96STAT">#REF!</definedName>
    <definedName name="_99__123Graph_ACHART_1" localSheetId="22" hidden="1">#REF!</definedName>
    <definedName name="_99__123Graph_ACHART_1" localSheetId="23" hidden="1">#REF!</definedName>
    <definedName name="_99__123Graph_ACHART_1" hidden="1">#REF!</definedName>
    <definedName name="_a1" hidden="1">{#N/A,#N/A,FALSE,"Virgin Flightdeck"}</definedName>
    <definedName name="_A100000" localSheetId="22">#REF!</definedName>
    <definedName name="_A100000" localSheetId="23">#REF!</definedName>
    <definedName name="_A100000">#REF!</definedName>
    <definedName name="_a2" hidden="1">{#N/A,#N/A,FALSE,"Virgin Flightdeck"}</definedName>
    <definedName name="_a2_1" hidden="1">{#N/A,#N/A,FALSE,"Virgin Flightdeck"}</definedName>
    <definedName name="_a2_1_1" hidden="1">{#N/A,#N/A,FALSE,"Virgin Flightdeck"}</definedName>
    <definedName name="_a3" hidden="1">{#N/A,#N/A,FALSE,"Virgin Flightdeck"}</definedName>
    <definedName name="_a3_1" hidden="1">{#N/A,#N/A,FALSE,"Virgin Flightdeck"}</definedName>
    <definedName name="_a3_1_1" hidden="1">{#N/A,#N/A,FALSE,"Virgin Flightdeck"}</definedName>
    <definedName name="_A70000" localSheetId="22">#REF!</definedName>
    <definedName name="_A70000" localSheetId="23">#REF!</definedName>
    <definedName name="_A70000">#REF!</definedName>
    <definedName name="_ACC1" localSheetId="22">#REF!</definedName>
    <definedName name="_ACC1" localSheetId="23">#REF!</definedName>
    <definedName name="_ACC1">#REF!</definedName>
    <definedName name="_ADD1" localSheetId="22">#REF!</definedName>
    <definedName name="_ADD1" localSheetId="23">#REF!</definedName>
    <definedName name="_ADD1">#REF!</definedName>
    <definedName name="_ADD2" localSheetId="22">#REF!</definedName>
    <definedName name="_ADD2" localSheetId="23">#REF!</definedName>
    <definedName name="_ADD2">#REF!</definedName>
    <definedName name="_ADD3" localSheetId="22">#REF!</definedName>
    <definedName name="_ADD3" localSheetId="23">#REF!</definedName>
    <definedName name="_ADD3">#REF!</definedName>
    <definedName name="_AMO_ContentDefinition_223786361" hidden="1">"'Partitions:7'"</definedName>
    <definedName name="_AMO_ContentDefinition_223786361.0" hidden="1">"'&lt;ContentDefinition name=""Import Annual Report Package for Vestas Management STAFS"" rsid=""223786361"" type=""StoredProcess"" format=""REPORTXML"" imgfmt=""ACTIVEX"" created=""01/10/2007 14:31:17"" modifed=""01/10/2007 14:31:17"" user=""Mogens Bakho'"</definedName>
    <definedName name="_AMO_ContentDefinition_223786361.1" hidden="1">"'ldt Andersen"" apply=""False"" thread=""BACKGROUND"" css=""C:\Program Files\SAS\Shared Files\BIClientStyles\AMODefault.css"" range=""Import_Annual_Report_Package_for_Vestas_Management_STAFS"" auto=""False"" rdc=""False"" mig=""False"" xTime=""00:00:1'"</definedName>
    <definedName name="_AMO_ContentDefinition_223786361.2" hidden="1">"'0.6755636"" rTime=""00:00:01.6624236"" bgnew=""False"" nFmt=""False"" grphSet=""False"" imgY=""0"" imgX=""0""&gt;_x000D_&lt;files /&gt;_x000D_&lt;param n=""DisplayName"" v=""Import Annual Report Package for Vestas Management STAFS"" /&gt;_x000D_&lt;param n=""ServerName"" v=""S'"</definedName>
    <definedName name="_AMO_ContentDefinition_223786361.3" hidden="1">"'ASMain"" /&gt;_x000D_&lt;param n=""ResultsOnServer"" v=""False"" /&gt;_x000D_&lt;param n=""AMO_Version"" v=""2.1"" /&gt;_x000D_&lt;param n=""UIParameter_0"" v=""analysis::ACTUAL"" /&gt;_x000D_&lt;param n=""UIParameter_1"" v=""period::200612"" /&gt;_x000D_&lt;param n=""UIParameter_2"" v=""locatio'"</definedName>
    <definedName name="_AMO_ContentDefinition_223786361.4" hidden="1">"'n::\\rifile\group\_Docs\Financial_reporting\Management\Stafs\"" /&gt;_x000D_&lt;param n=""UIParameter_3"" v=""cycle::Vestas"" /&gt;_x000D_&lt;param n=""UIParameter_4"" v=""actiontype::1"" /&gt;_x000D_&lt;param n=""UIParameters"" v=""5"" /&gt;_x000D_&lt;param n=""StoredProcessID"" v=""A'"</definedName>
    <definedName name="_AMO_ContentDefinition_223786361.5" hidden="1">"'5GF11T9.AR001B2J"" /&gt;_x000D_&lt;param n=""StoredProcessPath"" v=""Monthly Data Load/Vestas Management/STAFS/Import Annual Report Package for Vestas Management STAFS"" /&gt;_x000D_&lt;param n=""RepositoryName"" v=""Detail Data Store"" /&gt;_x000D_&lt;param n=""ClassName"" v='"</definedName>
    <definedName name="_AMO_ContentDefinition_223786361.6" hidden="1">"'""SAS.OfficeAddin.StoredProcess"" /&gt;_x000D_&lt;param n=""NoVisuals"" v=""1"" /&gt;_x000D_&lt;/ContentDefinition&gt;'"</definedName>
    <definedName name="_AMO_ContentDefinition_30291749" hidden="1">"'Partitions:5'"</definedName>
    <definedName name="_AMO_ContentDefinition_30291749.0" hidden="1">"'&lt;ContentDefinition name=""Update users"" rsid=""30291749"" type=""StoredProcess"" format=""REPORTXML"" imgfmt=""ACTIVEX"" created=""01/23/2007 15:26:32"" modifed=""01/23/2007 15:26:32"" user=""Hans Munk Grøndahl"" apply=""False"" thread=""BACKGROUND'"</definedName>
    <definedName name="_AMO_ContentDefinition_30291749.1" hidden="1">"'"" css=""C:\Program Files\SAS\Shared Files\BIClientStyles\AMODefault.css"" range=""Update_users"" auto=""False"" rdc=""False"" mig=""False"" xTime=""00:00:51.7654674"" rTime=""00:00:01.8527010"" bgnew=""False"" nFmt=""False"" grphSet=""False"" img'"</definedName>
    <definedName name="_AMO_ContentDefinition_30291749.2" hidden="1">"'Y=""0"" imgX=""0""&gt;_x000D_&lt;files /&gt;_x000D_&lt;param n=""DisplayName"" v=""Update users"" /&gt;_x000D_&lt;param n=""ServerName"" v=""SASMain"" /&gt;_x000D_&lt;param n=""ResultsOnServer"" v=""False"" /&gt;_x000D_&lt;param n=""AMO_Version"" v=""2.1"" /&gt;_x000D_&lt;param n=""UIParameters"" v=""0'"</definedName>
    <definedName name="_AMO_ContentDefinition_30291749.3" hidden="1">"'"" /&gt;_x000D_&lt;param n=""StoredProcessID"" v=""A5GF11T9.AR0018R5"" /&gt;_x000D_&lt;param n=""StoredProcessPath"" v=""Administration/User update/Update users"" /&gt;_x000D_&lt;param n=""RepositoryName"" v=""Detail Data Store"" /&gt;_x000D_&lt;param n=""ClassName"" v=""SAS.OfficeAddi'"</definedName>
    <definedName name="_AMO_ContentDefinition_30291749.4" hidden="1">"'n.StoredProcess"" /&gt;_x000D_&lt;param n=""NoVisuals"" v=""1"" /&gt;_x000D_&lt;/ContentDefinition&gt;'"</definedName>
    <definedName name="_AMO_ContentDefinition_416475050" hidden="1">"'Partitions:7'"</definedName>
    <definedName name="_AMO_ContentDefinition_416475050.0" hidden="1">"'&lt;ContentDefinition name=""Import Annual Report Package for Vestas Management TECH"" rsid=""416475050"" type=""StoredProcess"" format=""REPORTXML"" imgfmt=""ACTIVEX"" created=""01/09/2007 14:49:31"" modifed=""01/09/2007 14:49:31"" user=""Mogens Bakhol'"</definedName>
    <definedName name="_AMO_ContentDefinition_416475050.1" hidden="1">"'dt Andersen"" apply=""False"" thread=""BACKGROUND"" css=""C:\Program Files\SAS\Shared Files\BIClientStyles\AMODefault.css"" range=""Import_Annual_Report_Package_for_Vestas_Management_TECH"" auto=""False"" rdc=""False"" mig=""False"" xTime=""00:00:33'"</definedName>
    <definedName name="_AMO_ContentDefinition_416475050.2" hidden="1">"'.4794764"" rTime=""00:00:00.9514060"" bgnew=""False"" nFmt=""False"" grphSet=""False"" imgY=""0"" imgX=""0""&gt;_x000D_&lt;files /&gt;_x000D_&lt;param n=""DisplayName"" v=""Import Annual Report Package for Vestas Management TECH"" /&gt;_x000D_&lt;param n=""ServerName"" v=""SAS'"</definedName>
    <definedName name="_AMO_ContentDefinition_416475050.3" hidden="1">"'Main"" /&gt;_x000D_&lt;param n=""ResultsOnServer"" v=""False"" /&gt;_x000D_&lt;param n=""AMO_Version"" v=""2.1"" /&gt;_x000D_&lt;param n=""UIParameter_0"" v=""analysis::ACTUAL"" /&gt;_x000D_&lt;param n=""UIParameter_1"" v=""period::200612"" /&gt;_x000D_&lt;param n=""UIParameter_2"" v=""location:'"</definedName>
    <definedName name="_AMO_ContentDefinition_416475050.4" hidden="1">"':\\rifile\group\_Docs\Financial_reporting\Management\Technology\"" /&gt;_x000D_&lt;param n=""UIParameter_3"" v=""cycle::Vestas"" /&gt;_x000D_&lt;param n=""UIParameter_4"" v=""actiontype::1"" /&gt;_x000D_&lt;param n=""UIParameters"" v=""5"" /&gt;_x000D_&lt;param n=""StoredProcessID"" v='"</definedName>
    <definedName name="_AMO_ContentDefinition_416475050.5" hidden="1">"'""A5GF11T9.AR000YQD"" /&gt;_x000D_&lt;param n=""StoredProcessPath"" v=""Monthly Data Load/Vestas Technology/Import Annual Report Package for Vestas Management TECH"" /&gt;_x000D_&lt;param n=""RepositoryName"" v=""Detail Data Store"" /&gt;_x000D_&lt;param n=""ClassName"" v=""SAS'"</definedName>
    <definedName name="_AMO_ContentDefinition_416475050.6" hidden="1">"'.OfficeAddin.StoredProcess"" /&gt;_x000D_&lt;param n=""NoVisuals"" v=""1"" /&gt;_x000D_&lt;/ContentDefinition&gt;'"</definedName>
    <definedName name="_AMO_ContentDefinition_4525320" hidden="1">"'Partitions:5'"</definedName>
    <definedName name="_AMO_ContentDefinition_4525320.0" hidden="1">"'&lt;ContentDefinition name=""Open-Close Period Management - CF"" rsid=""4525320"" type=""StoredProcess"" format=""REPORTXML"" imgfmt=""ACTIVEX"" created=""01/12/2007 10:49:06"" modifed=""01/12/2007 10:49:06"" user=""Mogens Bakholdt Andersen"" apply=""F'"</definedName>
    <definedName name="_AMO_ContentDefinition_4525320.1" hidden="1">"'alse"" thread=""BACKGROUND"" css=""C:\Program Files\SAS\Shared Files\BIClientStyles\AMODefault.css"" range=""Open_Close_Period_Management___CF"" auto=""False"" rdc=""False"" mig=""False"" xTime=""00:01:02.4303930"" rTime=""00:00:00.9613920"" bgnew'"</definedName>
    <definedName name="_AMO_ContentDefinition_4525320.2" hidden="1">"'=""False"" nFmt=""False"" grphSet=""False"" imgY=""0"" imgX=""0""&gt;_x000D_&lt;files /&gt;_x000D_&lt;param n=""DisplayName"" v=""Open-Close Period Management - CF"" /&gt;_x000D_&lt;param n=""ServerName"" v=""SASMain"" /&gt;_x000D_&lt;param n=""ResultsOnServer"" v=""False"" /&gt;_x000D_&lt;pa'"</definedName>
    <definedName name="_AMO_ContentDefinition_4525320.3" hidden="1">"'ram n=""AMO_Version"" v=""2.1"" /&gt;_x000D_&lt;param n=""UIParameters"" v=""0"" /&gt;_x000D_&lt;param n=""StoredProcessID"" v=""A5GF11T9.AR001B35"" /&gt;_x000D_&lt;param n=""StoredProcessPath"" v=""Administration/Time Management/Open-Close Period Management - CF"" /&gt;_x000D_&lt;para'"</definedName>
    <definedName name="_AMO_ContentDefinition_4525320.4" hidden="1">"'m n=""RepositoryName"" v=""Detail Data Store"" /&gt;_x000D_&lt;param n=""ClassName"" v=""SAS.OfficeAddin.StoredProcess"" /&gt;_x000D_&lt;param n=""NoVisuals"" v=""1"" /&gt;_x000D_&lt;/ContentDefinition&gt;'"</definedName>
    <definedName name="_AMO_ContentDefinition_52677921" hidden="1">"'Partitions:7'"</definedName>
    <definedName name="_AMO_ContentDefinition_52677921.0" hidden="1">"'&lt;ContentDefinition name=""CF Import (weekly) for Vestas Asia Pacific"" rsid=""52677921"" type=""StoredProcess"" format=""REPORTXML"" imgfmt=""ACTIVEX"" created=""01/02/2007 15:34:37"" modifed=""01/02/2007 15:34:37"" user=""Mogens Bakholdt Andersen""'"</definedName>
    <definedName name="_AMO_ContentDefinition_52677921.1" hidden="1">"' apply=""False"" thread=""BACKGROUND"" css=""C:\Program Files\SAS\Shared Files\BIClientStyles\AMODefault.css"" range=""CF_Import__weekly__for_Vestas_Asia_Pacific"" auto=""False"" rdc=""False"" mig=""False"" xTime=""00:00:18.8873470"" rTime=""00:00:0'"</definedName>
    <definedName name="_AMO_ContentDefinition_52677921.2" hidden="1">"'0.6910005"" bgnew=""False"" nFmt=""False"" grphSet=""False"" imgY=""0"" imgX=""0""&gt;_x000D_&lt;files /&gt;_x000D_&lt;param n=""DisplayName"" v=""CF Import (weekly) for Vestas Asia Pacific"" /&gt;_x000D_&lt;param n=""ServerName"" v=""SASMain"" /&gt;_x000D_&lt;param n=""ResultsOnServ'"</definedName>
    <definedName name="_AMO_ContentDefinition_52677921.3" hidden="1">"'er"" v=""False"" /&gt;_x000D_&lt;param n=""AMO_Version"" v=""2.1"" /&gt;_x000D_&lt;param n=""UIParameter_0"" v=""analysis::CFR"" /&gt;_x000D_&lt;param n=""UIParameter_1"" v=""period::w52-2006"" /&gt;_x000D_&lt;param n=""UIParameter_2"" v=""location::\\rifile\group\_Docs\Financial_report'"</definedName>
    <definedName name="_AMO_ContentDefinition_52677921.4" hidden="1">"'ing\Asia Pacific\Local Finance\"" /&gt;_x000D_&lt;param n=""UIParameter_3"" v=""cycle::Vestas_CF"" /&gt;_x000D_&lt;param n=""UIParameter_4"" v=""actiontype::1"" /&gt;_x000D_&lt;param n=""UIParameters"" v=""5"" /&gt;_x000D_&lt;param n=""StoredProcessID"" v=""A5GF11T9.AR0012L8"" /&gt;_x000D_&lt;p'"</definedName>
    <definedName name="_AMO_ContentDefinition_52677921.5" hidden="1">"'aram n=""StoredProcessPath"" v=""Cash Flow Reporting/Vestas BU CF Asia_Pacific/CF Import (weekly) for Vestas Asia Pacific"" /&gt;_x000D_&lt;param n=""RepositoryName"" v=""Detail Data Store"" /&gt;_x000D_&lt;param n=""ClassName"" v=""SAS.OfficeAddin.StoredProcess"" /&gt;_x000D_'"</definedName>
    <definedName name="_AMO_ContentDefinition_52677921.6" hidden="1">"'&lt;param n=""NoVisuals"" v=""1"" /&gt;_x000D_&lt;/ContentDefinition&gt;'"</definedName>
    <definedName name="_AMO_ContentDefinition_796285770" hidden="1">"'Partitions:7'"</definedName>
    <definedName name="_AMO_ContentDefinition_796285770.0" hidden="1">"'&lt;ContentDefinition name=""Import Annual Report Package for Vestas Management STAFS"" rsid=""796285770"" type=""StoredProcess"" format=""REPORTXML"" imgfmt=""ACTIVEX"" created=""01/10/2007 15:16:04"" modifed=""01/10/2007 15:16:04"" user=""Mogens Bakho'"</definedName>
    <definedName name="_AMO_ContentDefinition_796285770.1" hidden="1">"'ldt Andersen"" apply=""False"" thread=""BACKGROUND"" css=""C:\Program Files\SAS\Shared Files\BIClientStyles\AMODefault.css"" range=""Import_Annual_Report_Package_for_Vestas_Management_STAFS_2"" auto=""False"" rdc=""False"" mig=""False"" xTime=""00:00'"</definedName>
    <definedName name="_AMO_ContentDefinition_796285770.2" hidden="1">"':44.9855832"" rTime=""00:00:01.4421024"" bgnew=""False"" nFmt=""False"" grphSet=""False"" imgY=""0"" imgX=""0""&gt;_x000D_&lt;files /&gt;_x000D_&lt;param n=""DisplayName"" v=""Import Annual Report Package for Vestas Management STAFS"" /&gt;_x000D_&lt;param n=""ServerName"" v='"</definedName>
    <definedName name="_AMO_ContentDefinition_796285770.3" hidden="1">"'""SASMain"" /&gt;_x000D_&lt;param n=""ResultsOnServer"" v=""False"" /&gt;_x000D_&lt;param n=""AMO_Version"" v=""2.1"" /&gt;_x000D_&lt;param n=""UIParameter_0"" v=""analysis::ACTUAL"" /&gt;_x000D_&lt;param n=""UIParameter_1"" v=""period::200612"" /&gt;_x000D_&lt;param n=""UIParameter_2"" v=""loca'"</definedName>
    <definedName name="_AMO_ContentDefinition_796285770.4" hidden="1">"'tion::\\rifile\group\_Docs\Financial_reporting\Management\Stafs\"" /&gt;_x000D_&lt;param n=""UIParameter_3"" v=""cycle::Vestas"" /&gt;_x000D_&lt;param n=""UIParameter_4"" v=""actiontype::1"" /&gt;_x000D_&lt;param n=""UIParameters"" v=""5"" /&gt;_x000D_&lt;param n=""StoredProcessID"" v='"</definedName>
    <definedName name="_AMO_ContentDefinition_796285770.5" hidden="1">"'""A5GF11T9.AR001B2J"" /&gt;_x000D_&lt;param n=""StoredProcessPath"" v=""Monthly Data Load/Vestas Management/STAFS/Import Annual Report Package for Vestas Management STAFS"" /&gt;_x000D_&lt;param n=""RepositoryName"" v=""Detail Data Store"" /&gt;_x000D_&lt;param n=""ClassName""'"</definedName>
    <definedName name="_AMO_ContentDefinition_796285770.6" hidden="1">"' v=""SAS.OfficeAddin.StoredProcess"" /&gt;_x000D_&lt;param n=""NoVisuals"" v=""1"" /&gt;_x000D_&lt;/ContentDefinition&gt;'"</definedName>
    <definedName name="_AMO_ContentDefinition_881335414" hidden="1">"'Partitions:7'"</definedName>
    <definedName name="_AMO_ContentDefinition_881335414.0" hidden="1">"'&lt;ContentDefinition name=""Import Monthly Mapics Data for FD65"" rsid=""881335414"" type=""StoredProcess"" format=""REPORTXML"" imgfmt=""ACTIVEX"" created=""02/14/2007 14:03:57"" modifed=""02/14/2007 14:03:57"" user=""Hans Munk Grøndahl"" apply=""Fal'"</definedName>
    <definedName name="_AMO_ContentDefinition_881335414.1" hidden="1">"'se"" thread=""BACKGROUND"" css=""C:\Program Files\SAS\Shared Files\BIClientStyles\AMODefault.css"" range=""Import_Monthly_Mapics_Data_for_FD65"" auto=""False"" rdc=""False"" mig=""False"" xTime=""00:00:43.1942637"" rTime=""00:00:01.2418476"" bgnew'"</definedName>
    <definedName name="_AMO_ContentDefinition_881335414.2" hidden="1">"'=""False"" nFmt=""False"" grphSet=""False"" imgY=""0"" imgX=""0""&gt;_x000D_&lt;files /&gt;_x000D_&lt;param n=""DisplayName"" v=""Import Monthly Mapics Data for FD65"" /&gt;_x000D_&lt;param n=""ServerName"" v=""SASMain"" /&gt;_x000D_&lt;param n=""ResultsOnServer"" v=""False"" /&gt;_x000D_&lt;'"</definedName>
    <definedName name="_AMO_ContentDefinition_881335414.3" hidden="1">"'param n=""AMO_Version"" v=""2.1"" /&gt;_x000D_&lt;param n=""UIParameter_0"" v=""analysis::ACTUAL"" /&gt;_x000D_&lt;param n=""UIParameter_1"" v=""period::200701"" /&gt;_x000D_&lt;param n=""UIParameter_2"" v=""cycle::Vestas"" /&gt;_x000D_&lt;param n=""UIParameter_3"" v=""acttype::1"" /&gt;_x000D_'"</definedName>
    <definedName name="_AMO_ContentDefinition_881335414.4" hidden="1">"'&lt;param n=""UIParameter_4"" v=""fd::65"" /&gt;_x000D_&lt;param n=""UIParameter_5"" v=""country::DK"" /&gt;_x000D_&lt;param n=""UIParameter_6"" v=""currency::DKK"" /&gt;_x000D_&lt;param n=""UIParameter_7"" v=""schema::AMFLIBL"" /&gt;_x000D_&lt;param n=""UIParameters"" v=""8"" /&gt;_x000D_&lt;p'"</definedName>
    <definedName name="_AMO_ContentDefinition_881335414.5" hidden="1">"'aram n=""StoredProcessID"" v=""A5GF11T9.AR000CCQ"" /&gt;_x000D_&lt;param n=""StoredProcessPath"" v=""Monthly Data Load/Vestas BU Blades/Import Monthly Mapics Data for FD65"" /&gt;_x000D_&lt;param n=""RepositoryName"" v=""Detail Data Store"" /&gt;_x000D_&lt;param n=""ClassName'"</definedName>
    <definedName name="_AMO_ContentDefinition_881335414.6" hidden="1">"'"" v=""SAS.OfficeAddin.StoredProcess"" /&gt;_x000D_&lt;param n=""NoVisuals"" v=""1"" /&gt;_x000D_&lt;/ContentDefinition&gt;'"</definedName>
    <definedName name="_AMO_ContentDefinition_929192700" hidden="1">"'Partitions:7'"</definedName>
    <definedName name="_AMO_ContentDefinition_929192700.0" hidden="1">"'&lt;ContentDefinition name=""CF Import (weekly) for Vestas Asia Pacific"" rsid=""929192700"" type=""StoredProcess"" format=""REPORTXML"" imgfmt=""ACTIVEX"" created=""01/08/2007 14:25:38"" modifed=""01/08/2007 14:25:38"" user=""Mogens Bakholdt Andersen'"</definedName>
    <definedName name="_AMO_ContentDefinition_929192700.1" hidden="1">"'"" apply=""False"" thread=""BACKGROUND"" css=""C:\Program Files\SAS\Shared Files\BIClientStyles\AMODefault.css"" range=""CF_Import__weekly__for_Vestas_Asia_Pacific_2"" auto=""False"" rdc=""False"" mig=""False"" xTime=""00:13:53.4831947"" rTime=""00:0'"</definedName>
    <definedName name="_AMO_ContentDefinition_929192700.2" hidden="1">"'0:00.2603822"" bgnew=""False"" nFmt=""False"" grphSet=""False"" imgY=""0"" imgX=""0""&gt;_x000D_&lt;files /&gt;_x000D_&lt;param n=""DisplayName"" v=""CF Import (weekly) for Vestas Asia Pacific"" /&gt;_x000D_&lt;param n=""ServerName"" v=""SASMain"" /&gt;_x000D_&lt;param n=""ResultsOnS'"</definedName>
    <definedName name="_AMO_ContentDefinition_929192700.3" hidden="1">"'erver"" v=""False"" /&gt;_x000D_&lt;param n=""AMO_Version"" v=""2.1"" /&gt;_x000D_&lt;param n=""UIParameter_0"" v=""analysis::CFR"" /&gt;_x000D_&lt;param n=""UIParameter_1"" v=""period::w01-2007"" /&gt;_x000D_&lt;param n=""UIParameter_2"" v=""location::\\rifile\group\_Docs\Financial_rep'"</definedName>
    <definedName name="_AMO_ContentDefinition_929192700.4" hidden="1">"'orting\Asia Pacific\Local Finance\"" /&gt;_x000D_&lt;param n=""UIParameter_3"" v=""cycle::Vestas_CF"" /&gt;_x000D_&lt;param n=""UIParameter_4"" v=""actiontype::1"" /&gt;_x000D_&lt;param n=""UIParameters"" v=""5"" /&gt;_x000D_&lt;param n=""StoredProcessID"" v=""A5GF11T9.AR0012L8"" /&gt;_x000D_ '"</definedName>
    <definedName name="_AMO_ContentDefinition_929192700.5" hidden="1">"' &lt;param n=""StoredProcessPath"" v=""Cash Flow Reporting/Vestas BU CF Asia_Pacific/CF Import (weekly) for Vestas Asia Pacific"" /&gt;_x000D_&lt;param n=""RepositoryName"" v=""Detail Data Store"" /&gt;_x000D_&lt;param n=""ClassName"" v=""SAS.OfficeAddin.StoredProcess"" /'"</definedName>
    <definedName name="_AMO_ContentDefinition_929192700.6" hidden="1">"'&gt;_x000D_&lt;param n=""NoVisuals"" v=""1"" /&gt;_x000D_&lt;/ContentDefinition&gt;'"</definedName>
    <definedName name="_AMO_ContentDefinition_953498695" hidden="1">"'Partitions:5'"</definedName>
    <definedName name="_AMO_ContentDefinition_953498695.0" hidden="1">"'&lt;ContentDefinition name=""Opdate Formats and Tables"" rsid=""953498695"" type=""StoredProcess"" format=""REPORTXML"" imgfmt=""ACTIVEX"" created=""02/07/2007 14:32:07"" modifed=""02/07/2007 14:32:07"" user=""Hans Munk Grøndahl"" apply=""False"" thre'"</definedName>
    <definedName name="_AMO_ContentDefinition_953498695.1" hidden="1">"'ad=""BACKGROUND"" css=""C:\Program Files\SAS\Shared Files\BIClientStyles\AMODefault.css"" range=""Opdate_Formats_and_Tables"" auto=""False"" rdc=""False"" mig=""False"" xTime=""00:00:30.0160000"" rTime=""00:00:00.4840000"" bgnew=""False"" nFmt=""Fa'"</definedName>
    <definedName name="_AMO_ContentDefinition_953498695.2" hidden="1">"'lse"" grphSet=""False"" imgY=""0"" imgX=""0""&gt;_x000D_&lt;files /&gt;_x000D_&lt;param n=""DisplayName"" v=""Opdate Formats and Tables"" /&gt;_x000D_&lt;param n=""ServerName"" v=""SASMain"" /&gt;_x000D_&lt;param n=""ResultsOnServer"" v=""False"" /&gt;_x000D_&lt;param n=""AMO_Version"" v=""2.1'"</definedName>
    <definedName name="_AMO_ContentDefinition_953498695.3" hidden="1">"'"" /&gt;_x000D_&lt;param n=""UIParameters"" v=""0"" /&gt;_x000D_&lt;param n=""StoredProcessID"" v=""A5GF11T9.AR0012KX"" /&gt;_x000D_&lt;param n=""StoredProcessPath"" v=""Administration/Opdate Formats and Tables"" /&gt;_x000D_&lt;param n=""RepositoryName"" v=""Detail Data Store"" /&gt;_x000D_  '"</definedName>
    <definedName name="_AMO_ContentDefinition_953498695.4" hidden="1">"'&lt;param n=""ClassName"" v=""SAS.OfficeAddin.StoredProcess"" /&gt;_x000D_&lt;param n=""NoVisuals"" v=""1"" /&gt;_x000D_&lt;/ContentDefinition&gt;'"</definedName>
    <definedName name="_AMO_XmlVersion" hidden="1">"'1'"</definedName>
    <definedName name="_App2">{"Client Name or Project Name"}</definedName>
    <definedName name="_Aug08" localSheetId="22">#REF!</definedName>
    <definedName name="_Aug08" localSheetId="23">#REF!</definedName>
    <definedName name="_Aug08">#REF!</definedName>
    <definedName name="_b2" hidden="1">{#N/A,#N/A,FALSE,"Virgin Flightdeck"}</definedName>
    <definedName name="_b2_1" hidden="1">{#N/A,#N/A,FALSE,"Virgin Flightdeck"}</definedName>
    <definedName name="_b2_1_1" hidden="1">{#N/A,#N/A,FALSE,"Virgin Flightdeck"}</definedName>
    <definedName name="_b3" hidden="1">{#N/A,#N/A,FALSE,"Virgin Flightdeck"}</definedName>
    <definedName name="_b3_1" hidden="1">{#N/A,#N/A,FALSE,"Virgin Flightdeck"}</definedName>
    <definedName name="_b3_1_1" hidden="1">{#N/A,#N/A,FALSE,"Virgin Flightdeck"}</definedName>
    <definedName name="_bdm.00F15E57F23F4487A4B12F6DFD9B3626.edm" localSheetId="22" hidden="1">#REF!</definedName>
    <definedName name="_bdm.00F15E57F23F4487A4B12F6DFD9B3626.edm" localSheetId="23" hidden="1">#REF!</definedName>
    <definedName name="_bdm.00F15E57F23F4487A4B12F6DFD9B3626.edm" localSheetId="51" hidden="1">#REF!</definedName>
    <definedName name="_bdm.00F15E57F23F4487A4B12F6DFD9B3626.edm" hidden="1">#REF!</definedName>
    <definedName name="_bdm.08BDE7BD22C44CE28F5D0D5B51189703.edm" localSheetId="22" hidden="1">#REF!</definedName>
    <definedName name="_bdm.08BDE7BD22C44CE28F5D0D5B51189703.edm" localSheetId="23" hidden="1">#REF!</definedName>
    <definedName name="_bdm.08BDE7BD22C44CE28F5D0D5B51189703.edm" localSheetId="51" hidden="1">#REF!</definedName>
    <definedName name="_bdm.08BDE7BD22C44CE28F5D0D5B51189703.edm" hidden="1">#REF!</definedName>
    <definedName name="_bdm.1391F296018E4F11AC41EB0D3E8579DE.edm" localSheetId="22" hidden="1">#REF!</definedName>
    <definedName name="_bdm.1391F296018E4F11AC41EB0D3E8579DE.edm" localSheetId="23" hidden="1">#REF!</definedName>
    <definedName name="_bdm.1391F296018E4F11AC41EB0D3E8579DE.edm" localSheetId="51" hidden="1">#REF!</definedName>
    <definedName name="_bdm.1391F296018E4F11AC41EB0D3E8579DE.edm" hidden="1">#REF!</definedName>
    <definedName name="_bdm.20391623561240B2B1EABBD67CD1E618.edm" localSheetId="22" hidden="1">#REF!</definedName>
    <definedName name="_bdm.20391623561240B2B1EABBD67CD1E618.edm" localSheetId="23" hidden="1">#REF!</definedName>
    <definedName name="_bdm.20391623561240B2B1EABBD67CD1E618.edm" localSheetId="51" hidden="1">#REF!</definedName>
    <definedName name="_bdm.20391623561240B2B1EABBD67CD1E618.edm" hidden="1">#REF!</definedName>
    <definedName name="_bdm.2089412A858F440D933FDC4C6076D227.edm" localSheetId="22" hidden="1">#REF!</definedName>
    <definedName name="_bdm.2089412A858F440D933FDC4C6076D227.edm" localSheetId="23" hidden="1">#REF!</definedName>
    <definedName name="_bdm.2089412A858F440D933FDC4C6076D227.edm" localSheetId="51" hidden="1">#REF!</definedName>
    <definedName name="_bdm.2089412A858F440D933FDC4C6076D227.edm" hidden="1">#REF!</definedName>
    <definedName name="_bdm.24F6897F643A4D3095D22180081521B2.edm" localSheetId="22" hidden="1">#REF!</definedName>
    <definedName name="_bdm.24F6897F643A4D3095D22180081521B2.edm" localSheetId="23" hidden="1">#REF!</definedName>
    <definedName name="_bdm.24F6897F643A4D3095D22180081521B2.edm" localSheetId="51" hidden="1">#REF!</definedName>
    <definedName name="_bdm.24F6897F643A4D3095D22180081521B2.edm" hidden="1">#REF!</definedName>
    <definedName name="_bdm.269A87A5BA1947A08BF2392CCAAF3C34.edm" localSheetId="22" hidden="1">#REF!</definedName>
    <definedName name="_bdm.269A87A5BA1947A08BF2392CCAAF3C34.edm" localSheetId="23" hidden="1">#REF!</definedName>
    <definedName name="_bdm.269A87A5BA1947A08BF2392CCAAF3C34.edm" localSheetId="51" hidden="1">#REF!</definedName>
    <definedName name="_bdm.269A87A5BA1947A08BF2392CCAAF3C34.edm" hidden="1">#REF!</definedName>
    <definedName name="_bdm.269E9A8900B843BA8B8696E6D8E671B0.edm" localSheetId="22" hidden="1">#REF!</definedName>
    <definedName name="_bdm.269E9A8900B843BA8B8696E6D8E671B0.edm" localSheetId="23" hidden="1">#REF!</definedName>
    <definedName name="_bdm.269E9A8900B843BA8B8696E6D8E671B0.edm" localSheetId="51" hidden="1">#REF!</definedName>
    <definedName name="_bdm.269E9A8900B843BA8B8696E6D8E671B0.edm" hidden="1">#REF!</definedName>
    <definedName name="_bdm.2798E9889B2443419E70413B48B8285F.edm" localSheetId="22" hidden="1">#REF!</definedName>
    <definedName name="_bdm.2798E9889B2443419E70413B48B8285F.edm" localSheetId="23" hidden="1">#REF!</definedName>
    <definedName name="_bdm.2798E9889B2443419E70413B48B8285F.edm" localSheetId="51" hidden="1">#REF!</definedName>
    <definedName name="_bdm.2798E9889B2443419E70413B48B8285F.edm" hidden="1">#REF!</definedName>
    <definedName name="_bdm.2CC98A3865B1492B8F5444FACFF15B23.edm" localSheetId="22" hidden="1">#REF!</definedName>
    <definedName name="_bdm.2CC98A3865B1492B8F5444FACFF15B23.edm" localSheetId="23" hidden="1">#REF!</definedName>
    <definedName name="_bdm.2CC98A3865B1492B8F5444FACFF15B23.edm" localSheetId="51" hidden="1">#REF!</definedName>
    <definedName name="_bdm.2CC98A3865B1492B8F5444FACFF15B23.edm" hidden="1">#REF!</definedName>
    <definedName name="_bdm.3E999AE41FD049FF934A4835F435E693.edm" localSheetId="22" hidden="1">#REF!</definedName>
    <definedName name="_bdm.3E999AE41FD049FF934A4835F435E693.edm" localSheetId="23" hidden="1">#REF!</definedName>
    <definedName name="_bdm.3E999AE41FD049FF934A4835F435E693.edm" localSheetId="51" hidden="1">#REF!</definedName>
    <definedName name="_bdm.3E999AE41FD049FF934A4835F435E693.edm" hidden="1">#REF!</definedName>
    <definedName name="_bdm.4F143A8903A34DF0BE90F9BE600C63FF.edm" localSheetId="22" hidden="1">#REF!</definedName>
    <definedName name="_bdm.4F143A8903A34DF0BE90F9BE600C63FF.edm" localSheetId="23" hidden="1">#REF!</definedName>
    <definedName name="_bdm.4F143A8903A34DF0BE90F9BE600C63FF.edm" localSheetId="51" hidden="1">#REF!</definedName>
    <definedName name="_bdm.4F143A8903A34DF0BE90F9BE600C63FF.edm" hidden="1">#REF!</definedName>
    <definedName name="_bdm.5010A66FDA1D4A5C89B061EBD267E018.edm" localSheetId="22" hidden="1">#REF!</definedName>
    <definedName name="_bdm.5010A66FDA1D4A5C89B061EBD267E018.edm" localSheetId="23" hidden="1">#REF!</definedName>
    <definedName name="_bdm.5010A66FDA1D4A5C89B061EBD267E018.edm" localSheetId="51" hidden="1">#REF!</definedName>
    <definedName name="_bdm.5010A66FDA1D4A5C89B061EBD267E018.edm" hidden="1">#REF!</definedName>
    <definedName name="_bdm.52B1429C5B824DC5A8D67DDDD7440A42.edm" localSheetId="22" hidden="1">#REF!</definedName>
    <definedName name="_bdm.52B1429C5B824DC5A8D67DDDD7440A42.edm" localSheetId="23" hidden="1">#REF!</definedName>
    <definedName name="_bdm.52B1429C5B824DC5A8D67DDDD7440A42.edm" localSheetId="51" hidden="1">#REF!</definedName>
    <definedName name="_bdm.52B1429C5B824DC5A8D67DDDD7440A42.edm" hidden="1">#REF!</definedName>
    <definedName name="_bdm.5C14DE57E1DE4731B240752EF6F87992.edm" localSheetId="22" hidden="1">#REF!</definedName>
    <definedName name="_bdm.5C14DE57E1DE4731B240752EF6F87992.edm" localSheetId="23" hidden="1">#REF!</definedName>
    <definedName name="_bdm.5C14DE57E1DE4731B240752EF6F87992.edm" localSheetId="51" hidden="1">#REF!</definedName>
    <definedName name="_bdm.5C14DE57E1DE4731B240752EF6F87992.edm" hidden="1">#REF!</definedName>
    <definedName name="_bdm.61C626F9AC904D82AFA3751F239AFC9D.edm" localSheetId="22" hidden="1">#REF!</definedName>
    <definedName name="_bdm.61C626F9AC904D82AFA3751F239AFC9D.edm" localSheetId="23" hidden="1">#REF!</definedName>
    <definedName name="_bdm.61C626F9AC904D82AFA3751F239AFC9D.edm" localSheetId="51" hidden="1">#REF!</definedName>
    <definedName name="_bdm.61C626F9AC904D82AFA3751F239AFC9D.edm" hidden="1">#REF!</definedName>
    <definedName name="_bdm.6E398E79F289447CB18971BBBFB150E9.edm" localSheetId="22" hidden="1">#REF!</definedName>
    <definedName name="_bdm.6E398E79F289447CB18971BBBFB150E9.edm" localSheetId="23" hidden="1">#REF!</definedName>
    <definedName name="_bdm.6E398E79F289447CB18971BBBFB150E9.edm" localSheetId="51" hidden="1">#REF!</definedName>
    <definedName name="_bdm.6E398E79F289447CB18971BBBFB150E9.edm" hidden="1">#REF!</definedName>
    <definedName name="_bdm.6EDC14A313E04D06AB5549D45D4E7113.edm" localSheetId="22" hidden="1">#REF!</definedName>
    <definedName name="_bdm.6EDC14A313E04D06AB5549D45D4E7113.edm" localSheetId="23" hidden="1">#REF!</definedName>
    <definedName name="_bdm.6EDC14A313E04D06AB5549D45D4E7113.edm" localSheetId="51" hidden="1">#REF!</definedName>
    <definedName name="_bdm.6EDC14A313E04D06AB5549D45D4E7113.edm" hidden="1">#REF!</definedName>
    <definedName name="_bdm.7C9B8B76F3D44EAA99D648133627DA83.edm" localSheetId="22" hidden="1">#REF!</definedName>
    <definedName name="_bdm.7C9B8B76F3D44EAA99D648133627DA83.edm" localSheetId="23" hidden="1">#REF!</definedName>
    <definedName name="_bdm.7C9B8B76F3D44EAA99D648133627DA83.edm" localSheetId="51" hidden="1">#REF!</definedName>
    <definedName name="_bdm.7C9B8B76F3D44EAA99D648133627DA83.edm" hidden="1">#REF!</definedName>
    <definedName name="_bdm.7CAA823E6254450BA438245FC3BC22F5.edm" localSheetId="22" hidden="1">#REF!</definedName>
    <definedName name="_bdm.7CAA823E6254450BA438245FC3BC22F5.edm" localSheetId="23" hidden="1">#REF!</definedName>
    <definedName name="_bdm.7CAA823E6254450BA438245FC3BC22F5.edm" localSheetId="51" hidden="1">#REF!</definedName>
    <definedName name="_bdm.7CAA823E6254450BA438245FC3BC22F5.edm" hidden="1">#REF!</definedName>
    <definedName name="_bdm.810D9907712147CCB68C743A02D482F7.edm" localSheetId="22" hidden="1">#REF!</definedName>
    <definedName name="_bdm.810D9907712147CCB68C743A02D482F7.edm" localSheetId="23" hidden="1">#REF!</definedName>
    <definedName name="_bdm.810D9907712147CCB68C743A02D482F7.edm" localSheetId="51" hidden="1">#REF!</definedName>
    <definedName name="_bdm.810D9907712147CCB68C743A02D482F7.edm" hidden="1">#REF!</definedName>
    <definedName name="_bdm.850AE4BD2D5F4500BB3E0D8176B1F489.edm" localSheetId="22" hidden="1">#REF!</definedName>
    <definedName name="_bdm.850AE4BD2D5F4500BB3E0D8176B1F489.edm" localSheetId="23" hidden="1">#REF!</definedName>
    <definedName name="_bdm.850AE4BD2D5F4500BB3E0D8176B1F489.edm" localSheetId="51" hidden="1">#REF!</definedName>
    <definedName name="_bdm.850AE4BD2D5F4500BB3E0D8176B1F489.edm" hidden="1">#REF!</definedName>
    <definedName name="_bdm.87F863D88610437AA57CDCC66CC8CF42.edm" localSheetId="22" hidden="1">#REF!</definedName>
    <definedName name="_bdm.87F863D88610437AA57CDCC66CC8CF42.edm" localSheetId="23" hidden="1">#REF!</definedName>
    <definedName name="_bdm.87F863D88610437AA57CDCC66CC8CF42.edm" localSheetId="51" hidden="1">#REF!</definedName>
    <definedName name="_bdm.87F863D88610437AA57CDCC66CC8CF42.edm" hidden="1">#REF!</definedName>
    <definedName name="_bdm.96F5526D5AE245D1A7838FB955649623.edm" localSheetId="22" hidden="1">#REF!</definedName>
    <definedName name="_bdm.96F5526D5AE245D1A7838FB955649623.edm" localSheetId="23" hidden="1">#REF!</definedName>
    <definedName name="_bdm.96F5526D5AE245D1A7838FB955649623.edm" localSheetId="51" hidden="1">#REF!</definedName>
    <definedName name="_bdm.96F5526D5AE245D1A7838FB955649623.edm" hidden="1">#REF!</definedName>
    <definedName name="_bdm.A8544A84F9A14D60A8B9990AD19421C2.edm" localSheetId="22" hidden="1">#REF!</definedName>
    <definedName name="_bdm.A8544A84F9A14D60A8B9990AD19421C2.edm" localSheetId="23" hidden="1">#REF!</definedName>
    <definedName name="_bdm.A8544A84F9A14D60A8B9990AD19421C2.edm" localSheetId="51" hidden="1">#REF!</definedName>
    <definedName name="_bdm.A8544A84F9A14D60A8B9990AD19421C2.edm" hidden="1">#REF!</definedName>
    <definedName name="_bdm.A870654FE9C74404A16CADA08E1BE2F3.edm" localSheetId="22" hidden="1">#REF!</definedName>
    <definedName name="_bdm.A870654FE9C74404A16CADA08E1BE2F3.edm" localSheetId="23" hidden="1">#REF!</definedName>
    <definedName name="_bdm.A870654FE9C74404A16CADA08E1BE2F3.edm" localSheetId="51" hidden="1">#REF!</definedName>
    <definedName name="_bdm.A870654FE9C74404A16CADA08E1BE2F3.edm" hidden="1">#REF!</definedName>
    <definedName name="_bdm.B0BB30B513BE4AEB9426F6A0B3BB5524.edm" localSheetId="22" hidden="1">#REF!</definedName>
    <definedName name="_bdm.B0BB30B513BE4AEB9426F6A0B3BB5524.edm" localSheetId="23" hidden="1">#REF!</definedName>
    <definedName name="_bdm.B0BB30B513BE4AEB9426F6A0B3BB5524.edm" localSheetId="51" hidden="1">#REF!</definedName>
    <definedName name="_bdm.B0BB30B513BE4AEB9426F6A0B3BB5524.edm" hidden="1">#REF!</definedName>
    <definedName name="_bdm.B3A26AE0A20349E19F08C4F7A66AA4C1.edm" localSheetId="22" hidden="1">#REF!</definedName>
    <definedName name="_bdm.B3A26AE0A20349E19F08C4F7A66AA4C1.edm" localSheetId="23" hidden="1">#REF!</definedName>
    <definedName name="_bdm.B3A26AE0A20349E19F08C4F7A66AA4C1.edm" localSheetId="51" hidden="1">#REF!</definedName>
    <definedName name="_bdm.B3A26AE0A20349E19F08C4F7A66AA4C1.edm" hidden="1">#REF!</definedName>
    <definedName name="_bdm.BC73C1315733463ABA8F35CF36E670D2.edm" localSheetId="22" hidden="1">#REF!</definedName>
    <definedName name="_bdm.BC73C1315733463ABA8F35CF36E670D2.edm" localSheetId="23" hidden="1">#REF!</definedName>
    <definedName name="_bdm.BC73C1315733463ABA8F35CF36E670D2.edm" localSheetId="51" hidden="1">#REF!</definedName>
    <definedName name="_bdm.BC73C1315733463ABA8F35CF36E670D2.edm" hidden="1">#REF!</definedName>
    <definedName name="_bdm.BE93CD1B20EF49488901783F7254DDD2.edm" localSheetId="22" hidden="1">#REF!</definedName>
    <definedName name="_bdm.BE93CD1B20EF49488901783F7254DDD2.edm" localSheetId="23" hidden="1">#REF!</definedName>
    <definedName name="_bdm.BE93CD1B20EF49488901783F7254DDD2.edm" localSheetId="51" hidden="1">#REF!</definedName>
    <definedName name="_bdm.BE93CD1B20EF49488901783F7254DDD2.edm" hidden="1">#REF!</definedName>
    <definedName name="_bdm.C17B2E9B3DFB41019E65CB1F8647D1CA.edm" localSheetId="22" hidden="1">#REF!</definedName>
    <definedName name="_bdm.C17B2E9B3DFB41019E65CB1F8647D1CA.edm" localSheetId="23" hidden="1">#REF!</definedName>
    <definedName name="_bdm.C17B2E9B3DFB41019E65CB1F8647D1CA.edm" localSheetId="51" hidden="1">#REF!</definedName>
    <definedName name="_bdm.C17B2E9B3DFB41019E65CB1F8647D1CA.edm" hidden="1">#REF!</definedName>
    <definedName name="_bdm.C5CDD6CD08B64EB3B2FAD7133534E29E.edm" localSheetId="22" hidden="1">#REF!</definedName>
    <definedName name="_bdm.C5CDD6CD08B64EB3B2FAD7133534E29E.edm" localSheetId="23" hidden="1">#REF!</definedName>
    <definedName name="_bdm.C5CDD6CD08B64EB3B2FAD7133534E29E.edm" localSheetId="51" hidden="1">#REF!</definedName>
    <definedName name="_bdm.C5CDD6CD08B64EB3B2FAD7133534E29E.edm" hidden="1">#REF!</definedName>
    <definedName name="_bdm.C5FD2C8CCA304694AB7FE1AB75EE358C.edm" localSheetId="22" hidden="1">#REF!</definedName>
    <definedName name="_bdm.C5FD2C8CCA304694AB7FE1AB75EE358C.edm" localSheetId="23" hidden="1">#REF!</definedName>
    <definedName name="_bdm.C5FD2C8CCA304694AB7FE1AB75EE358C.edm" localSheetId="51" hidden="1">#REF!</definedName>
    <definedName name="_bdm.C5FD2C8CCA304694AB7FE1AB75EE358C.edm" hidden="1">#REF!</definedName>
    <definedName name="_bdm.CC4A53A98F4E41F296FEBA798896C973.edm" localSheetId="22" hidden="1">#REF!</definedName>
    <definedName name="_bdm.CC4A53A98F4E41F296FEBA798896C973.edm" localSheetId="23" hidden="1">#REF!</definedName>
    <definedName name="_bdm.CC4A53A98F4E41F296FEBA798896C973.edm" localSheetId="51" hidden="1">#REF!</definedName>
    <definedName name="_bdm.CC4A53A98F4E41F296FEBA798896C973.edm" hidden="1">#REF!</definedName>
    <definedName name="_bdm.DF13B76A3159427B8FE398AD45B24A7B.edm" localSheetId="22" hidden="1">#REF!</definedName>
    <definedName name="_bdm.DF13B76A3159427B8FE398AD45B24A7B.edm" localSheetId="23" hidden="1">#REF!</definedName>
    <definedName name="_bdm.DF13B76A3159427B8FE398AD45B24A7B.edm" localSheetId="51" hidden="1">#REF!</definedName>
    <definedName name="_bdm.DF13B76A3159427B8FE398AD45B24A7B.edm" hidden="1">#REF!</definedName>
    <definedName name="_bdm.E6B8CCCF08194C44AA39E3B9CC05F2A2.edm" localSheetId="22" hidden="1">#REF!</definedName>
    <definedName name="_bdm.E6B8CCCF08194C44AA39E3B9CC05F2A2.edm" localSheetId="23" hidden="1">#REF!</definedName>
    <definedName name="_bdm.E6B8CCCF08194C44AA39E3B9CC05F2A2.edm" localSheetId="51" hidden="1">#REF!</definedName>
    <definedName name="_bdm.E6B8CCCF08194C44AA39E3B9CC05F2A2.edm" hidden="1">#REF!</definedName>
    <definedName name="_bdm.EBA558FF80A64A19BD4F367A8AE758CB.edm" localSheetId="22" hidden="1">#REF!</definedName>
    <definedName name="_bdm.EBA558FF80A64A19BD4F367A8AE758CB.edm" localSheetId="23" hidden="1">#REF!</definedName>
    <definedName name="_bdm.EBA558FF80A64A19BD4F367A8AE758CB.edm" localSheetId="51" hidden="1">#REF!</definedName>
    <definedName name="_bdm.EBA558FF80A64A19BD4F367A8AE758CB.edm" hidden="1">#REF!</definedName>
    <definedName name="_bdm.F4DFCF610F804F0EBC635163893E69C5.edm" localSheetId="22" hidden="1">#REF!</definedName>
    <definedName name="_bdm.F4DFCF610F804F0EBC635163893E69C5.edm" localSheetId="23" hidden="1">#REF!</definedName>
    <definedName name="_bdm.F4DFCF610F804F0EBC635163893E69C5.edm" localSheetId="51" hidden="1">#REF!</definedName>
    <definedName name="_bdm.F4DFCF610F804F0EBC635163893E69C5.edm" hidden="1">#REF!</definedName>
    <definedName name="_bdm.F63B51BE9B66439E9072AB263D537CF8.edm" localSheetId="22" hidden="1">#REF!</definedName>
    <definedName name="_bdm.F63B51BE9B66439E9072AB263D537CF8.edm" localSheetId="23" hidden="1">#REF!</definedName>
    <definedName name="_bdm.F63B51BE9B66439E9072AB263D537CF8.edm" localSheetId="51" hidden="1">#REF!</definedName>
    <definedName name="_bdm.F63B51BE9B66439E9072AB263D537CF8.edm" hidden="1">#REF!</definedName>
    <definedName name="_CAO2" localSheetId="22">#REF!</definedName>
    <definedName name="_CAO2" localSheetId="23">#REF!</definedName>
    <definedName name="_CAO2" localSheetId="51">#REF!</definedName>
    <definedName name="_CAO2">#REF!</definedName>
    <definedName name="_CAO3" localSheetId="22">#REF!</definedName>
    <definedName name="_CAO3" localSheetId="23">#REF!</definedName>
    <definedName name="_CAO3" localSheetId="51">#REF!</definedName>
    <definedName name="_CAO3">#REF!</definedName>
    <definedName name="_cc" localSheetId="22" hidden="1">#REF!</definedName>
    <definedName name="_cc" localSheetId="23" hidden="1">#REF!</definedName>
    <definedName name="_cc" hidden="1">#REF!</definedName>
    <definedName name="_DAT1" localSheetId="22">#REF!</definedName>
    <definedName name="_DAT1" localSheetId="23">#REF!</definedName>
    <definedName name="_DAT1" localSheetId="51">#REF!</definedName>
    <definedName name="_DAT1">#REF!</definedName>
    <definedName name="_DAT10" localSheetId="22">#REF!</definedName>
    <definedName name="_DAT10" localSheetId="23">#REF!</definedName>
    <definedName name="_DAT10" localSheetId="51">#REF!</definedName>
    <definedName name="_DAT10">#REF!</definedName>
    <definedName name="_DAT11" localSheetId="22">#REF!</definedName>
    <definedName name="_DAT11" localSheetId="23">#REF!</definedName>
    <definedName name="_DAT11" localSheetId="51">#REF!</definedName>
    <definedName name="_DAT11">#REF!</definedName>
    <definedName name="_DAT12" localSheetId="22">#REF!</definedName>
    <definedName name="_DAT12" localSheetId="23">#REF!</definedName>
    <definedName name="_DAT12" localSheetId="51">#REF!</definedName>
    <definedName name="_DAT12">#REF!</definedName>
    <definedName name="_DAT13" localSheetId="22">#REF!</definedName>
    <definedName name="_DAT13" localSheetId="23">#REF!</definedName>
    <definedName name="_DAT13" localSheetId="51">#REF!</definedName>
    <definedName name="_DAT13">#REF!</definedName>
    <definedName name="_DAT14" localSheetId="22">#REF!</definedName>
    <definedName name="_DAT14" localSheetId="23">#REF!</definedName>
    <definedName name="_DAT14" localSheetId="51">#REF!</definedName>
    <definedName name="_DAT14">#REF!</definedName>
    <definedName name="_DAT15" localSheetId="22">#REF!</definedName>
    <definedName name="_DAT15" localSheetId="23">#REF!</definedName>
    <definedName name="_DAT15" localSheetId="51">#REF!</definedName>
    <definedName name="_DAT15">#REF!</definedName>
    <definedName name="_DAT16" localSheetId="22">#REF!</definedName>
    <definedName name="_DAT16" localSheetId="23">#REF!</definedName>
    <definedName name="_DAT16" localSheetId="51">#REF!</definedName>
    <definedName name="_DAT16">#REF!</definedName>
    <definedName name="_DAT17" localSheetId="22">#REF!</definedName>
    <definedName name="_DAT17" localSheetId="23">#REF!</definedName>
    <definedName name="_DAT17" localSheetId="51">#REF!</definedName>
    <definedName name="_DAT17">#REF!</definedName>
    <definedName name="_DAT18" localSheetId="22">#REF!</definedName>
    <definedName name="_DAT18" localSheetId="23">#REF!</definedName>
    <definedName name="_DAT18" localSheetId="51">#REF!</definedName>
    <definedName name="_DAT18">#REF!</definedName>
    <definedName name="_DAT3" localSheetId="22">#REF!</definedName>
    <definedName name="_DAT3" localSheetId="23">#REF!</definedName>
    <definedName name="_DAT3" localSheetId="51">#REF!</definedName>
    <definedName name="_DAT3">#REF!</definedName>
    <definedName name="_DAT4" localSheetId="22">#REF!</definedName>
    <definedName name="_DAT4" localSheetId="23">#REF!</definedName>
    <definedName name="_DAT4" localSheetId="51">#REF!</definedName>
    <definedName name="_DAT4">#REF!</definedName>
    <definedName name="_DAT5" localSheetId="22">#REF!</definedName>
    <definedName name="_DAT5" localSheetId="23">#REF!</definedName>
    <definedName name="_DAT5" localSheetId="51">#REF!</definedName>
    <definedName name="_DAT5">#REF!</definedName>
    <definedName name="_DAT6" localSheetId="22">#REF!</definedName>
    <definedName name="_DAT6" localSheetId="23">#REF!</definedName>
    <definedName name="_DAT6" localSheetId="51">#REF!</definedName>
    <definedName name="_DAT6">#REF!</definedName>
    <definedName name="_DAT7" localSheetId="22">#REF!</definedName>
    <definedName name="_DAT7" localSheetId="23">#REF!</definedName>
    <definedName name="_DAT7" localSheetId="51">#REF!</definedName>
    <definedName name="_DAT7">#REF!</definedName>
    <definedName name="_DAT8" localSheetId="22">#REF!</definedName>
    <definedName name="_DAT8" localSheetId="23">#REF!</definedName>
    <definedName name="_DAT8" localSheetId="51">#REF!</definedName>
    <definedName name="_DAT8">#REF!</definedName>
    <definedName name="_DAT9" localSheetId="22">#REF!</definedName>
    <definedName name="_DAT9" localSheetId="23">#REF!</definedName>
    <definedName name="_DAT9" localSheetId="51">#REF!</definedName>
    <definedName name="_DAT9">#REF!</definedName>
    <definedName name="_DCF1" hidden="1">{#N/A,#N/A,FALSE,"DCF Summary";#N/A,#N/A,FALSE,"Casema";#N/A,#N/A,FALSE,"Casema NoTel";#N/A,#N/A,FALSE,"UK";#N/A,#N/A,FALSE,"RCF";#N/A,#N/A,FALSE,"Intercable CZ";#N/A,#N/A,FALSE,"Interkabel P"}</definedName>
    <definedName name="_Dist_Bin" localSheetId="22" hidden="1">#REF!</definedName>
    <definedName name="_Dist_Bin" localSheetId="23" hidden="1">#REF!</definedName>
    <definedName name="_Dist_Bin" localSheetId="51" hidden="1">#REF!</definedName>
    <definedName name="_Dist_Bin" hidden="1">#REF!</definedName>
    <definedName name="_Dist_Values" localSheetId="22" hidden="1">#REF!</definedName>
    <definedName name="_Dist_Values" localSheetId="23" hidden="1">#REF!</definedName>
    <definedName name="_Dist_Values" localSheetId="51" hidden="1">#REF!</definedName>
    <definedName name="_Dist_Values" hidden="1">#REF!</definedName>
    <definedName name="_DPU2003" localSheetId="22">#REF!</definedName>
    <definedName name="_DPU2003" localSheetId="23">#REF!</definedName>
    <definedName name="_DPU2003">#REF!</definedName>
    <definedName name="_DPU2004" localSheetId="22">#REF!</definedName>
    <definedName name="_DPU2004" localSheetId="23">#REF!</definedName>
    <definedName name="_DPU2004">#REF!</definedName>
    <definedName name="_DPU2005" localSheetId="22">#REF!</definedName>
    <definedName name="_DPU2005" localSheetId="23">#REF!</definedName>
    <definedName name="_DPU2005">#REF!</definedName>
    <definedName name="_DPU2006" localSheetId="22">#REF!</definedName>
    <definedName name="_DPU2006" localSheetId="23">#REF!</definedName>
    <definedName name="_DPU2006">#REF!</definedName>
    <definedName name="_DPU2007" localSheetId="22">#REF!</definedName>
    <definedName name="_DPU2007" localSheetId="23">#REF!</definedName>
    <definedName name="_DPU2007">#REF!</definedName>
    <definedName name="_E100000" localSheetId="22">#REF!</definedName>
    <definedName name="_E100000" localSheetId="23">#REF!</definedName>
    <definedName name="_E100000">#REF!</definedName>
    <definedName name="_eu_lblSeed1" hidden="1">6648124</definedName>
    <definedName name="_eu_lblSeed2" hidden="1">3105613</definedName>
    <definedName name="_eu_lblSeed3" hidden="1">9092828</definedName>
    <definedName name="_eu_lblSeed4" hidden="1">8231087</definedName>
    <definedName name="_eu_lblSeed5" hidden="1">8045525</definedName>
    <definedName name="_eu_lblSeed6" hidden="1">1463957</definedName>
    <definedName name="_eu_lblSeed7" hidden="1">1146085</definedName>
    <definedName name="_eu_lblSeed8" hidden="1">0</definedName>
    <definedName name="_xlnm._FilterDatabase" localSheetId="24" hidden="1">'比较法-办公'!$A$1:$L$50</definedName>
    <definedName name="_xlnm._FilterDatabase" localSheetId="36" hidden="1">'比较法-仓储'!$A$1:$L$37</definedName>
    <definedName name="_xlnm._FilterDatabase" localSheetId="27" hidden="1">'比较法-车位'!$A$1:$L$39</definedName>
    <definedName name="_xlnm._FilterDatabase" localSheetId="35" hidden="1">'比较法-工业'!$A$1:$L$43</definedName>
    <definedName name="_xlnm._FilterDatabase" localSheetId="25" hidden="1">'比较法-商业'!$A$1:$L$49</definedName>
    <definedName name="_xlnm._FilterDatabase" localSheetId="32" hidden="1">'比较法-住宅'!$A$1:$L$49</definedName>
    <definedName name="_xlnm._FilterDatabase" localSheetId="22" hidden="1">#REF!</definedName>
    <definedName name="_xlnm._FilterDatabase" localSheetId="23" hidden="1">#REF!</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51" hidden="1">#REF!</definedName>
    <definedName name="_xlnm._FilterDatabase" localSheetId="10" hidden="1">项目基本情况!$A$42:$N$42</definedName>
    <definedName name="_xlnm._FilterDatabase" hidden="1">#REF!</definedName>
    <definedName name="_FS1" localSheetId="22">#REF!</definedName>
    <definedName name="_FS1" localSheetId="23">#REF!</definedName>
    <definedName name="_FS1">#REF!</definedName>
    <definedName name="_GSRATES_1" hidden="1">"CT300001Latest          "</definedName>
    <definedName name="_GSRATES_2" hidden="1">"CT300001Latest          "</definedName>
    <definedName name="_GSRATES_3" hidden="1">"CT300001Latest          "</definedName>
    <definedName name="_GSRATES_4" hidden="1">"CT300001Latest          "</definedName>
    <definedName name="_GSRATES_5" hidden="1">"CT300001Latest          "</definedName>
    <definedName name="_GSRATES_6" hidden="1">"CT300001Latest          "</definedName>
    <definedName name="_GSRATES_7" hidden="1">"CT300001Latest          "</definedName>
    <definedName name="_GSRATES_8" hidden="1">"CT300001Latest          "</definedName>
    <definedName name="_GSRATES_COUNT" hidden="1">8</definedName>
    <definedName name="_h2" hidden="1">{#N/A,#N/A,FALSE,"Virgin Flightdeck"}</definedName>
    <definedName name="_h2_1" hidden="1">{#N/A,#N/A,FALSE,"Virgin Flightdeck"}</definedName>
    <definedName name="_h2_1_1" hidden="1">{#N/A,#N/A,FALSE,"Virgin Flightdeck"}</definedName>
    <definedName name="_h3" hidden="1">{#N/A,#N/A,FALSE,"Virgin Flightdeck"}</definedName>
    <definedName name="_h3_1" hidden="1">{#N/A,#N/A,FALSE,"Virgin Flightdeck"}</definedName>
    <definedName name="_h3_1_1" hidden="1">{#N/A,#N/A,FALSE,"Virgin Flightdeck"}</definedName>
    <definedName name="_in2" localSheetId="22" hidden="1">#REF!</definedName>
    <definedName name="_in2" localSheetId="23" hidden="1">#REF!</definedName>
    <definedName name="_in2" localSheetId="51" hidden="1">#REF!</definedName>
    <definedName name="_in2" hidden="1">#REF!</definedName>
    <definedName name="_IRR1" localSheetId="22">#REF!</definedName>
    <definedName name="_IRR1" localSheetId="23">#REF!</definedName>
    <definedName name="_IRR1">#REF!</definedName>
    <definedName name="_IRR2" localSheetId="22">#REF!</definedName>
    <definedName name="_IRR2" localSheetId="23">#REF!</definedName>
    <definedName name="_IRR2">#REF!</definedName>
    <definedName name="_IRR3" localSheetId="22">#REF!</definedName>
    <definedName name="_IRR3" localSheetId="23">#REF!</definedName>
    <definedName name="_IRR3">#REF!</definedName>
    <definedName name="_IRR4" localSheetId="22">#REF!</definedName>
    <definedName name="_IRR4" localSheetId="23">#REF!</definedName>
    <definedName name="_IRR4">#REF!</definedName>
    <definedName name="_IRR5" localSheetId="22">#REF!</definedName>
    <definedName name="_IRR5" localSheetId="23">#REF!</definedName>
    <definedName name="_IRR5">#REF!</definedName>
    <definedName name="_IRR6" localSheetId="22">#REF!</definedName>
    <definedName name="_IRR6" localSheetId="23">#REF!</definedName>
    <definedName name="_IRR6">#REF!</definedName>
    <definedName name="_KE8" localSheetId="22" hidden="1">#REF!</definedName>
    <definedName name="_KE8" localSheetId="23" hidden="1">#REF!</definedName>
    <definedName name="_KE8" localSheetId="51" hidden="1">#REF!</definedName>
    <definedName name="_KE8" hidden="1">#REF!</definedName>
    <definedName name="_KeP1" localSheetId="22">#REF!</definedName>
    <definedName name="_KeP1" localSheetId="23">#REF!</definedName>
    <definedName name="_KeP1">#REF!</definedName>
    <definedName name="_KeP10" localSheetId="22">#REF!</definedName>
    <definedName name="_KeP10" localSheetId="23">#REF!</definedName>
    <definedName name="_KeP10">#REF!</definedName>
    <definedName name="_KeP11" localSheetId="22">#REF!</definedName>
    <definedName name="_KeP11" localSheetId="23">#REF!</definedName>
    <definedName name="_KeP11">#REF!</definedName>
    <definedName name="_KeP12" localSheetId="22">#REF!</definedName>
    <definedName name="_KeP12" localSheetId="23">#REF!</definedName>
    <definedName name="_KeP12">#REF!</definedName>
    <definedName name="_KeP13" localSheetId="22">#REF!</definedName>
    <definedName name="_KeP13" localSheetId="23">#REF!</definedName>
    <definedName name="_KeP13">#REF!</definedName>
    <definedName name="_KeP14" localSheetId="22">#REF!</definedName>
    <definedName name="_KeP14" localSheetId="23">#REF!</definedName>
    <definedName name="_KeP14">#REF!</definedName>
    <definedName name="_KeP15" localSheetId="22">#REF!</definedName>
    <definedName name="_KeP15" localSheetId="23">#REF!</definedName>
    <definedName name="_KeP15">#REF!</definedName>
    <definedName name="_KeP16" localSheetId="22">#REF!</definedName>
    <definedName name="_KeP16" localSheetId="23">#REF!</definedName>
    <definedName name="_KeP16">#REF!</definedName>
    <definedName name="_KeP17" localSheetId="22">#REF!</definedName>
    <definedName name="_KeP17" localSheetId="23">#REF!</definedName>
    <definedName name="_KeP17">#REF!</definedName>
    <definedName name="_KeP18" localSheetId="22">#REF!</definedName>
    <definedName name="_KeP18" localSheetId="23">#REF!</definedName>
    <definedName name="_KeP18">#REF!</definedName>
    <definedName name="_KeP19" localSheetId="22">#REF!</definedName>
    <definedName name="_KeP19" localSheetId="23">#REF!</definedName>
    <definedName name="_KeP19">#REF!</definedName>
    <definedName name="_KeP2" localSheetId="22">#REF!</definedName>
    <definedName name="_KeP2" localSheetId="23">#REF!</definedName>
    <definedName name="_KeP2">#REF!</definedName>
    <definedName name="_KeP20" localSheetId="22">#REF!</definedName>
    <definedName name="_KeP20" localSheetId="23">#REF!</definedName>
    <definedName name="_KeP20">#REF!</definedName>
    <definedName name="_KeP21" localSheetId="22">#REF!</definedName>
    <definedName name="_KeP21" localSheetId="23">#REF!</definedName>
    <definedName name="_KeP21">#REF!</definedName>
    <definedName name="_KeP22" localSheetId="22">#REF!</definedName>
    <definedName name="_KeP22" localSheetId="23">#REF!</definedName>
    <definedName name="_KeP22">#REF!</definedName>
    <definedName name="_KeP23" localSheetId="22">#REF!</definedName>
    <definedName name="_KeP23" localSheetId="23">#REF!</definedName>
    <definedName name="_KeP23">#REF!</definedName>
    <definedName name="_KeP24" localSheetId="22">#REF!</definedName>
    <definedName name="_KeP24" localSheetId="23">#REF!</definedName>
    <definedName name="_KeP24">#REF!</definedName>
    <definedName name="_KeP25" localSheetId="22">#REF!</definedName>
    <definedName name="_KeP25" localSheetId="23">#REF!</definedName>
    <definedName name="_KeP25">#REF!</definedName>
    <definedName name="_KeP26" localSheetId="22">#REF!</definedName>
    <definedName name="_KeP26" localSheetId="23">#REF!</definedName>
    <definedName name="_KeP26">#REF!</definedName>
    <definedName name="_KeP27" localSheetId="22">#REF!</definedName>
    <definedName name="_KeP27" localSheetId="23">#REF!</definedName>
    <definedName name="_KeP27">#REF!</definedName>
    <definedName name="_KeP28" localSheetId="22">#REF!</definedName>
    <definedName name="_KeP28" localSheetId="23">#REF!</definedName>
    <definedName name="_KeP28">#REF!</definedName>
    <definedName name="_KeP29" localSheetId="22">#REF!</definedName>
    <definedName name="_KeP29" localSheetId="23">#REF!</definedName>
    <definedName name="_KeP29">#REF!</definedName>
    <definedName name="_KeP3" localSheetId="22">#REF!</definedName>
    <definedName name="_KeP3" localSheetId="23">#REF!</definedName>
    <definedName name="_KeP3">#REF!</definedName>
    <definedName name="_KeP30" localSheetId="22">#REF!</definedName>
    <definedName name="_KeP30" localSheetId="23">#REF!</definedName>
    <definedName name="_KeP30">#REF!</definedName>
    <definedName name="_KeP31" localSheetId="22">#REF!</definedName>
    <definedName name="_KeP31" localSheetId="23">#REF!</definedName>
    <definedName name="_KeP31">#REF!</definedName>
    <definedName name="_KeP32" localSheetId="22">#REF!</definedName>
    <definedName name="_KeP32" localSheetId="23">#REF!</definedName>
    <definedName name="_KeP32">#REF!</definedName>
    <definedName name="_KeP33" localSheetId="22">#REF!</definedName>
    <definedName name="_KeP33" localSheetId="23">#REF!</definedName>
    <definedName name="_KeP33">#REF!</definedName>
    <definedName name="_KeP34" localSheetId="22">#REF!</definedName>
    <definedName name="_KeP34" localSheetId="23">#REF!</definedName>
    <definedName name="_KeP34">#REF!</definedName>
    <definedName name="_KeP35" localSheetId="22">#REF!</definedName>
    <definedName name="_KeP35" localSheetId="23">#REF!</definedName>
    <definedName name="_KeP35">#REF!</definedName>
    <definedName name="_KeP36" localSheetId="22">#REF!</definedName>
    <definedName name="_KeP36" localSheetId="23">#REF!</definedName>
    <definedName name="_KeP36">#REF!</definedName>
    <definedName name="_KeP37" localSheetId="22">#REF!</definedName>
    <definedName name="_KeP37" localSheetId="23">#REF!</definedName>
    <definedName name="_KeP37">#REF!</definedName>
    <definedName name="_KeP38" localSheetId="22">#REF!</definedName>
    <definedName name="_KeP38" localSheetId="23">#REF!</definedName>
    <definedName name="_KeP38">#REF!</definedName>
    <definedName name="_KeP39" localSheetId="22">#REF!</definedName>
    <definedName name="_KeP39" localSheetId="23">#REF!</definedName>
    <definedName name="_KeP39">#REF!</definedName>
    <definedName name="_KeP4" localSheetId="22">#REF!</definedName>
    <definedName name="_KeP4" localSheetId="23">#REF!</definedName>
    <definedName name="_KeP4">#REF!</definedName>
    <definedName name="_KeP40" localSheetId="22">#REF!</definedName>
    <definedName name="_KeP40" localSheetId="23">#REF!</definedName>
    <definedName name="_KeP40">#REF!</definedName>
    <definedName name="_KeP41" localSheetId="22">#REF!</definedName>
    <definedName name="_KeP41" localSheetId="23">#REF!</definedName>
    <definedName name="_KeP41">#REF!</definedName>
    <definedName name="_KeP42" localSheetId="22">#REF!</definedName>
    <definedName name="_KeP42" localSheetId="23">#REF!</definedName>
    <definedName name="_KeP42">#REF!</definedName>
    <definedName name="_KeP43" localSheetId="22">#REF!</definedName>
    <definedName name="_KeP43" localSheetId="23">#REF!</definedName>
    <definedName name="_KeP43">#REF!</definedName>
    <definedName name="_KeP44" localSheetId="22">#REF!</definedName>
    <definedName name="_KeP44" localSheetId="23">#REF!</definedName>
    <definedName name="_KeP44">#REF!</definedName>
    <definedName name="_KeP45" localSheetId="22">#REF!</definedName>
    <definedName name="_KeP45" localSheetId="23">#REF!</definedName>
    <definedName name="_KeP45">#REF!</definedName>
    <definedName name="_KeP46" localSheetId="22">#REF!</definedName>
    <definedName name="_KeP46" localSheetId="23">#REF!</definedName>
    <definedName name="_KeP46">#REF!</definedName>
    <definedName name="_KeP47" localSheetId="22">#REF!</definedName>
    <definedName name="_KeP47" localSheetId="23">#REF!</definedName>
    <definedName name="_KeP47">#REF!</definedName>
    <definedName name="_KeP48" localSheetId="22">#REF!</definedName>
    <definedName name="_KeP48" localSheetId="23">#REF!</definedName>
    <definedName name="_KeP48">#REF!</definedName>
    <definedName name="_KeP49" localSheetId="22">#REF!</definedName>
    <definedName name="_KeP49" localSheetId="23">#REF!</definedName>
    <definedName name="_KeP49">#REF!</definedName>
    <definedName name="_KeP5" localSheetId="22">#REF!</definedName>
    <definedName name="_KeP5" localSheetId="23">#REF!</definedName>
    <definedName name="_KeP5">#REF!</definedName>
    <definedName name="_KeP50" localSheetId="22">#REF!</definedName>
    <definedName name="_KeP50" localSheetId="23">#REF!</definedName>
    <definedName name="_KeP50">#REF!</definedName>
    <definedName name="_KeP51" localSheetId="22">#REF!</definedName>
    <definedName name="_KeP51" localSheetId="23">#REF!</definedName>
    <definedName name="_KeP51">#REF!</definedName>
    <definedName name="_KeP52" localSheetId="22">#REF!</definedName>
    <definedName name="_KeP52" localSheetId="23">#REF!</definedName>
    <definedName name="_KeP52">#REF!</definedName>
    <definedName name="_KeP53" localSheetId="22">#REF!</definedName>
    <definedName name="_KeP53" localSheetId="23">#REF!</definedName>
    <definedName name="_KeP53">#REF!</definedName>
    <definedName name="_KeP54" localSheetId="22">#REF!</definedName>
    <definedName name="_KeP54" localSheetId="23">#REF!</definedName>
    <definedName name="_KeP54">#REF!</definedName>
    <definedName name="_KeP55" localSheetId="22">#REF!</definedName>
    <definedName name="_KeP55" localSheetId="23">#REF!</definedName>
    <definedName name="_KeP55">#REF!</definedName>
    <definedName name="_KeP56" localSheetId="22">#REF!</definedName>
    <definedName name="_KeP56" localSheetId="23">#REF!</definedName>
    <definedName name="_KeP56">#REF!</definedName>
    <definedName name="_KeP57" localSheetId="22">#REF!</definedName>
    <definedName name="_KeP57" localSheetId="23">#REF!</definedName>
    <definedName name="_KeP57">#REF!</definedName>
    <definedName name="_KeP58" localSheetId="22">#REF!</definedName>
    <definedName name="_KeP58" localSheetId="23">#REF!</definedName>
    <definedName name="_KeP58">#REF!</definedName>
    <definedName name="_KeP59" localSheetId="22">#REF!</definedName>
    <definedName name="_KeP59" localSheetId="23">#REF!</definedName>
    <definedName name="_KeP59">#REF!</definedName>
    <definedName name="_KeP6" localSheetId="22">#REF!</definedName>
    <definedName name="_KeP6" localSheetId="23">#REF!</definedName>
    <definedName name="_KeP6">#REF!</definedName>
    <definedName name="_KeP60" localSheetId="22">#REF!</definedName>
    <definedName name="_KeP60" localSheetId="23">#REF!</definedName>
    <definedName name="_KeP60">#REF!</definedName>
    <definedName name="_KeP61" localSheetId="22">#REF!</definedName>
    <definedName name="_KeP61" localSheetId="23">#REF!</definedName>
    <definedName name="_KeP61">#REF!</definedName>
    <definedName name="_KeP62" localSheetId="22">#REF!</definedName>
    <definedName name="_KeP62" localSheetId="23">#REF!</definedName>
    <definedName name="_KeP62">#REF!</definedName>
    <definedName name="_KeP63" localSheetId="22">#REF!</definedName>
    <definedName name="_KeP63" localSheetId="23">#REF!</definedName>
    <definedName name="_KeP63">#REF!</definedName>
    <definedName name="_KeP64" localSheetId="22">#REF!</definedName>
    <definedName name="_KeP64" localSheetId="23">#REF!</definedName>
    <definedName name="_KeP64">#REF!</definedName>
    <definedName name="_KeP65" localSheetId="22">#REF!</definedName>
    <definedName name="_KeP65" localSheetId="23">#REF!</definedName>
    <definedName name="_KeP65">#REF!</definedName>
    <definedName name="_KeP66" localSheetId="22">#REF!</definedName>
    <definedName name="_KeP66" localSheetId="23">#REF!</definedName>
    <definedName name="_KeP66">#REF!</definedName>
    <definedName name="_KeP67" localSheetId="22">#REF!</definedName>
    <definedName name="_KeP67" localSheetId="23">#REF!</definedName>
    <definedName name="_KeP67">#REF!</definedName>
    <definedName name="_KeP68" localSheetId="22">#REF!</definedName>
    <definedName name="_KeP68" localSheetId="23">#REF!</definedName>
    <definedName name="_KeP68">#REF!</definedName>
    <definedName name="_KeP7" localSheetId="22">#REF!</definedName>
    <definedName name="_KeP7" localSheetId="23">#REF!</definedName>
    <definedName name="_KeP7">#REF!</definedName>
    <definedName name="_KeP8" localSheetId="22">#REF!</definedName>
    <definedName name="_KeP8" localSheetId="23">#REF!</definedName>
    <definedName name="_KeP8">#REF!</definedName>
    <definedName name="_KeP9" localSheetId="22">#REF!</definedName>
    <definedName name="_KeP9" localSheetId="23">#REF!</definedName>
    <definedName name="_KeP9">#REF!</definedName>
    <definedName name="_Key1" localSheetId="22" hidden="1">#REF!</definedName>
    <definedName name="_Key1" localSheetId="23" hidden="1">#REF!</definedName>
    <definedName name="_Key1" localSheetId="51" hidden="1">#REF!</definedName>
    <definedName name="_Key1" hidden="1">#REF!</definedName>
    <definedName name="_key11" localSheetId="22" hidden="1">#REF!</definedName>
    <definedName name="_key11" localSheetId="23" hidden="1">#REF!</definedName>
    <definedName name="_key11" localSheetId="51" hidden="1">#REF!</definedName>
    <definedName name="_key11" hidden="1">#REF!</definedName>
    <definedName name="_key12" localSheetId="22" hidden="1">#REF!</definedName>
    <definedName name="_key12" localSheetId="23" hidden="1">#REF!</definedName>
    <definedName name="_key12" localSheetId="51" hidden="1">#REF!</definedName>
    <definedName name="_key12" hidden="1">#REF!</definedName>
    <definedName name="_KEY123" localSheetId="22" hidden="1">#REF!</definedName>
    <definedName name="_KEY123" localSheetId="23" hidden="1">#REF!</definedName>
    <definedName name="_KEY123" localSheetId="51" hidden="1">#REF!</definedName>
    <definedName name="_KEY123" hidden="1">#REF!</definedName>
    <definedName name="_Key2" localSheetId="22" hidden="1">#REF!</definedName>
    <definedName name="_Key2" localSheetId="23" hidden="1">#REF!</definedName>
    <definedName name="_Key2" localSheetId="51" hidden="1">#REF!</definedName>
    <definedName name="_Key2" hidden="1">#REF!</definedName>
    <definedName name="_KEY3" localSheetId="22" hidden="1">#REF!</definedName>
    <definedName name="_KEY3" localSheetId="23" hidden="1">#REF!</definedName>
    <definedName name="_KEY3" localSheetId="51" hidden="1">#REF!</definedName>
    <definedName name="_KEY3" hidden="1">#REF!</definedName>
    <definedName name="_KEY4" localSheetId="22" hidden="1">#REF!</definedName>
    <definedName name="_KEY4" localSheetId="23" hidden="1">#REF!</definedName>
    <definedName name="_KEY4" localSheetId="51" hidden="1">#REF!</definedName>
    <definedName name="_KEY4" hidden="1">#REF!</definedName>
    <definedName name="_KEY5" localSheetId="22" hidden="1">#REF!</definedName>
    <definedName name="_KEY5" localSheetId="23" hidden="1">#REF!</definedName>
    <definedName name="_KEY5" localSheetId="51" hidden="1">#REF!</definedName>
    <definedName name="_KEY5" hidden="1">#REF!</definedName>
    <definedName name="_KEY6" localSheetId="22" hidden="1">#REF!</definedName>
    <definedName name="_KEY6" localSheetId="23" hidden="1">#REF!</definedName>
    <definedName name="_KEY6" localSheetId="51" hidden="1">#REF!</definedName>
    <definedName name="_KEY6" hidden="1">#REF!</definedName>
    <definedName name="_KEY7" localSheetId="22" hidden="1">#REF!</definedName>
    <definedName name="_KEY7" localSheetId="23" hidden="1">#REF!</definedName>
    <definedName name="_KEY7" localSheetId="51" hidden="1">#REF!</definedName>
    <definedName name="_KEY7" hidden="1">#REF!</definedName>
    <definedName name="_key8" localSheetId="22" hidden="1">#REF!</definedName>
    <definedName name="_key8" localSheetId="23" hidden="1">#REF!</definedName>
    <definedName name="_key8" localSheetId="51" hidden="1">#REF!</definedName>
    <definedName name="_key8" hidden="1">#REF!</definedName>
    <definedName name="_KEY90" localSheetId="22" hidden="1">#REF!</definedName>
    <definedName name="_KEY90" localSheetId="23" hidden="1">#REF!</definedName>
    <definedName name="_KEY90" localSheetId="51" hidden="1">#REF!</definedName>
    <definedName name="_KEY90" hidden="1">#REF!</definedName>
    <definedName name="_km0411" localSheetId="22">#REF!</definedName>
    <definedName name="_km0411" localSheetId="23">#REF!</definedName>
    <definedName name="_km0411" localSheetId="51">#REF!</definedName>
    <definedName name="_km0411">#REF!</definedName>
    <definedName name="_LF12" localSheetId="22" hidden="1">#REF!</definedName>
    <definedName name="_LF12" localSheetId="23" hidden="1">#REF!</definedName>
    <definedName name="_LF12" localSheetId="51" hidden="1">#REF!</definedName>
    <definedName name="_LF12" hidden="1">#REF!</definedName>
    <definedName name="_M1110" hidden="1">{#N/A,#N/A,FALSE,"Aging"}</definedName>
    <definedName name="_MatInverse_In" localSheetId="22" hidden="1">#REF!</definedName>
    <definedName name="_MatInverse_In" localSheetId="23" hidden="1">#REF!</definedName>
    <definedName name="_MatInverse_In" hidden="1">#REF!</definedName>
    <definedName name="_MatInverse_Out" localSheetId="22" hidden="1">#REF!</definedName>
    <definedName name="_MatInverse_Out" localSheetId="23" hidden="1">#REF!</definedName>
    <definedName name="_MatInverse_Out" hidden="1">#REF!</definedName>
    <definedName name="_Mei97" localSheetId="22">#REF!</definedName>
    <definedName name="_Mei97" localSheetId="23">#REF!</definedName>
    <definedName name="_Mei97">#REF!</definedName>
    <definedName name="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NO1" localSheetId="22">#REF!</definedName>
    <definedName name="_NO1" localSheetId="23">#REF!</definedName>
    <definedName name="_NO1">#REF!</definedName>
    <definedName name="_NO2" localSheetId="22">#REF!</definedName>
    <definedName name="_NO2" localSheetId="23">#REF!</definedName>
    <definedName name="_NO2">#REF!</definedName>
    <definedName name="_NO3" localSheetId="22">#REF!</definedName>
    <definedName name="_NO3" localSheetId="23">#REF!</definedName>
    <definedName name="_NO3">#REF!</definedName>
    <definedName name="_NO4" localSheetId="22">#REF!</definedName>
    <definedName name="_NO4" localSheetId="23">#REF!</definedName>
    <definedName name="_NO4">#REF!</definedName>
    <definedName name="_NO5" localSheetId="22">#REF!</definedName>
    <definedName name="_NO5" localSheetId="23">#REF!</definedName>
    <definedName name="_NO5">#REF!</definedName>
    <definedName name="_NO6" localSheetId="22">#REF!</definedName>
    <definedName name="_NO6" localSheetId="23">#REF!</definedName>
    <definedName name="_NO6">#REF!</definedName>
    <definedName name="_NO7" localSheetId="22">#REF!</definedName>
    <definedName name="_NO7" localSheetId="23">#REF!</definedName>
    <definedName name="_NO7">#REF!</definedName>
    <definedName name="_Order1" hidden="1">255</definedName>
    <definedName name="_Order2" hidden="1">255</definedName>
    <definedName name="_PB01" localSheetId="22">#REF!</definedName>
    <definedName name="_PB01" localSheetId="23">#REF!</definedName>
    <definedName name="_PB01" localSheetId="51">#REF!</definedName>
    <definedName name="_PB01">#REF!</definedName>
    <definedName name="_PB02" localSheetId="22">#REF!</definedName>
    <definedName name="_PB02" localSheetId="23">#REF!</definedName>
    <definedName name="_PB02" localSheetId="51">#REF!</definedName>
    <definedName name="_PB02">#REF!</definedName>
    <definedName name="_PB04" localSheetId="22">#REF!</definedName>
    <definedName name="_PB04" localSheetId="23">#REF!</definedName>
    <definedName name="_PB04" localSheetId="51">#REF!</definedName>
    <definedName name="_PB04">#REF!</definedName>
    <definedName name="_PC01" localSheetId="22">#REF!</definedName>
    <definedName name="_PC01" localSheetId="23">#REF!</definedName>
    <definedName name="_PC01" localSheetId="51">#REF!</definedName>
    <definedName name="_PC01">#REF!</definedName>
    <definedName name="_PC02" localSheetId="22">#REF!</definedName>
    <definedName name="_PC02" localSheetId="23">#REF!</definedName>
    <definedName name="_PC02" localSheetId="51">#REF!</definedName>
    <definedName name="_PC02">#REF!</definedName>
    <definedName name="_PC03" localSheetId="22">#REF!</definedName>
    <definedName name="_PC03" localSheetId="23">#REF!</definedName>
    <definedName name="_PC03" localSheetId="51">#REF!</definedName>
    <definedName name="_PC03">#REF!</definedName>
    <definedName name="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4" hidden="1">{#N/A,#N/A,FALSE,"Report Data";#N/A,#N/A,FALSE,"COMP POOL";#N/A,#N/A,FALSE,"COMP POOL NB95";#N/A,#N/A,FALSE,"COMP POOL NB94"}</definedName>
    <definedName name="_PL4_1" hidden="1">{#N/A,#N/A,FALSE,"Report Data";#N/A,#N/A,FALSE,"COMP POOL";#N/A,#N/A,FALSE,"COMP POOL NB95";#N/A,#N/A,FALSE,"COMP POOL NB94"}</definedName>
    <definedName name="_PL4_1_1" hidden="1">{#N/A,#N/A,FALSE,"Report Data";#N/A,#N/A,FALSE,"COMP POOL";#N/A,#N/A,FALSE,"COMP POOL NB95";#N/A,#N/A,FALSE,"COMP POOL NB94"}</definedName>
    <definedName name="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RN10">#N/A</definedName>
    <definedName name="_PRN3">#N/A</definedName>
    <definedName name="_PRN4">#N/A</definedName>
    <definedName name="_PZ01" localSheetId="22">#REF!</definedName>
    <definedName name="_PZ01" localSheetId="23">#REF!</definedName>
    <definedName name="_PZ01" localSheetId="51">#REF!</definedName>
    <definedName name="_PZ01">#REF!</definedName>
    <definedName name="_PZ02" localSheetId="22">#REF!</definedName>
    <definedName name="_PZ02" localSheetId="23">#REF!</definedName>
    <definedName name="_PZ02" localSheetId="51">#REF!</definedName>
    <definedName name="_PZ02">#REF!</definedName>
    <definedName name="_PZ03" localSheetId="22">#REF!</definedName>
    <definedName name="_PZ03" localSheetId="23">#REF!</definedName>
    <definedName name="_PZ03" localSheetId="51">#REF!</definedName>
    <definedName name="_PZ03">#REF!</definedName>
    <definedName name="_PZ04" localSheetId="22">#REF!</definedName>
    <definedName name="_PZ04" localSheetId="23">#REF!</definedName>
    <definedName name="_PZ04" localSheetId="51">#REF!</definedName>
    <definedName name="_PZ04">#REF!</definedName>
    <definedName name="_PZ05" localSheetId="22">#REF!</definedName>
    <definedName name="_PZ05" localSheetId="23">#REF!</definedName>
    <definedName name="_PZ05" localSheetId="51">#REF!</definedName>
    <definedName name="_PZ05">#REF!</definedName>
    <definedName name="_PZ06" localSheetId="22">#REF!</definedName>
    <definedName name="_PZ06" localSheetId="23">#REF!</definedName>
    <definedName name="_PZ06" localSheetId="51">#REF!</definedName>
    <definedName name="_PZ06">#REF!</definedName>
    <definedName name="_RAN1">#N/A</definedName>
    <definedName name="_Regression_Out" localSheetId="22" hidden="1">#REF!</definedName>
    <definedName name="_Regression_Out" localSheetId="23" hidden="1">#REF!</definedName>
    <definedName name="_Regression_Out" hidden="1">#REF!</definedName>
    <definedName name="_Regression_X" localSheetId="22" hidden="1">#REF!</definedName>
    <definedName name="_Regression_X" localSheetId="23" hidden="1">#REF!</definedName>
    <definedName name="_Regression_X" hidden="1">#REF!</definedName>
    <definedName name="_Regression_Y" localSheetId="22" hidden="1">#REF!</definedName>
    <definedName name="_Regression_Y" localSheetId="23" hidden="1">#REF!</definedName>
    <definedName name="_Regression_Y" hidden="1">#REF!</definedName>
    <definedName name="_Sort" localSheetId="22" hidden="1">#REF!</definedName>
    <definedName name="_Sort" localSheetId="23" hidden="1">#REF!</definedName>
    <definedName name="_Sort" localSheetId="51" hidden="1">#REF!</definedName>
    <definedName name="_Sort" hidden="1">#REF!</definedName>
    <definedName name="_Table1_In1" localSheetId="22" hidden="1">#REF!</definedName>
    <definedName name="_Table1_In1" localSheetId="23" hidden="1">#REF!</definedName>
    <definedName name="_Table1_In1" localSheetId="51" hidden="1">#REF!</definedName>
    <definedName name="_Table1_In1" hidden="1">#REF!</definedName>
    <definedName name="_Table1_Out" localSheetId="22" hidden="1">#REF!</definedName>
    <definedName name="_Table1_Out" localSheetId="23" hidden="1">#REF!</definedName>
    <definedName name="_Table1_Out" localSheetId="51" hidden="1">#REF!</definedName>
    <definedName name="_Table1_Out" hidden="1">#REF!</definedName>
    <definedName name="_Table2_Out" localSheetId="22" hidden="1">#REF!</definedName>
    <definedName name="_Table2_Out" localSheetId="23" hidden="1">#REF!</definedName>
    <definedName name="_Table2_Out" localSheetId="51" hidden="1">#REF!</definedName>
    <definedName name="_Table2_Out" hidden="1">#REF!</definedName>
    <definedName name="_Table3_In2" localSheetId="22" hidden="1">#REF!</definedName>
    <definedName name="_Table3_In2" localSheetId="23" hidden="1">#REF!</definedName>
    <definedName name="_Table3_In2" hidden="1">#REF!</definedName>
    <definedName name="_tb2" localSheetId="22">#REF!</definedName>
    <definedName name="_tb2" localSheetId="23">#REF!</definedName>
    <definedName name="_tb2">#REF!</definedName>
    <definedName name="_TBC95" hidden="1">{#N/A,#N/A,FALSE,"Co_BalSht";#N/A,#N/A,FALSE,"Co_IncStmt";#N/A,#N/A,FALSE,"Cons_BalSht";#N/A,#N/A,FALSE,"Cons_IncStmt";#N/A,#N/A,FALSE,"Cashflow"}</definedName>
    <definedName name="_TW5" localSheetId="22">#REF!</definedName>
    <definedName name="_TW5" localSheetId="23">#REF!</definedName>
    <definedName name="_TW5">#REF!</definedName>
    <definedName name="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wrn1" hidden="1">{#N/A,#N/A,FALSE,"Co_BalSht";#N/A,#N/A,FALSE,"Co_IncStmt";#N/A,#N/A,FALSE,"Cons_BalSht";#N/A,#N/A,FALSE,"Cons_IncStmt";#N/A,#N/A,FALSE,"Cashflow"}</definedName>
    <definedName name="_wrn2" hidden="1">{#N/A,#N/A,FALSE,"Virgin Flightdeck"}</definedName>
    <definedName name="_wrn2_1" hidden="1">{#N/A,#N/A,FALSE,"Virgin Flightdeck"}</definedName>
    <definedName name="_wrn2_1_1" hidden="1">{#N/A,#N/A,FALSE,"Virgin Flightdeck"}</definedName>
    <definedName name="_wrn3" hidden="1">{#N/A,#N/A,FALSE,"Virgin Flightdeck"}</definedName>
    <definedName name="_wrn3_1" hidden="1">{#N/A,#N/A,FALSE,"Virgin Flightdeck"}</definedName>
    <definedName name="_wrn3_1_1" hidden="1">{#N/A,#N/A,FALSE,"Virgin Flightdeck"}</definedName>
    <definedName name="_wrn4" hidden="1">{#N/A,#N/A,FALSE,"Virgin Flightdeck"}</definedName>
    <definedName name="_wrn4_1" hidden="1">{#N/A,#N/A,FALSE,"Virgin Flightdeck"}</definedName>
    <definedName name="_wrn4_1_1" hidden="1">{#N/A,#N/A,FALSE,"Virgin Flightdeck"}</definedName>
    <definedName name="a" hidden="1">{"histincome",#N/A,FALSE,"hyfins";"closing balance",#N/A,FALSE,"hyfins"}</definedName>
    <definedName name="a." hidden="1">{#N/A,#N/A,TRUE,"KEY DATA";#N/A,#N/A,TRUE,"KEY DATA Base Case";#N/A,#N/A,TRUE,"JULY";#N/A,#N/A,TRUE,"AUG";#N/A,#N/A,TRUE,"SEPT";#N/A,#N/A,TRUE,"3Q"}</definedName>
    <definedName name="A.." hidden="1">{#N/A,#N/A,TRUE,"KEY DATA";#N/A,#N/A,TRUE,"KEY DATA Base Case";#N/A,#N/A,TRUE,"JULY";#N/A,#N/A,TRUE,"AUG";#N/A,#N/A,TRUE,"SEPT";#N/A,#N/A,TRUE,"3Q"}</definedName>
    <definedName name="A.._1" hidden="1">{#N/A,#N/A,TRUE,"KEY DATA";#N/A,#N/A,TRUE,"KEY DATA Base Case";#N/A,#N/A,TRUE,"JULY";#N/A,#N/A,TRUE,"AUG";#N/A,#N/A,TRUE,"SEPT";#N/A,#N/A,TRUE,"3Q"}</definedName>
    <definedName name="A.._1_1" hidden="1">{#N/A,#N/A,TRUE,"KEY DATA";#N/A,#N/A,TRUE,"KEY DATA Base Case";#N/A,#N/A,TRUE,"JULY";#N/A,#N/A,TRUE,"AUG";#N/A,#N/A,TRUE,"SEPT";#N/A,#N/A,TRUE,"3Q"}</definedName>
    <definedName name="a._1" hidden="1">{#N/A,#N/A,TRUE,"KEY DATA";#N/A,#N/A,TRUE,"KEY DATA Base Case";#N/A,#N/A,TRUE,"JULY";#N/A,#N/A,TRUE,"AUG";#N/A,#N/A,TRUE,"SEPT";#N/A,#N/A,TRUE,"3Q"}</definedName>
    <definedName name="a._1_1" hidden="1">{#N/A,#N/A,TRUE,"KEY DATA";#N/A,#N/A,TRUE,"KEY DATA Base Case";#N/A,#N/A,TRUE,"JULY";#N/A,#N/A,TRUE,"AUG";#N/A,#N/A,TRUE,"SEPT";#N/A,#N/A,TRUE,"3Q"}</definedName>
    <definedName name="a_1" hidden="1">{"histincome",#N/A,FALSE,"hyfins";"closing balance",#N/A,FALSE,"hyfins"}</definedName>
    <definedName name="a_1_1" hidden="1">{"histincome",#N/A,FALSE,"hyfins";"closing balance",#N/A,FALSE,"hyfins"}</definedName>
    <definedName name="A_GFA" localSheetId="22">#REF!</definedName>
    <definedName name="A_GFA" localSheetId="23">#REF!</definedName>
    <definedName name="A_GFA">#REF!</definedName>
    <definedName name="a0" localSheetId="22">#REF!</definedName>
    <definedName name="a0" localSheetId="23">#REF!</definedName>
    <definedName name="a0">#REF!</definedName>
    <definedName name="a77777777777777777" localSheetId="22">#REF!</definedName>
    <definedName name="a77777777777777777" localSheetId="23">#REF!</definedName>
    <definedName name="a77777777777777777">#REF!</definedName>
    <definedName name="aa" hidden="1">{#N/A,#N/A,TRUE,"KEY DATA";#N/A,#N/A,TRUE,"KEY DATA Base Case";#N/A,#N/A,TRUE,"JULY";#N/A,#N/A,TRUE,"AUG";#N/A,#N/A,TRUE,"SEPT";#N/A,#N/A,TRUE,"3Q"}</definedName>
    <definedName name="aa_1" hidden="1">{#N/A,#N/A,TRUE,"KEY DATA";#N/A,#N/A,TRUE,"KEY DATA Base Case";#N/A,#N/A,TRUE,"JULY";#N/A,#N/A,TRUE,"AUG";#N/A,#N/A,TRUE,"SEPT";#N/A,#N/A,TRUE,"3Q"}</definedName>
    <definedName name="aa_1_1" hidden="1">{#N/A,#N/A,TRUE,"KEY DATA";#N/A,#N/A,TRUE,"KEY DATA Base Case";#N/A,#N/A,TRUE,"JULY";#N/A,#N/A,TRUE,"AUG";#N/A,#N/A,TRUE,"SEPT";#N/A,#N/A,TRUE,"3Q"}</definedName>
    <definedName name="aaa" hidden="1">{#N/A,#N/A,TRUE,"Falcons_Standalone";#N/A,#N/A,TRUE,"Target_Input";#N/A,#N/A,TRUE,"Target_Calendarized"}</definedName>
    <definedName name="aaa." hidden="1">{#N/A,#N/A,TRUE,"KEY DATA";#N/A,#N/A,TRUE,"KEY DATA Base Case";#N/A,#N/A,TRUE,"JULY";#N/A,#N/A,TRUE,"AUG";#N/A,#N/A,TRUE,"SEPT";#N/A,#N/A,TRUE,"3Q"}</definedName>
    <definedName name="aaa._1" hidden="1">{#N/A,#N/A,TRUE,"KEY DATA";#N/A,#N/A,TRUE,"KEY DATA Base Case";#N/A,#N/A,TRUE,"JULY";#N/A,#N/A,TRUE,"AUG";#N/A,#N/A,TRUE,"SEPT";#N/A,#N/A,TRUE,"3Q"}</definedName>
    <definedName name="aaa._1_1" hidden="1">{#N/A,#N/A,TRUE,"KEY DATA";#N/A,#N/A,TRUE,"KEY DATA Base Case";#N/A,#N/A,TRUE,"JULY";#N/A,#N/A,TRUE,"AUG";#N/A,#N/A,TRUE,"SEPT";#N/A,#N/A,TRUE,"3Q"}</definedName>
    <definedName name="aaa_1" hidden="1">{#N/A,#N/A,TRUE,"Falcons_Standalone";#N/A,#N/A,TRUE,"Target_Input";#N/A,#N/A,TRUE,"Target_Calendarized"}</definedName>
    <definedName name="aaa_1_1" hidden="1">{#N/A,#N/A,TRUE,"Falcons_Standalone";#N/A,#N/A,TRUE,"Target_Input";#N/A,#N/A,TRUE,"Target_Calendarized"}</definedName>
    <definedName name="AAA_DOCTOPS" hidden="1">"AAA_SET"</definedName>
    <definedName name="AAA_duser" hidden="1">"OFF"</definedName>
    <definedName name="aaaa"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aaa" localSheetId="22">#REF!</definedName>
    <definedName name="aaaaaaa" localSheetId="23">#REF!</definedName>
    <definedName name="aaaaaaa">#REF!</definedName>
    <definedName name="aaaasdf" hidden="1">{#N/A,#N/A,TRUE,"GEM Total";#N/A,#N/A,TRUE,"Final Assembly";#N/A,#N/A,TRUE,"Cleaning";#N/A,#N/A,TRUE,"Schooping,Clearing";#N/A,#N/A,TRUE,"Winding"}</definedName>
    <definedName name="aaaasdf_1" hidden="1">{#N/A,#N/A,TRUE,"GEM Total";#N/A,#N/A,TRUE,"Final Assembly";#N/A,#N/A,TRUE,"Cleaning";#N/A,#N/A,TRUE,"Schooping,Clearing";#N/A,#N/A,TRUE,"Winding"}</definedName>
    <definedName name="aaaasdf_1_1" hidden="1">{#N/A,#N/A,TRUE,"GEM Total";#N/A,#N/A,TRUE,"Final Assembly";#N/A,#N/A,TRUE,"Cleaning";#N/A,#N/A,TRUE,"Schooping,Clearing";#N/A,#N/A,TRUE,"Winding"}</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 hidden="1">{#N/A,#N/A,FALSE,"Projections";#N/A,#N/A,FALSE,"Multiples Valuation";#N/A,#N/A,FALSE,"LBO";#N/A,#N/A,FALSE,"Multiples_Sensitivity";#N/A,#N/A,FALSE,"Summary"}</definedName>
    <definedName name="aabb_1" hidden="1">{#N/A,#N/A,FALSE,"Projections";#N/A,#N/A,FALSE,"Multiples Valuation";#N/A,#N/A,FALSE,"LBO";#N/A,#N/A,FALSE,"Multiples_Sensitivity";#N/A,#N/A,FALSE,"Summary"}</definedName>
    <definedName name="aabb_1_1" hidden="1">{#N/A,#N/A,FALSE,"Projections";#N/A,#N/A,FALSE,"Multiples Valuation";#N/A,#N/A,FALSE,"LBO";#N/A,#N/A,FALSE,"Multiples_Sensitivity";#N/A,#N/A,FALSE,"Summary"}</definedName>
    <definedName name="AB" localSheetId="22">[0]!JEPUMS*!H14:XEY1048565</definedName>
    <definedName name="AB" localSheetId="23">[0]!JEPUMS*!H14:XEY1048565</definedName>
    <definedName name="AB">[0]!JEPUMS*!H14:XEY1048565</definedName>
    <definedName name="abc" hidden="1">{"histincome",#N/A,FALSE,"hyfins";"closing balance",#N/A,FALSE,"hyfins"}</definedName>
    <definedName name="abc.xls" hidden="1">{"toptrial",#N/A,TRUE,"toptrial";"adjustment",#N/A,TRUE,"toptrial";"voucher",#N/A,TRUE,"toptrial"}</definedName>
    <definedName name="abc_1" hidden="1">{"histincome",#N/A,FALSE,"hyfins";"closing balance",#N/A,FALSE,"hyfins"}</definedName>
    <definedName name="abc_1_1" hidden="1">{"histincome",#N/A,FALSE,"hyfins";"closing balance",#N/A,FALSE,"hyfins"}</definedName>
    <definedName name="abcbccb" localSheetId="22">#REF!</definedName>
    <definedName name="abcbccb" localSheetId="23">#REF!</definedName>
    <definedName name="abcbccb">#REF!</definedName>
    <definedName name="abcd" hidden="1">{"histincome",#N/A,FALSE,"hyfins";"closing balance",#N/A,FALSE,"hyfins"}</definedName>
    <definedName name="abcd_1" hidden="1">{"histincome",#N/A,FALSE,"hyfins";"closing balance",#N/A,FALSE,"hyfins"}</definedName>
    <definedName name="abcd_1_1" hidden="1">{"histincome",#N/A,FALSE,"hyfins";"closing balance",#N/A,FALSE,"hyfins"}</definedName>
    <definedName name="abdefc.xls" hidden="1">{"toptrial",#N/A,TRUE,"toptrial";"adjustment",#N/A,TRUE,"toptrial";"voucher",#N/A,TRUE,"toptrial"}</definedName>
    <definedName name="abs" localSheetId="22">#REF!</definedName>
    <definedName name="abs" localSheetId="23">#REF!</definedName>
    <definedName name="abs">#REF!</definedName>
    <definedName name="AC" localSheetId="22">#REF!</definedName>
    <definedName name="AC" localSheetId="23">#REF!</definedName>
    <definedName name="AC">#REF!</definedName>
    <definedName name="AccessDatabase" hidden="1">"Z:\FI\Finance\Liuxj\Export sales\pastdue-e 2004\France 04.mdb"</definedName>
    <definedName name="Accounts" localSheetId="22">#REF!</definedName>
    <definedName name="Accounts" localSheetId="23">#REF!</definedName>
    <definedName name="Accounts">#REF!</definedName>
    <definedName name="ActualColor" localSheetId="22">#REF!</definedName>
    <definedName name="ActualColor" localSheetId="23">#REF!</definedName>
    <definedName name="ActualColor" localSheetId="51">#REF!</definedName>
    <definedName name="ActualColor">#REF!</definedName>
    <definedName name="ActualLower" localSheetId="22">#REF!</definedName>
    <definedName name="ActualLower" localSheetId="23">#REF!</definedName>
    <definedName name="ActualLower" localSheetId="51">#REF!</definedName>
    <definedName name="ActualLower">#REF!</definedName>
    <definedName name="ActualTotal" localSheetId="22">#REF!</definedName>
    <definedName name="ActualTotal" localSheetId="23">#REF!</definedName>
    <definedName name="ActualTotal" localSheetId="51">#REF!</definedName>
    <definedName name="ActualTotal">#REF!</definedName>
    <definedName name="ActualTotalDetail" localSheetId="22">#REF!</definedName>
    <definedName name="ActualTotalDetail" localSheetId="23">#REF!</definedName>
    <definedName name="ActualTotalDetail" localSheetId="51">#REF!</definedName>
    <definedName name="ActualTotalDetail">#REF!</definedName>
    <definedName name="ActualTotalWeighted" localSheetId="22">#REF!</definedName>
    <definedName name="ActualTotalWeighted" localSheetId="23">#REF!</definedName>
    <definedName name="ActualTotalWeighted" localSheetId="51">#REF!</definedName>
    <definedName name="ActualTotalWeighted">#REF!</definedName>
    <definedName name="ActualUpper" localSheetId="22">#REF!</definedName>
    <definedName name="ActualUpper" localSheetId="23">#REF!</definedName>
    <definedName name="ActualUpper" localSheetId="51">#REF!</definedName>
    <definedName name="ActualUpper">#REF!</definedName>
    <definedName name="ada" hidden="1">{#N/A,#N/A,FALSE,"资产负债表";#N/A,#N/A,FALSE,"资产负债表"}</definedName>
    <definedName name="adaf" hidden="1">{#N/A,#N/A,FALSE,"资产负债表";#N/A,#N/A,FALSE,"资产负债表"}</definedName>
    <definedName name="ADD" localSheetId="22">#REF!</definedName>
    <definedName name="ADD" localSheetId="23">#REF!</definedName>
    <definedName name="ADD">#REF!</definedName>
    <definedName name="adee" localSheetId="22">#REF!</definedName>
    <definedName name="adee" localSheetId="23">#REF!</definedName>
    <definedName name="adee">#REF!</definedName>
    <definedName name="AdjustedITSD" localSheetId="22">#REF!</definedName>
    <definedName name="AdjustedITSD" localSheetId="23">#REF!</definedName>
    <definedName name="AdjustedITSD">#REF!</definedName>
    <definedName name="ADMIN" localSheetId="22">#REF!</definedName>
    <definedName name="ADMIN" localSheetId="23">#REF!</definedName>
    <definedName name="ADMIN">#REF!</definedName>
    <definedName name="adsas" hidden="1">{#N/A,#N/A,FALSE,"Aging Summary";#N/A,#N/A,FALSE,"Ratio Analysis";#N/A,#N/A,FALSE,"Test 120 Day Accts";#N/A,#N/A,FALSE,"Tickmarks"}</definedName>
    <definedName name="ADV" hidden="1">{#N/A,#N/A,FALSE,"431"}</definedName>
    <definedName name="aewr" hidden="1">{"mgmt forecast",#N/A,FALSE,"Mgmt Forecast";"dcf table",#N/A,FALSE,"Mgmt Forecast";"sensitivity",#N/A,FALSE,"Mgmt Forecast";"table inputs",#N/A,FALSE,"Mgmt Forecast";"calculations",#N/A,FALSE,"Mgmt Forecast"}</definedName>
    <definedName name="aewr_1" hidden="1">{"mgmt forecast",#N/A,FALSE,"Mgmt Forecast";"dcf table",#N/A,FALSE,"Mgmt Forecast";"sensitivity",#N/A,FALSE,"Mgmt Forecast";"table inputs",#N/A,FALSE,"Mgmt Forecast";"calculations",#N/A,FALSE,"Mgmt Forecast"}</definedName>
    <definedName name="aewr_1_1" hidden="1">{"mgmt forecast",#N/A,FALSE,"Mgmt Forecast";"dcf table",#N/A,FALSE,"Mgmt Forecast";"sensitivity",#N/A,FALSE,"Mgmt Forecast";"table inputs",#N/A,FALSE,"Mgmt Forecast";"calculations",#N/A,FALSE,"Mgmt Forecast"}</definedName>
    <definedName name="afd" localSheetId="22">Main.SAPF4Help()</definedName>
    <definedName name="afd" localSheetId="23">Main.SAPF4Help()</definedName>
    <definedName name="afd" localSheetId="51">Main.SAPF4Help()</definedName>
    <definedName name="afd">Main.SAPF4Help()</definedName>
    <definedName name="afhai" hidden="1">{#N/A,#N/A,FALSE,"资产负债表";#N/A,#N/A,FALSE,"资产负债表"}</definedName>
    <definedName name="afsdfd" hidden="1">{"HOMEPAGE",#N/A,FALSE,"HOME";"Report1_Q1",#N/A,FALSE,"REPORT1"}</definedName>
    <definedName name="agfagagaga" localSheetId="22" hidden="1">#REF!</definedName>
    <definedName name="agfagagaga" localSheetId="23" hidden="1">#REF!</definedName>
    <definedName name="agfagagaga" localSheetId="51" hidden="1">#REF!</definedName>
    <definedName name="agfagagaga" hidden="1">#REF!</definedName>
    <definedName name="ahhah" localSheetId="22">#REF!</definedName>
    <definedName name="ahhah" localSheetId="23">#REF!</definedName>
    <definedName name="ahhah">#REF!</definedName>
    <definedName name="ai" localSheetId="22">#REF!</definedName>
    <definedName name="ai" localSheetId="23">#REF!</definedName>
    <definedName name="ai">#REF!</definedName>
    <definedName name="aidhaif" hidden="1">{#N/A,#N/A,FALSE,"资产负债表";#N/A,#N/A,FALSE,"资产负债表"}</definedName>
    <definedName name="AKKKKKKIIKK" localSheetId="22">#REF!</definedName>
    <definedName name="AKKKKKKIIKK" localSheetId="23">#REF!</definedName>
    <definedName name="AKKKKKKIIKK">#REF!</definedName>
    <definedName name="al" localSheetId="22">#REF!</definedName>
    <definedName name="al" localSheetId="23">#REF!</definedName>
    <definedName name="al">#REF!</definedName>
    <definedName name="ALBERT_COMPLEX" localSheetId="22">#REF!</definedName>
    <definedName name="ALBERT_COMPLEX" localSheetId="23">#REF!</definedName>
    <definedName name="ALBERT_COMPLEX">#REF!</definedName>
    <definedName name="All_Accounts" localSheetId="22">#REF!</definedName>
    <definedName name="All_Accounts" localSheetId="23">#REF!</definedName>
    <definedName name="All_Accounts" localSheetId="51">#REF!</definedName>
    <definedName name="All_Accounts">#REF!</definedName>
    <definedName name="All_Product_Houses" localSheetId="22">#REF!</definedName>
    <definedName name="All_Product_Houses" localSheetId="23">#REF!</definedName>
    <definedName name="All_Product_Houses" localSheetId="51">#REF!</definedName>
    <definedName name="All_Product_Houses">#REF!</definedName>
    <definedName name="All_Product_Lines" localSheetId="22">#REF!</definedName>
    <definedName name="All_Product_Lines" localSheetId="23">#REF!</definedName>
    <definedName name="All_Product_Lines" localSheetId="51">#REF!</definedName>
    <definedName name="All_Product_Lines">#REF!</definedName>
    <definedName name="AllCountries" localSheetId="22">#REF!</definedName>
    <definedName name="AllCountries" localSheetId="23">#REF!</definedName>
    <definedName name="AllCountries" localSheetId="51">#REF!</definedName>
    <definedName name="AllCountries">#REF!</definedName>
    <definedName name="Amortization" localSheetId="22">#REF!</definedName>
    <definedName name="Amortization" localSheetId="23">#REF!</definedName>
    <definedName name="Amortization">#REF!</definedName>
    <definedName name="Amortization_Charles" localSheetId="22">#REF!</definedName>
    <definedName name="Amortization_Charles" localSheetId="23">#REF!</definedName>
    <definedName name="Amortization_Charles">#REF!</definedName>
    <definedName name="anakf" hidden="1">{#N/A,#N/A,FALSE,"资产负债表";#N/A,#N/A,FALSE,"资产负债表"}</definedName>
    <definedName name="Angela" localSheetId="22">Main.SAPF4Help()</definedName>
    <definedName name="Angela" localSheetId="23">Main.SAPF4Help()</definedName>
    <definedName name="Angela" localSheetId="51">Main.SAPF4Help()</definedName>
    <definedName name="Angela">Main.SAPF4Help()</definedName>
    <definedName name="anscount" hidden="1">1</definedName>
    <definedName name="AP" localSheetId="22">Main.SAPF4Help()</definedName>
    <definedName name="AP" localSheetId="23">Main.SAPF4Help()</definedName>
    <definedName name="AP" localSheetId="51">Main.SAPF4Help()</definedName>
    <definedName name="AP">Main.SAPF4Help()</definedName>
    <definedName name="appl" localSheetId="22">#REF!</definedName>
    <definedName name="appl" localSheetId="23">#REF!</definedName>
    <definedName name="appl" localSheetId="51">#REF!</definedName>
    <definedName name="appl">#REF!</definedName>
    <definedName name="April" localSheetId="22">#REF!</definedName>
    <definedName name="April" localSheetId="23">#REF!</definedName>
    <definedName name="April">#REF!</definedName>
    <definedName name="as" hidden="1">{"cover page",#N/A,TRUE,"Cover sheet";"Assumptions",#N/A,TRUE,"Main Sheet";"Growth Rates and Margins and Ratios",#N/A,TRUE,"Main Sheet";"Income Statement",#N/A,TRUE,"Main Sheet";"Balance Sheet",#N/A,TRUE,"Main Sheet";"Interest Schedule",#N/A,TRUE,"Main Sheet";"Cashflows",#N/A,TRUE,"Main Sheet"}</definedName>
    <definedName name="AS2DocOpenMode" hidden="1">"AS2DocumentEdit"</definedName>
    <definedName name="AS2HasNoAutoHeaderFooter" hidden="1">" "</definedName>
    <definedName name="AS2NamedRange" hidden="1">4</definedName>
    <definedName name="AS2ReportLS" hidden="1">1</definedName>
    <definedName name="AS2StaticLS" localSheetId="22" hidden="1">#REF!</definedName>
    <definedName name="AS2StaticLS" localSheetId="23" hidden="1">#REF!</definedName>
    <definedName name="AS2StaticLS" localSheetId="51" hidden="1">#REF!</definedName>
    <definedName name="AS2StaticLS" hidden="1">#REF!</definedName>
    <definedName name="AS2SyncStepLS" hidden="1">0</definedName>
    <definedName name="AS2TickmarkLS" localSheetId="22" hidden="1">#REF!</definedName>
    <definedName name="AS2TickmarkLS" localSheetId="23" hidden="1">#REF!</definedName>
    <definedName name="AS2TickmarkLS" localSheetId="51" hidden="1">#REF!</definedName>
    <definedName name="AS2TickmarkLS" hidden="1">#REF!</definedName>
    <definedName name="AS2VersionLS" hidden="1">300</definedName>
    <definedName name="asd" hidden="1">{#N/A,#N/A,FALSE,"DCF Summary";#N/A,#N/A,FALSE,"Casema";#N/A,#N/A,FALSE,"Casema NoTel";#N/A,#N/A,FALSE,"UK";#N/A,#N/A,FALSE,"RCF";#N/A,#N/A,FALSE,"Intercable CZ";#N/A,#N/A,FALSE,"Interkabel P"}</definedName>
    <definedName name="asda" hidden="1">{"Page1",#N/A,FALSE,"DILUT1";"Page2",#N/A,FALSE,"DILUT1";"Page3",#N/A,FALSE,"DILUT1"}</definedName>
    <definedName name="asda_1" hidden="1">{"Page1",#N/A,FALSE,"DILUT1";"Page2",#N/A,FALSE,"DILUT1";"Page3",#N/A,FALSE,"DILUT1"}</definedName>
    <definedName name="asda_1_1" hidden="1">{"Page1",#N/A,FALSE,"DILUT1";"Page2",#N/A,FALSE,"DILUT1";"Page3",#N/A,FALSE,"DILUT1"}</definedName>
    <definedName name="asdasd" hidden="1">{#N/A,#N/A,TRUE,"Acquirer_Cases_Input";#N/A,#N/A,TRUE,"Acquirer_Input";#N/A,#N/A,TRUE,"Acquirer"}</definedName>
    <definedName name="asdasd_1" hidden="1">{#N/A,#N/A,TRUE,"Acquirer_Cases_Input";#N/A,#N/A,TRUE,"Acquirer_Input";#N/A,#N/A,TRUE,"Acquirer"}</definedName>
    <definedName name="asdasd_1_1" hidden="1">{#N/A,#N/A,TRUE,"Acquirer_Cases_Input";#N/A,#N/A,TRUE,"Acquirer_Input";#N/A,#N/A,TRUE,"Acquirer"}</definedName>
    <definedName name="asdf" hidden="1">{#N/A,#N/A,TRUE,"KEY DATA";#N/A,#N/A,TRUE,"KEY DATA Base Case";#N/A,#N/A,TRUE,"JULY";#N/A,#N/A,TRUE,"AUG";#N/A,#N/A,TRUE,"SEPT";#N/A,#N/A,TRUE,"3Q"}</definedName>
    <definedName name="asdf_1" hidden="1">{#N/A,#N/A,TRUE,"KEY DATA";#N/A,#N/A,TRUE,"KEY DATA Base Case";#N/A,#N/A,TRUE,"JULY";#N/A,#N/A,TRUE,"AUG";#N/A,#N/A,TRUE,"SEPT";#N/A,#N/A,TRUE,"3Q"}</definedName>
    <definedName name="asdf_1_1" hidden="1">{#N/A,#N/A,TRUE,"KEY DATA";#N/A,#N/A,TRUE,"KEY DATA Base Case";#N/A,#N/A,TRUE,"JULY";#N/A,#N/A,TRUE,"AUG";#N/A,#N/A,TRUE,"SEPT";#N/A,#N/A,TRUE,"3Q"}</definedName>
    <definedName name="asdfasdf" hidden="1">{#N/A,#N/A,FALSE,"TS";#N/A,#N/A,FALSE,"Combo";#N/A,#N/A,FALSE,"FAIR";#N/A,#N/A,FALSE,"RBC";#N/A,#N/A,FALSE,"xxxx";#N/A,#N/A,FALSE,"A_D";#N/A,#N/A,FALSE,"WACC";#N/A,#N/A,FALSE,"DCF";#N/A,#N/A,FALSE,"LBO";#N/A,#N/A,FALSE,"AcqMults";#N/A,#N/A,FALSE,"CompMults"}</definedName>
    <definedName name="asdfasdf_1" hidden="1">{#N/A,#N/A,FALSE,"TS";#N/A,#N/A,FALSE,"Combo";#N/A,#N/A,FALSE,"FAIR";#N/A,#N/A,FALSE,"RBC";#N/A,#N/A,FALSE,"xxxx";#N/A,#N/A,FALSE,"A_D";#N/A,#N/A,FALSE,"WACC";#N/A,#N/A,FALSE,"DCF";#N/A,#N/A,FALSE,"LBO";#N/A,#N/A,FALSE,"AcqMults";#N/A,#N/A,FALSE,"CompMults"}</definedName>
    <definedName name="asdfasdf_1_1" hidden="1">{#N/A,#N/A,FALSE,"TS";#N/A,#N/A,FALSE,"Combo";#N/A,#N/A,FALSE,"FAIR";#N/A,#N/A,FALSE,"RBC";#N/A,#N/A,FALSE,"xxxx";#N/A,#N/A,FALSE,"A_D";#N/A,#N/A,FALSE,"WACC";#N/A,#N/A,FALSE,"DCF";#N/A,#N/A,FALSE,"LBO";#N/A,#N/A,FALSE,"AcqMults";#N/A,#N/A,FALSE,"CompMults"}</definedName>
    <definedName name="asdfbackground" hidden="1">{"reports",#N/A,FALSE,"Balance Sheet"}</definedName>
    <definedName name="asdfdd" hidden="1">{"mgmt forecast",#N/A,FALSE,"Mgmt Forecast";"dcf table",#N/A,FALSE,"Mgmt Forecast";"sensitivity",#N/A,FALSE,"Mgmt Forecast";"table inputs",#N/A,FALSE,"Mgmt Forecast";"calculations",#N/A,FALSE,"Mgmt Forecast"}</definedName>
    <definedName name="asdfdd_1" hidden="1">{"mgmt forecast",#N/A,FALSE,"Mgmt Forecast";"dcf table",#N/A,FALSE,"Mgmt Forecast";"sensitivity",#N/A,FALSE,"Mgmt Forecast";"table inputs",#N/A,FALSE,"Mgmt Forecast";"calculations",#N/A,FALSE,"Mgmt Forecast"}</definedName>
    <definedName name="asdfdd_1_1" hidden="1">{"mgmt forecast",#N/A,FALSE,"Mgmt Forecast";"dcf table",#N/A,FALSE,"Mgmt Forecast";"sensitivity",#N/A,FALSE,"Mgmt Forecast";"table inputs",#N/A,FALSE,"Mgmt Forecast";"calculations",#N/A,FALSE,"Mgmt Forecast"}</definedName>
    <definedName name="asdffasfasdfasdsd" localSheetId="22" hidden="1">#REF!</definedName>
    <definedName name="asdffasfasdfasdsd" localSheetId="23" hidden="1">#REF!</definedName>
    <definedName name="asdffasfasdfasdsd" localSheetId="51" hidden="1">#REF!</definedName>
    <definedName name="asdffasfasdfasdsd" hidden="1">#REF!</definedName>
    <definedName name="asdgfdsafdsaf" localSheetId="22" hidden="1">#REF!</definedName>
    <definedName name="asdgfdsafdsaf" localSheetId="23" hidden="1">#REF!</definedName>
    <definedName name="asdgfdsafdsaf" localSheetId="51" hidden="1">#REF!</definedName>
    <definedName name="asdgfdsafdsaf" hidden="1">#REF!</definedName>
    <definedName name="ased" localSheetId="22">#REF!</definedName>
    <definedName name="ased" localSheetId="23">#REF!</definedName>
    <definedName name="ased">#REF!</definedName>
    <definedName name="asfd" hidden="1">{"HOMEPAGE",#N/A,FALSE,"HOME";"Report1_Q1",#N/A,FALSE,"REPORT1"}</definedName>
    <definedName name="asset_value" localSheetId="22">#REF!</definedName>
    <definedName name="asset_value" localSheetId="23">#REF!</definedName>
    <definedName name="asset_value">#REF!</definedName>
    <definedName name="ATSeXToEUR" localSheetId="22" hidden="1">1/EUReXToATS</definedName>
    <definedName name="ATSeXToEUR" localSheetId="23" hidden="1">1/EUReXToATS</definedName>
    <definedName name="ATSeXToEUR" localSheetId="51" hidden="1">1/EUReXToATS</definedName>
    <definedName name="ATSeXToEUR" hidden="1">1/EUReXToATS</definedName>
    <definedName name="August" localSheetId="22">#REF!</definedName>
    <definedName name="August" localSheetId="23">#REF!</definedName>
    <definedName name="August">#REF!</definedName>
    <definedName name="avavav" localSheetId="22" hidden="1">#REF!</definedName>
    <definedName name="avavav" localSheetId="23" hidden="1">#REF!</definedName>
    <definedName name="avavav" localSheetId="51" hidden="1">#REF!</definedName>
    <definedName name="avavav" hidden="1">#REF!</definedName>
    <definedName name="AW" localSheetId="22">#REF!</definedName>
    <definedName name="AW" localSheetId="23">#REF!</definedName>
    <definedName name="AW" localSheetId="51">#REF!</definedName>
    <definedName name="AW">#REF!</definedName>
    <definedName name="awerqawe" hidden="1">{"VIEW ACTUALS 1",#N/A,TRUE,"Report1";"VIEW ACTUALS 2",#N/A,TRUE,"Report1";"SCALE COMPARISON",#N/A,TRUE,"Report1"}</definedName>
    <definedName name="awert" hidden="1">{#N/A,#N/A,FALSE,"ORIX CSC"}</definedName>
    <definedName name="awert_1" hidden="1">{#N/A,#N/A,FALSE,"ORIX CSC"}</definedName>
    <definedName name="awert_1_1" hidden="1">{#N/A,#N/A,FALSE,"ORIX CSC"}</definedName>
    <definedName name="az" localSheetId="22">#REF!</definedName>
    <definedName name="az" localSheetId="23">#REF!</definedName>
    <definedName name="az">#REF!</definedName>
    <definedName name="azasxassx" localSheetId="22" hidden="1">#REF!</definedName>
    <definedName name="azasxassx" localSheetId="23" hidden="1">#REF!</definedName>
    <definedName name="azasxassx" localSheetId="51" hidden="1">#REF!</definedName>
    <definedName name="azasxassx" hidden="1">#REF!</definedName>
    <definedName name="b" hidden="1">{"histincome",#N/A,FALSE,"hyfins";"closing balance",#N/A,FALSE,"hyfins"}</definedName>
    <definedName name="b_1" hidden="1">{"histincome",#N/A,FALSE,"hyfins";"closing balance",#N/A,FALSE,"hyfins"}</definedName>
    <definedName name="b_1_1" hidden="1">{"histincome",#N/A,FALSE,"hyfins";"closing balance",#N/A,FALSE,"hyfins"}</definedName>
    <definedName name="b_2" localSheetId="22">#REF!</definedName>
    <definedName name="b_2" localSheetId="23">#REF!</definedName>
    <definedName name="b_2">#REF!</definedName>
    <definedName name="b_3" localSheetId="22">#REF!</definedName>
    <definedName name="b_3" localSheetId="23">#REF!</definedName>
    <definedName name="b_3">#REF!</definedName>
    <definedName name="b_4" localSheetId="22">#REF!</definedName>
    <definedName name="b_4" localSheetId="23">#REF!</definedName>
    <definedName name="b_4">#REF!</definedName>
    <definedName name="b11111111111111" localSheetId="22">#REF!</definedName>
    <definedName name="b11111111111111" localSheetId="23">#REF!</definedName>
    <definedName name="b11111111111111">#REF!</definedName>
    <definedName name="ba" hidden="1">{#N/A,#N/A,FALSE,"Virgin Flightdeck"}</definedName>
    <definedName name="ba_1" hidden="1">{#N/A,#N/A,FALSE,"Virgin Flightdeck"}</definedName>
    <definedName name="ba_1_1" hidden="1">{#N/A,#N/A,FALSE,"Virgin Flightdeck"}</definedName>
    <definedName name="backup" hidden="1">{#N/A,#N/A,TRUE,"KEY DATA";#N/A,#N/A,TRUE,"KEY DATA Base Case";#N/A,#N/A,TRUE,"JULY";#N/A,#N/A,TRUE,"AUG";#N/A,#N/A,TRUE,"SEPT";#N/A,#N/A,TRUE,"3Q"}</definedName>
    <definedName name="backup." hidden="1">{#N/A,#N/A,TRUE,"KEY DATA";#N/A,#N/A,TRUE,"KEY DATA Base Case";#N/A,#N/A,TRUE,"JULY";#N/A,#N/A,TRUE,"AUG";#N/A,#N/A,TRUE,"SEPT";#N/A,#N/A,TRUE,"3Q"}</definedName>
    <definedName name="backup._1" hidden="1">{#N/A,#N/A,TRUE,"KEY DATA";#N/A,#N/A,TRUE,"KEY DATA Base Case";#N/A,#N/A,TRUE,"JULY";#N/A,#N/A,TRUE,"AUG";#N/A,#N/A,TRUE,"SEPT";#N/A,#N/A,TRUE,"3Q"}</definedName>
    <definedName name="backup._1_1" hidden="1">{#N/A,#N/A,TRUE,"KEY DATA";#N/A,#N/A,TRUE,"KEY DATA Base Case";#N/A,#N/A,TRUE,"JULY";#N/A,#N/A,TRUE,"AUG";#N/A,#N/A,TRUE,"SEPT";#N/A,#N/A,TRUE,"3Q"}</definedName>
    <definedName name="backup_1" hidden="1">{#N/A,#N/A,TRUE,"KEY DATA";#N/A,#N/A,TRUE,"KEY DATA Base Case";#N/A,#N/A,TRUE,"JULY";#N/A,#N/A,TRUE,"AUG";#N/A,#N/A,TRUE,"SEPT";#N/A,#N/A,TRUE,"3Q"}</definedName>
    <definedName name="backup_1_1" hidden="1">{#N/A,#N/A,TRUE,"KEY DATA";#N/A,#N/A,TRUE,"KEY DATA Base Case";#N/A,#N/A,TRUE,"JULY";#N/A,#N/A,TRUE,"AUG";#N/A,#N/A,TRUE,"SEPT";#N/A,#N/A,TRUE,"3Q"}</definedName>
    <definedName name="balance_type">1</definedName>
    <definedName name="BalSheet" localSheetId="22">#REF!</definedName>
    <definedName name="BalSheet" localSheetId="23">#REF!</definedName>
    <definedName name="BalSheet" localSheetId="51">#REF!</definedName>
    <definedName name="BalSheet">#REF!</definedName>
    <definedName name="BalSheet_Agere" localSheetId="22">#REF!</definedName>
    <definedName name="BalSheet_Agere" localSheetId="23">#REF!</definedName>
    <definedName name="BalSheet_Agere" localSheetId="51">#REF!</definedName>
    <definedName name="BalSheet_Agere">#REF!</definedName>
    <definedName name="BalSheet_Continuing" localSheetId="22">#REF!</definedName>
    <definedName name="BalSheet_Continuing" localSheetId="23">#REF!</definedName>
    <definedName name="BalSheet_Continuing" localSheetId="51">#REF!</definedName>
    <definedName name="BalSheet_Continuing">#REF!</definedName>
    <definedName name="BalSheet_Dec_Continuing" localSheetId="22">#REF!</definedName>
    <definedName name="BalSheet_Dec_Continuing" localSheetId="23">#REF!</definedName>
    <definedName name="BalSheet_Dec_Continuing" localSheetId="51">#REF!</definedName>
    <definedName name="BalSheet_Dec_Continuing">#REF!</definedName>
    <definedName name="BalSheet_March_Continuing" localSheetId="22">#REF!</definedName>
    <definedName name="BalSheet_March_Continuing" localSheetId="23">#REF!</definedName>
    <definedName name="BalSheet_March_Continuing" localSheetId="51">#REF!</definedName>
    <definedName name="BalSheet_March_Continuing">#REF!</definedName>
    <definedName name="BarWidth" localSheetId="22">#REF!</definedName>
    <definedName name="BarWidth" localSheetId="23">#REF!</definedName>
    <definedName name="BarWidth" localSheetId="51">#REF!</definedName>
    <definedName name="BarWidth">#REF!</definedName>
    <definedName name="bb" hidden="1">{#N/A,#N/A,FALSE,"Consolidated Shipley";#N/A,#N/A,FALSE,"Consolidated PWB";#N/A,#N/A,FALSE,"Consolidated Micro"}</definedName>
    <definedName name="bb_1" hidden="1">{#N/A,#N/A,FALSE,"Consolidated Shipley";#N/A,#N/A,FALSE,"Consolidated PWB";#N/A,#N/A,FALSE,"Consolidated Micro"}</definedName>
    <definedName name="bb_1_1" hidden="1">{#N/A,#N/A,FALSE,"Consolidated Shipley";#N/A,#N/A,FALSE,"Consolidated PWB";#N/A,#N/A,FALSE,"Consolidated Micro"}</definedName>
    <definedName name="bbb" hidden="1">{#N/A,#N/A,FALSE,"Consolidated Shipley";#N/A,#N/A,FALSE,"Consolidated PWB";#N/A,#N/A,FALSE,"Consolidated Micro"}</definedName>
    <definedName name="bbb_1" hidden="1">{#N/A,#N/A,FALSE,"Consolidated Shipley";#N/A,#N/A,FALSE,"Consolidated PWB";#N/A,#N/A,FALSE,"Consolidated Micro"}</definedName>
    <definedName name="bbb_1_1" hidden="1">{#N/A,#N/A,FALSE,"Consolidated Shipley";#N/A,#N/A,FALSE,"Consolidated PWB";#N/A,#N/A,FALSE,"Consolidated Micro"}</definedName>
    <definedName name="bbbb" hidden="1">{"gross_margin1",#N/A,FALSE,"Gross Margin Detail";"gross_margin2",#N/A,FALSE,"Gross Margin Detail"}</definedName>
    <definedName name="bbbb_1" hidden="1">{"gross_margin1",#N/A,FALSE,"Gross Margin Detail";"gross_margin2",#N/A,FALSE,"Gross Margin Detail"}</definedName>
    <definedName name="bbbb_1_1" hidden="1">{"gross_margin1",#N/A,FALSE,"Gross Margin Detail";"gross_margin2",#N/A,FALSE,"Gross Margin Detail"}</definedName>
    <definedName name="bbbbb" hidden="1">{"historical acquirer",#N/A,FALSE,"Historical Performance";"historical target",#N/A,FALSE,"Historical Performance"}</definedName>
    <definedName name="bbbbb_1" hidden="1">{"historical acquirer",#N/A,FALSE,"Historical Performance";"historical target",#N/A,FALSE,"Historical Performance"}</definedName>
    <definedName name="bbbbb_1_1" hidden="1">{"historical acquirer",#N/A,FALSE,"Historical Performance";"historical target",#N/A,FALSE,"Historical Performance"}</definedName>
    <definedName name="bbbbbb" hidden="1">{#N/A,#N/A,TRUE,"Acquirer_Cases_Input";#N/A,#N/A,TRUE,"Acquirer_Input";#N/A,#N/A,TRUE,"Acquirer"}</definedName>
    <definedName name="bbbbbb_1" hidden="1">{#N/A,#N/A,TRUE,"Acquirer_Cases_Input";#N/A,#N/A,TRUE,"Acquirer_Input";#N/A,#N/A,TRUE,"Acquirer"}</definedName>
    <definedName name="bbbbbb_1_1" hidden="1">{#N/A,#N/A,TRUE,"Acquirer_Cases_Input";#N/A,#N/A,TRUE,"Acquirer_Input";#N/A,#N/A,TRUE,"Acquirer"}</definedName>
    <definedName name="bbbbbbb" hidden="1">{"graph",#N/A,FALSE,"WWJU";"graph",#N/A,FALSE,"WWSEM";"graph",#N/A,FALSE,"GOMJU";"graph",#N/A,FALSE,"GOMSEM";"graph",#N/A,FALSE,"NSJU";"graph",#N/A,FALSE,"NSSEM";"graph",#N/A,FALSE,"WAJU";"graph",#N/A,FALSE,"STOCKPRI";"graph",#N/A,FALSE,"CFTEV";"graph",#N/A,FALSE,"NAV-RCV";"graph",#N/A,FALSE,"CRUDEWW"}</definedName>
    <definedName name="bbbbbbb_1" hidden="1">{"graph",#N/A,FALSE,"WWJU";"graph",#N/A,FALSE,"WWSEM";"graph",#N/A,FALSE,"GOMJU";"graph",#N/A,FALSE,"GOMSEM";"graph",#N/A,FALSE,"NSJU";"graph",#N/A,FALSE,"NSSEM";"graph",#N/A,FALSE,"WAJU";"graph",#N/A,FALSE,"STOCKPRI";"graph",#N/A,FALSE,"CFTEV";"graph",#N/A,FALSE,"NAV-RCV";"graph",#N/A,FALSE,"CRUDEWW"}</definedName>
    <definedName name="bbbbbbb_1_1" hidden="1">{"graph",#N/A,FALSE,"WWJU";"graph",#N/A,FALSE,"WWSEM";"graph",#N/A,FALSE,"GOMJU";"graph",#N/A,FALSE,"GOMSEM";"graph",#N/A,FALSE,"NSJU";"graph",#N/A,FALSE,"NSSEM";"graph",#N/A,FALSE,"WAJU";"graph",#N/A,FALSE,"STOCKPRI";"graph",#N/A,FALSE,"CFTEV";"graph",#N/A,FALSE,"NAV-RCV";"graph",#N/A,FALSE,"CRUDEWW"}</definedName>
    <definedName name="Bear" hidden="1">{#N/A,#N/A,FALSE,"TS";#N/A,#N/A,FALSE,"Combo";#N/A,#N/A,FALSE,"FAIR";#N/A,#N/A,FALSE,"RBC";#N/A,#N/A,FALSE,"xxxx";#N/A,#N/A,FALSE,"A_D";#N/A,#N/A,FALSE,"WACC";#N/A,#N/A,FALSE,"DCF";#N/A,#N/A,FALSE,"LBO";#N/A,#N/A,FALSE,"AcqMults";#N/A,#N/A,FALSE,"CompMults"}</definedName>
    <definedName name="Bear_1" hidden="1">{#N/A,#N/A,FALSE,"TS";#N/A,#N/A,FALSE,"Combo";#N/A,#N/A,FALSE,"FAIR";#N/A,#N/A,FALSE,"RBC";#N/A,#N/A,FALSE,"xxxx";#N/A,#N/A,FALSE,"A_D";#N/A,#N/A,FALSE,"WACC";#N/A,#N/A,FALSE,"DCF";#N/A,#N/A,FALSE,"LBO";#N/A,#N/A,FALSE,"AcqMults";#N/A,#N/A,FALSE,"CompMults"}</definedName>
    <definedName name="Bear_1_1" hidden="1">{#N/A,#N/A,FALSE,"TS";#N/A,#N/A,FALSE,"Combo";#N/A,#N/A,FALSE,"FAIR";#N/A,#N/A,FALSE,"RBC";#N/A,#N/A,FALSE,"xxxx";#N/A,#N/A,FALSE,"A_D";#N/A,#N/A,FALSE,"WACC";#N/A,#N/A,FALSE,"DCF";#N/A,#N/A,FALSE,"LBO";#N/A,#N/A,FALSE,"AcqMults";#N/A,#N/A,FALSE,"CompMults"}</definedName>
    <definedName name="bearr" hidden="1">{#N/A,#N/A,FALSE,"TS";#N/A,#N/A,FALSE,"Combo";#N/A,#N/A,FALSE,"FAIR";#N/A,#N/A,FALSE,"RBC";#N/A,#N/A,FALSE,"xxxx";#N/A,#N/A,FALSE,"A_D";#N/A,#N/A,FALSE,"WACC";#N/A,#N/A,FALSE,"DCF";#N/A,#N/A,FALSE,"LBO";#N/A,#N/A,FALSE,"AcqMults";#N/A,#N/A,FALSE,"CompMults"}</definedName>
    <definedName name="bearr_1" hidden="1">{#N/A,#N/A,FALSE,"TS";#N/A,#N/A,FALSE,"Combo";#N/A,#N/A,FALSE,"FAIR";#N/A,#N/A,FALSE,"RBC";#N/A,#N/A,FALSE,"xxxx";#N/A,#N/A,FALSE,"A_D";#N/A,#N/A,FALSE,"WACC";#N/A,#N/A,FALSE,"DCF";#N/A,#N/A,FALSE,"LBO";#N/A,#N/A,FALSE,"AcqMults";#N/A,#N/A,FALSE,"CompMults"}</definedName>
    <definedName name="bearr_1_1" hidden="1">{#N/A,#N/A,FALSE,"TS";#N/A,#N/A,FALSE,"Combo";#N/A,#N/A,FALSE,"FAIR";#N/A,#N/A,FALSE,"RBC";#N/A,#N/A,FALSE,"xxxx";#N/A,#N/A,FALSE,"A_D";#N/A,#N/A,FALSE,"WACC";#N/A,#N/A,FALSE,"DCF";#N/A,#N/A,FALSE,"LBO";#N/A,#N/A,FALSE,"AcqMults";#N/A,#N/A,FALSE,"CompMults"}</definedName>
    <definedName name="BEFeXToEUR" localSheetId="22" hidden="1">1/EUReXToBEF</definedName>
    <definedName name="BEFeXToEUR" localSheetId="23" hidden="1">1/EUReXToBEF</definedName>
    <definedName name="BEFeXToEUR" localSheetId="51" hidden="1">1/EUReXToBEF</definedName>
    <definedName name="BEFeXToEUR" hidden="1">1/EUReXToBEF</definedName>
    <definedName name="BFOC" hidden="1">{"'0103'!$A$455:$O$585"}</definedName>
    <definedName name="BFOC1" localSheetId="22">#REF!</definedName>
    <definedName name="BFOC1" localSheetId="23">#REF!</definedName>
    <definedName name="BFOC1" localSheetId="51">#REF!</definedName>
    <definedName name="BFOC1">#REF!</definedName>
    <definedName name="BFOC2" localSheetId="22">#REF!</definedName>
    <definedName name="BFOC2" localSheetId="23">#REF!</definedName>
    <definedName name="BFOC2" localSheetId="51">#REF!</definedName>
    <definedName name="BFOC2">#REF!</definedName>
    <definedName name="BFOC3" localSheetId="22">#REF!</definedName>
    <definedName name="BFOC3" localSheetId="23">#REF!</definedName>
    <definedName name="BFOC3" localSheetId="51">#REF!</definedName>
    <definedName name="BFOC3">#REF!</definedName>
    <definedName name="BG_Del" hidden="1">15</definedName>
    <definedName name="BG_Ins" hidden="1">4</definedName>
    <definedName name="BG_Mod" hidden="1">6</definedName>
    <definedName name="BGT1FAS1" localSheetId="22">#REF!</definedName>
    <definedName name="BGT1FAS1" localSheetId="23">#REF!</definedName>
    <definedName name="BGT1FAS1">#REF!</definedName>
    <definedName name="BGT1FAS2" localSheetId="22">#REF!</definedName>
    <definedName name="BGT1FAS2" localSheetId="23">#REF!</definedName>
    <definedName name="BGT1FAS2">#REF!</definedName>
    <definedName name="BGT1FAS3" localSheetId="22">#REF!</definedName>
    <definedName name="BGT1FAS3" localSheetId="23">#REF!</definedName>
    <definedName name="BGT1FAS3">#REF!</definedName>
    <definedName name="BGT1FAS4" localSheetId="22">#REF!</definedName>
    <definedName name="BGT1FAS4" localSheetId="23">#REF!</definedName>
    <definedName name="BGT1FAS4">#REF!</definedName>
    <definedName name="BGT1FAS5" localSheetId="22">#REF!</definedName>
    <definedName name="BGT1FAS5" localSheetId="23">#REF!</definedName>
    <definedName name="BGT1FAS5">#REF!</definedName>
    <definedName name="BGT1PRT1" localSheetId="22">#REF!</definedName>
    <definedName name="BGT1PRT1" localSheetId="23">#REF!</definedName>
    <definedName name="BGT1PRT1">#REF!</definedName>
    <definedName name="BGT1PRT2" localSheetId="22">#REF!</definedName>
    <definedName name="BGT1PRT2" localSheetId="23">#REF!</definedName>
    <definedName name="BGT1PRT2">#REF!</definedName>
    <definedName name="BGT1PRT3" localSheetId="22">#REF!</definedName>
    <definedName name="BGT1PRT3" localSheetId="23">#REF!</definedName>
    <definedName name="BGT1PRT3">#REF!</definedName>
    <definedName name="BGT1PRT4" localSheetId="22">#REF!</definedName>
    <definedName name="BGT1PRT4" localSheetId="23">#REF!</definedName>
    <definedName name="BGT1PRT4">#REF!</definedName>
    <definedName name="BGT1PRT5" localSheetId="22">#REF!</definedName>
    <definedName name="BGT1PRT5" localSheetId="23">#REF!</definedName>
    <definedName name="BGT1PRT5">#REF!</definedName>
    <definedName name="BGT1STAT" localSheetId="22">#REF!</definedName>
    <definedName name="BGT1STAT" localSheetId="23">#REF!</definedName>
    <definedName name="BGT1STAT">#REF!</definedName>
    <definedName name="BGT2FAS1" localSheetId="22">#REF!</definedName>
    <definedName name="BGT2FAS1" localSheetId="23">#REF!</definedName>
    <definedName name="BGT2FAS1">#REF!</definedName>
    <definedName name="BGT2FAS2" localSheetId="22">#REF!</definedName>
    <definedName name="BGT2FAS2" localSheetId="23">#REF!</definedName>
    <definedName name="BGT2FAS2">#REF!</definedName>
    <definedName name="BGT2FAS3" localSheetId="22">#REF!</definedName>
    <definedName name="BGT2FAS3" localSheetId="23">#REF!</definedName>
    <definedName name="BGT2FAS3">#REF!</definedName>
    <definedName name="BGT2FAS4" localSheetId="22">#REF!</definedName>
    <definedName name="BGT2FAS4" localSheetId="23">#REF!</definedName>
    <definedName name="BGT2FAS4">#REF!</definedName>
    <definedName name="BGT2FAS5" localSheetId="22">#REF!</definedName>
    <definedName name="BGT2FAS5" localSheetId="23">#REF!</definedName>
    <definedName name="BGT2FAS5">#REF!</definedName>
    <definedName name="BGT2PRT1" localSheetId="22">#REF!</definedName>
    <definedName name="BGT2PRT1" localSheetId="23">#REF!</definedName>
    <definedName name="BGT2PRT1">#REF!</definedName>
    <definedName name="BGT2PRT2" localSheetId="22">#REF!</definedName>
    <definedName name="BGT2PRT2" localSheetId="23">#REF!</definedName>
    <definedName name="BGT2PRT2">#REF!</definedName>
    <definedName name="BGT2PRT3" localSheetId="22">#REF!</definedName>
    <definedName name="BGT2PRT3" localSheetId="23">#REF!</definedName>
    <definedName name="BGT2PRT3">#REF!</definedName>
    <definedName name="BGT2PRT4" localSheetId="22">#REF!</definedName>
    <definedName name="BGT2PRT4" localSheetId="23">#REF!</definedName>
    <definedName name="BGT2PRT4">#REF!</definedName>
    <definedName name="BGT2PRT5" localSheetId="22">#REF!</definedName>
    <definedName name="BGT2PRT5" localSheetId="23">#REF!</definedName>
    <definedName name="BGT2PRT5">#REF!</definedName>
    <definedName name="BGT2STAT" localSheetId="22">#REF!</definedName>
    <definedName name="BGT2STAT" localSheetId="23">#REF!</definedName>
    <definedName name="BGT2STAT">#REF!</definedName>
    <definedName name="big_sorting" localSheetId="22">#REF!</definedName>
    <definedName name="big_sorting" localSheetId="23">#REF!</definedName>
    <definedName name="big_sorting">#REF!</definedName>
    <definedName name="BIL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LPB10" localSheetId="22" hidden="1">#REF!</definedName>
    <definedName name="BLPB10" localSheetId="23" hidden="1">#REF!</definedName>
    <definedName name="BLPB10" localSheetId="51" hidden="1">#REF!</definedName>
    <definedName name="BLPB10" hidden="1">#REF!</definedName>
    <definedName name="BLPB11" localSheetId="22" hidden="1">#REF!</definedName>
    <definedName name="BLPB11" localSheetId="23" hidden="1">#REF!</definedName>
    <definedName name="BLPB11" localSheetId="51" hidden="1">#REF!</definedName>
    <definedName name="BLPB11" hidden="1">#REF!</definedName>
    <definedName name="BLPB12" localSheetId="22" hidden="1">#REF!</definedName>
    <definedName name="BLPB12" localSheetId="23" hidden="1">#REF!</definedName>
    <definedName name="BLPB12" localSheetId="51" hidden="1">#REF!</definedName>
    <definedName name="BLPB12" hidden="1">#REF!</definedName>
    <definedName name="BLPB13" localSheetId="22" hidden="1">#REF!</definedName>
    <definedName name="BLPB13" localSheetId="23" hidden="1">#REF!</definedName>
    <definedName name="BLPB13" localSheetId="51" hidden="1">#REF!</definedName>
    <definedName name="BLPB13" hidden="1">#REF!</definedName>
    <definedName name="BLPB14" localSheetId="22" hidden="1">#REF!</definedName>
    <definedName name="BLPB14" localSheetId="23" hidden="1">#REF!</definedName>
    <definedName name="BLPB14" localSheetId="51" hidden="1">#REF!</definedName>
    <definedName name="BLPB14" hidden="1">#REF!</definedName>
    <definedName name="BLPB15" localSheetId="22" hidden="1">#REF!</definedName>
    <definedName name="BLPB15" localSheetId="23" hidden="1">#REF!</definedName>
    <definedName name="BLPB15" localSheetId="51" hidden="1">#REF!</definedName>
    <definedName name="BLPB15" hidden="1">#REF!</definedName>
    <definedName name="BLPB16" localSheetId="22" hidden="1">#REF!</definedName>
    <definedName name="BLPB16" localSheetId="23" hidden="1">#REF!</definedName>
    <definedName name="BLPB16" localSheetId="51" hidden="1">#REF!</definedName>
    <definedName name="BLPB16" hidden="1">#REF!</definedName>
    <definedName name="BLPB17" localSheetId="22" hidden="1">#REF!</definedName>
    <definedName name="BLPB17" localSheetId="23" hidden="1">#REF!</definedName>
    <definedName name="BLPB17" localSheetId="51" hidden="1">#REF!</definedName>
    <definedName name="BLPB17" hidden="1">#REF!</definedName>
    <definedName name="BLPB18" localSheetId="22" hidden="1">#REF!</definedName>
    <definedName name="BLPB18" localSheetId="23" hidden="1">#REF!</definedName>
    <definedName name="BLPB18" localSheetId="51" hidden="1">#REF!</definedName>
    <definedName name="BLPB18" hidden="1">#REF!</definedName>
    <definedName name="BLPB19" localSheetId="22" hidden="1">#REF!</definedName>
    <definedName name="BLPB19" localSheetId="23" hidden="1">#REF!</definedName>
    <definedName name="BLPB19" localSheetId="51" hidden="1">#REF!</definedName>
    <definedName name="BLPB19" hidden="1">#REF!</definedName>
    <definedName name="BLPB2" localSheetId="22" hidden="1">#REF!</definedName>
    <definedName name="BLPB2" localSheetId="23" hidden="1">#REF!</definedName>
    <definedName name="BLPB2" localSheetId="51" hidden="1">#REF!</definedName>
    <definedName name="BLPB2" hidden="1">#REF!</definedName>
    <definedName name="BLPB20" localSheetId="22" hidden="1">#REF!</definedName>
    <definedName name="BLPB20" localSheetId="23" hidden="1">#REF!</definedName>
    <definedName name="BLPB20" localSheetId="51" hidden="1">#REF!</definedName>
    <definedName name="BLPB20" hidden="1">#REF!</definedName>
    <definedName name="BLPB21" localSheetId="22" hidden="1">#REF!</definedName>
    <definedName name="BLPB21" localSheetId="23" hidden="1">#REF!</definedName>
    <definedName name="BLPB21" localSheetId="51" hidden="1">#REF!</definedName>
    <definedName name="BLPB21" hidden="1">#REF!</definedName>
    <definedName name="BLPB22" localSheetId="22" hidden="1">#REF!</definedName>
    <definedName name="BLPB22" localSheetId="23" hidden="1">#REF!</definedName>
    <definedName name="BLPB22" localSheetId="51" hidden="1">#REF!</definedName>
    <definedName name="BLPB22" hidden="1">#REF!</definedName>
    <definedName name="BLPB23" localSheetId="22" hidden="1">#REF!</definedName>
    <definedName name="BLPB23" localSheetId="23" hidden="1">#REF!</definedName>
    <definedName name="BLPB23" localSheetId="51" hidden="1">#REF!</definedName>
    <definedName name="BLPB23" hidden="1">#REF!</definedName>
    <definedName name="BLPB24" localSheetId="22" hidden="1">#REF!</definedName>
    <definedName name="BLPB24" localSheetId="23" hidden="1">#REF!</definedName>
    <definedName name="BLPB24" localSheetId="51" hidden="1">#REF!</definedName>
    <definedName name="BLPB24" hidden="1">#REF!</definedName>
    <definedName name="BLPB25" localSheetId="22" hidden="1">#REF!</definedName>
    <definedName name="BLPB25" localSheetId="23" hidden="1">#REF!</definedName>
    <definedName name="BLPB25" localSheetId="51" hidden="1">#REF!</definedName>
    <definedName name="BLPB25" hidden="1">#REF!</definedName>
    <definedName name="BLPB26" localSheetId="22" hidden="1">#REF!</definedName>
    <definedName name="BLPB26" localSheetId="23" hidden="1">#REF!</definedName>
    <definedName name="BLPB26" localSheetId="51" hidden="1">#REF!</definedName>
    <definedName name="BLPB26" hidden="1">#REF!</definedName>
    <definedName name="BLPB27" localSheetId="22" hidden="1">#REF!</definedName>
    <definedName name="BLPB27" localSheetId="23" hidden="1">#REF!</definedName>
    <definedName name="BLPB27" localSheetId="51" hidden="1">#REF!</definedName>
    <definedName name="BLPB27" hidden="1">#REF!</definedName>
    <definedName name="BLPB28" localSheetId="22" hidden="1">#REF!</definedName>
    <definedName name="BLPB28" localSheetId="23" hidden="1">#REF!</definedName>
    <definedName name="BLPB28" localSheetId="51" hidden="1">#REF!</definedName>
    <definedName name="BLPB28" hidden="1">#REF!</definedName>
    <definedName name="BLPB29" localSheetId="22" hidden="1">#REF!</definedName>
    <definedName name="BLPB29" localSheetId="23" hidden="1">#REF!</definedName>
    <definedName name="BLPB29" localSheetId="51" hidden="1">#REF!</definedName>
    <definedName name="BLPB29" hidden="1">#REF!</definedName>
    <definedName name="BLPB3" localSheetId="22" hidden="1">#REF!</definedName>
    <definedName name="BLPB3" localSheetId="23" hidden="1">#REF!</definedName>
    <definedName name="BLPB3" localSheetId="51" hidden="1">#REF!</definedName>
    <definedName name="BLPB3" hidden="1">#REF!</definedName>
    <definedName name="BLPB30" localSheetId="22" hidden="1">#REF!</definedName>
    <definedName name="BLPB30" localSheetId="23" hidden="1">#REF!</definedName>
    <definedName name="BLPB30" localSheetId="51" hidden="1">#REF!</definedName>
    <definedName name="BLPB30" hidden="1">#REF!</definedName>
    <definedName name="BLPB4" localSheetId="22" hidden="1">#REF!</definedName>
    <definedName name="BLPB4" localSheetId="23" hidden="1">#REF!</definedName>
    <definedName name="BLPB4" localSheetId="51" hidden="1">#REF!</definedName>
    <definedName name="BLPB4" hidden="1">#REF!</definedName>
    <definedName name="BLPB5" localSheetId="22" hidden="1">#REF!</definedName>
    <definedName name="BLPB5" localSheetId="23" hidden="1">#REF!</definedName>
    <definedName name="BLPB5" localSheetId="51" hidden="1">#REF!</definedName>
    <definedName name="BLPB5" hidden="1">#REF!</definedName>
    <definedName name="BLPB6" localSheetId="22" hidden="1">#REF!</definedName>
    <definedName name="BLPB6" localSheetId="23" hidden="1">#REF!</definedName>
    <definedName name="BLPB6" localSheetId="51" hidden="1">#REF!</definedName>
    <definedName name="BLPB6" hidden="1">#REF!</definedName>
    <definedName name="BLPB7" localSheetId="22" hidden="1">#REF!</definedName>
    <definedName name="BLPB7" localSheetId="23" hidden="1">#REF!</definedName>
    <definedName name="BLPB7" localSheetId="51" hidden="1">#REF!</definedName>
    <definedName name="BLPB7" hidden="1">#REF!</definedName>
    <definedName name="BLPB8" localSheetId="22" hidden="1">#REF!</definedName>
    <definedName name="BLPB8" localSheetId="23" hidden="1">#REF!</definedName>
    <definedName name="BLPB8" localSheetId="51" hidden="1">#REF!</definedName>
    <definedName name="BLPB8" hidden="1">#REF!</definedName>
    <definedName name="BLPB9" localSheetId="22" hidden="1">#REF!</definedName>
    <definedName name="BLPB9" localSheetId="23" hidden="1">#REF!</definedName>
    <definedName name="BLPB9" localSheetId="51" hidden="1">#REF!</definedName>
    <definedName name="BLPB9" hidden="1">#REF!</definedName>
    <definedName name="BLPH1" localSheetId="22" hidden="1">#REF!</definedName>
    <definedName name="BLPH1" localSheetId="23" hidden="1">#REF!</definedName>
    <definedName name="BLPH1" localSheetId="51" hidden="1">#REF!</definedName>
    <definedName name="BLPH1" hidden="1">#REF!</definedName>
    <definedName name="BLPH10" localSheetId="22" hidden="1">#REF!</definedName>
    <definedName name="BLPH10" localSheetId="23" hidden="1">#REF!</definedName>
    <definedName name="BLPH10" localSheetId="51" hidden="1">#REF!</definedName>
    <definedName name="BLPH10" hidden="1">#REF!</definedName>
    <definedName name="BLPH11" localSheetId="22" hidden="1">#REF!</definedName>
    <definedName name="BLPH11" localSheetId="23" hidden="1">#REF!</definedName>
    <definedName name="BLPH11" localSheetId="51" hidden="1">#REF!</definedName>
    <definedName name="BLPH11" hidden="1">#REF!</definedName>
    <definedName name="BLPH12" localSheetId="22" hidden="1">#REF!</definedName>
    <definedName name="BLPH12" localSheetId="23" hidden="1">#REF!</definedName>
    <definedName name="BLPH12" localSheetId="51" hidden="1">#REF!</definedName>
    <definedName name="BLPH12" hidden="1">#REF!</definedName>
    <definedName name="BLPH13" localSheetId="22" hidden="1">#REF!</definedName>
    <definedName name="BLPH13" localSheetId="23" hidden="1">#REF!</definedName>
    <definedName name="BLPH13" localSheetId="51" hidden="1">#REF!</definedName>
    <definedName name="BLPH13" hidden="1">#REF!</definedName>
    <definedName name="BLPH14" localSheetId="22" hidden="1">#REF!</definedName>
    <definedName name="BLPH14" localSheetId="23" hidden="1">#REF!</definedName>
    <definedName name="BLPH14" localSheetId="51" hidden="1">#REF!</definedName>
    <definedName name="BLPH14" hidden="1">#REF!</definedName>
    <definedName name="BLPH15" localSheetId="22" hidden="1">#REF!</definedName>
    <definedName name="BLPH15" localSheetId="23" hidden="1">#REF!</definedName>
    <definedName name="BLPH15" localSheetId="51" hidden="1">#REF!</definedName>
    <definedName name="BLPH15" hidden="1">#REF!</definedName>
    <definedName name="BLPH16" localSheetId="22" hidden="1">#REF!</definedName>
    <definedName name="BLPH16" localSheetId="23" hidden="1">#REF!</definedName>
    <definedName name="BLPH16" localSheetId="51" hidden="1">#REF!</definedName>
    <definedName name="BLPH16" hidden="1">#REF!</definedName>
    <definedName name="BLPH17" localSheetId="22" hidden="1">#REF!</definedName>
    <definedName name="BLPH17" localSheetId="23" hidden="1">#REF!</definedName>
    <definedName name="BLPH17" localSheetId="51" hidden="1">#REF!</definedName>
    <definedName name="BLPH17" hidden="1">#REF!</definedName>
    <definedName name="BLPH18" localSheetId="22" hidden="1">#REF!</definedName>
    <definedName name="BLPH18" localSheetId="23" hidden="1">#REF!</definedName>
    <definedName name="BLPH18" localSheetId="51" hidden="1">#REF!</definedName>
    <definedName name="BLPH18" hidden="1">#REF!</definedName>
    <definedName name="BLPH19" localSheetId="22" hidden="1">#REF!</definedName>
    <definedName name="BLPH19" localSheetId="23" hidden="1">#REF!</definedName>
    <definedName name="BLPH19" localSheetId="51" hidden="1">#REF!</definedName>
    <definedName name="BLPH19" hidden="1">#REF!</definedName>
    <definedName name="BLPH2" localSheetId="22" hidden="1">#REF!</definedName>
    <definedName name="BLPH2" localSheetId="23" hidden="1">#REF!</definedName>
    <definedName name="BLPH2" localSheetId="51" hidden="1">#REF!</definedName>
    <definedName name="BLPH2" hidden="1">#REF!</definedName>
    <definedName name="BLPH20" localSheetId="22" hidden="1">#REF!</definedName>
    <definedName name="BLPH20" localSheetId="23" hidden="1">#REF!</definedName>
    <definedName name="BLPH20" localSheetId="51" hidden="1">#REF!</definedName>
    <definedName name="BLPH20" hidden="1">#REF!</definedName>
    <definedName name="BLPH21" localSheetId="22" hidden="1">#REF!</definedName>
    <definedName name="BLPH21" localSheetId="23" hidden="1">#REF!</definedName>
    <definedName name="BLPH21" localSheetId="51" hidden="1">#REF!</definedName>
    <definedName name="BLPH21" hidden="1">#REF!</definedName>
    <definedName name="BLPH22" localSheetId="22" hidden="1">#REF!</definedName>
    <definedName name="BLPH22" localSheetId="23" hidden="1">#REF!</definedName>
    <definedName name="BLPH22" localSheetId="51" hidden="1">#REF!</definedName>
    <definedName name="BLPH22" hidden="1">#REF!</definedName>
    <definedName name="BLPH23" localSheetId="22" hidden="1">#REF!</definedName>
    <definedName name="BLPH23" localSheetId="23" hidden="1">#REF!</definedName>
    <definedName name="BLPH23" localSheetId="51" hidden="1">#REF!</definedName>
    <definedName name="BLPH23" hidden="1">#REF!</definedName>
    <definedName name="BLPH24" localSheetId="22" hidden="1">#REF!</definedName>
    <definedName name="BLPH24" localSheetId="23" hidden="1">#REF!</definedName>
    <definedName name="BLPH24" localSheetId="51" hidden="1">#REF!</definedName>
    <definedName name="BLPH24" hidden="1">#REF!</definedName>
    <definedName name="BLPH25" localSheetId="22" hidden="1">#REF!</definedName>
    <definedName name="BLPH25" localSheetId="23" hidden="1">#REF!</definedName>
    <definedName name="BLPH25" localSheetId="51" hidden="1">#REF!</definedName>
    <definedName name="BLPH25" hidden="1">#REF!</definedName>
    <definedName name="BLPH26" localSheetId="22" hidden="1">#REF!</definedName>
    <definedName name="BLPH26" localSheetId="23" hidden="1">#REF!</definedName>
    <definedName name="BLPH26" localSheetId="51" hidden="1">#REF!</definedName>
    <definedName name="BLPH26" hidden="1">#REF!</definedName>
    <definedName name="BLPH27" localSheetId="22" hidden="1">#REF!</definedName>
    <definedName name="BLPH27" localSheetId="23" hidden="1">#REF!</definedName>
    <definedName name="BLPH27" localSheetId="51" hidden="1">#REF!</definedName>
    <definedName name="BLPH27" hidden="1">#REF!</definedName>
    <definedName name="BLPH28" localSheetId="22" hidden="1">#REF!</definedName>
    <definedName name="BLPH28" localSheetId="23" hidden="1">#REF!</definedName>
    <definedName name="BLPH28" localSheetId="51" hidden="1">#REF!</definedName>
    <definedName name="BLPH28" hidden="1">#REF!</definedName>
    <definedName name="BLPH29" localSheetId="22" hidden="1">#REF!</definedName>
    <definedName name="BLPH29" localSheetId="23" hidden="1">#REF!</definedName>
    <definedName name="BLPH29" localSheetId="51" hidden="1">#REF!</definedName>
    <definedName name="BLPH29" hidden="1">#REF!</definedName>
    <definedName name="BLPH3" localSheetId="22" hidden="1">#REF!</definedName>
    <definedName name="BLPH3" localSheetId="23" hidden="1">#REF!</definedName>
    <definedName name="BLPH3" localSheetId="51" hidden="1">#REF!</definedName>
    <definedName name="BLPH3" hidden="1">#REF!</definedName>
    <definedName name="BLPH30" localSheetId="22" hidden="1">#REF!</definedName>
    <definedName name="BLPH30" localSheetId="23" hidden="1">#REF!</definedName>
    <definedName name="BLPH30" localSheetId="51" hidden="1">#REF!</definedName>
    <definedName name="BLPH30" hidden="1">#REF!</definedName>
    <definedName name="BLPH31" localSheetId="22" hidden="1">#REF!</definedName>
    <definedName name="BLPH31" localSheetId="23" hidden="1">#REF!</definedName>
    <definedName name="BLPH31" localSheetId="51" hidden="1">#REF!</definedName>
    <definedName name="BLPH31" hidden="1">#REF!</definedName>
    <definedName name="BLPH32" localSheetId="22" hidden="1">#REF!</definedName>
    <definedName name="BLPH32" localSheetId="23" hidden="1">#REF!</definedName>
    <definedName name="BLPH32" localSheetId="51" hidden="1">#REF!</definedName>
    <definedName name="BLPH32" hidden="1">#REF!</definedName>
    <definedName name="BLPH33" localSheetId="22" hidden="1">#REF!</definedName>
    <definedName name="BLPH33" localSheetId="23" hidden="1">#REF!</definedName>
    <definedName name="BLPH33" localSheetId="51" hidden="1">#REF!</definedName>
    <definedName name="BLPH33" hidden="1">#REF!</definedName>
    <definedName name="BLPH34" localSheetId="22" hidden="1">#REF!</definedName>
    <definedName name="BLPH34" localSheetId="23" hidden="1">#REF!</definedName>
    <definedName name="BLPH34" localSheetId="51" hidden="1">#REF!</definedName>
    <definedName name="BLPH34" hidden="1">#REF!</definedName>
    <definedName name="BLPH35" localSheetId="22" hidden="1">#REF!</definedName>
    <definedName name="BLPH35" localSheetId="23" hidden="1">#REF!</definedName>
    <definedName name="BLPH35" localSheetId="51" hidden="1">#REF!</definedName>
    <definedName name="BLPH35" hidden="1">#REF!</definedName>
    <definedName name="BLPH36" localSheetId="22" hidden="1">#REF!</definedName>
    <definedName name="BLPH36" localSheetId="23" hidden="1">#REF!</definedName>
    <definedName name="BLPH36" localSheetId="51" hidden="1">#REF!</definedName>
    <definedName name="BLPH36" hidden="1">#REF!</definedName>
    <definedName name="BLPH37" localSheetId="22" hidden="1">#REF!</definedName>
    <definedName name="BLPH37" localSheetId="23" hidden="1">#REF!</definedName>
    <definedName name="BLPH37" localSheetId="51" hidden="1">#REF!</definedName>
    <definedName name="BLPH37" hidden="1">#REF!</definedName>
    <definedName name="BLPH38" localSheetId="22" hidden="1">#REF!</definedName>
    <definedName name="BLPH38" localSheetId="23" hidden="1">#REF!</definedName>
    <definedName name="BLPH38" localSheetId="51" hidden="1">#REF!</definedName>
    <definedName name="BLPH38" hidden="1">#REF!</definedName>
    <definedName name="BLPH39" localSheetId="22" hidden="1">#REF!</definedName>
    <definedName name="BLPH39" localSheetId="23" hidden="1">#REF!</definedName>
    <definedName name="BLPH39" localSheetId="51" hidden="1">#REF!</definedName>
    <definedName name="BLPH39" hidden="1">#REF!</definedName>
    <definedName name="BLPH4" localSheetId="22" hidden="1">#REF!</definedName>
    <definedName name="BLPH4" localSheetId="23" hidden="1">#REF!</definedName>
    <definedName name="BLPH4" localSheetId="51" hidden="1">#REF!</definedName>
    <definedName name="BLPH4" hidden="1">#REF!</definedName>
    <definedName name="BLPH40" localSheetId="22" hidden="1">#REF!</definedName>
    <definedName name="BLPH40" localSheetId="23" hidden="1">#REF!</definedName>
    <definedName name="BLPH40" localSheetId="51" hidden="1">#REF!</definedName>
    <definedName name="BLPH40" hidden="1">#REF!</definedName>
    <definedName name="BLPH41" localSheetId="22" hidden="1">#REF!</definedName>
    <definedName name="BLPH41" localSheetId="23" hidden="1">#REF!</definedName>
    <definedName name="BLPH41" localSheetId="51" hidden="1">#REF!</definedName>
    <definedName name="BLPH41" hidden="1">#REF!</definedName>
    <definedName name="BLPH42" localSheetId="22" hidden="1">#REF!</definedName>
    <definedName name="BLPH42" localSheetId="23" hidden="1">#REF!</definedName>
    <definedName name="BLPH42" localSheetId="51" hidden="1">#REF!</definedName>
    <definedName name="BLPH42" hidden="1">#REF!</definedName>
    <definedName name="BLPH43" localSheetId="22" hidden="1">#REF!</definedName>
    <definedName name="BLPH43" localSheetId="23" hidden="1">#REF!</definedName>
    <definedName name="BLPH43" localSheetId="51" hidden="1">#REF!</definedName>
    <definedName name="BLPH43" hidden="1">#REF!</definedName>
    <definedName name="BLPH44" localSheetId="22" hidden="1">#REF!</definedName>
    <definedName name="BLPH44" localSheetId="23" hidden="1">#REF!</definedName>
    <definedName name="BLPH44" localSheetId="51" hidden="1">#REF!</definedName>
    <definedName name="BLPH44" hidden="1">#REF!</definedName>
    <definedName name="BLPH45" localSheetId="22" hidden="1">#REF!</definedName>
    <definedName name="BLPH45" localSheetId="23" hidden="1">#REF!</definedName>
    <definedName name="BLPH45" localSheetId="51" hidden="1">#REF!</definedName>
    <definedName name="BLPH45" hidden="1">#REF!</definedName>
    <definedName name="BLPH46" localSheetId="22" hidden="1">#REF!</definedName>
    <definedName name="BLPH46" localSheetId="23" hidden="1">#REF!</definedName>
    <definedName name="BLPH46" localSheetId="51" hidden="1">#REF!</definedName>
    <definedName name="BLPH46" hidden="1">#REF!</definedName>
    <definedName name="BLPH47" localSheetId="22" hidden="1">#REF!</definedName>
    <definedName name="BLPH47" localSheetId="23" hidden="1">#REF!</definedName>
    <definedName name="BLPH47" localSheetId="51" hidden="1">#REF!</definedName>
    <definedName name="BLPH47" hidden="1">#REF!</definedName>
    <definedName name="BLPH48" localSheetId="22" hidden="1">#REF!</definedName>
    <definedName name="BLPH48" localSheetId="23" hidden="1">#REF!</definedName>
    <definedName name="BLPH48" localSheetId="51" hidden="1">#REF!</definedName>
    <definedName name="BLPH48" hidden="1">#REF!</definedName>
    <definedName name="BLPH49" localSheetId="22" hidden="1">#REF!</definedName>
    <definedName name="BLPH49" localSheetId="23" hidden="1">#REF!</definedName>
    <definedName name="BLPH49" localSheetId="51" hidden="1">#REF!</definedName>
    <definedName name="BLPH49" hidden="1">#REF!</definedName>
    <definedName name="BLPH5" localSheetId="22" hidden="1">#REF!</definedName>
    <definedName name="BLPH5" localSheetId="23" hidden="1">#REF!</definedName>
    <definedName name="BLPH5" localSheetId="51" hidden="1">#REF!</definedName>
    <definedName name="BLPH5" hidden="1">#REF!</definedName>
    <definedName name="BLPH50" localSheetId="22" hidden="1">#REF!</definedName>
    <definedName name="BLPH50" localSheetId="23" hidden="1">#REF!</definedName>
    <definedName name="BLPH50" localSheetId="51" hidden="1">#REF!</definedName>
    <definedName name="BLPH50" hidden="1">#REF!</definedName>
    <definedName name="BLPH51" localSheetId="22" hidden="1">#REF!</definedName>
    <definedName name="BLPH51" localSheetId="23" hidden="1">#REF!</definedName>
    <definedName name="BLPH51" localSheetId="51" hidden="1">#REF!</definedName>
    <definedName name="BLPH51" hidden="1">#REF!</definedName>
    <definedName name="BLPH52" localSheetId="22" hidden="1">#REF!</definedName>
    <definedName name="BLPH52" localSheetId="23" hidden="1">#REF!</definedName>
    <definedName name="BLPH52" localSheetId="51" hidden="1">#REF!</definedName>
    <definedName name="BLPH52" hidden="1">#REF!</definedName>
    <definedName name="BLPH53" localSheetId="22" hidden="1">#REF!</definedName>
    <definedName name="BLPH53" localSheetId="23" hidden="1">#REF!</definedName>
    <definedName name="BLPH53" localSheetId="51" hidden="1">#REF!</definedName>
    <definedName name="BLPH53" hidden="1">#REF!</definedName>
    <definedName name="BLPH54" localSheetId="22" hidden="1">#REF!</definedName>
    <definedName name="BLPH54" localSheetId="23" hidden="1">#REF!</definedName>
    <definedName name="BLPH54" localSheetId="51" hidden="1">#REF!</definedName>
    <definedName name="BLPH54" hidden="1">#REF!</definedName>
    <definedName name="BLPH55" localSheetId="22" hidden="1">#REF!</definedName>
    <definedName name="BLPH55" localSheetId="23" hidden="1">#REF!</definedName>
    <definedName name="BLPH55" localSheetId="51" hidden="1">#REF!</definedName>
    <definedName name="BLPH55" hidden="1">#REF!</definedName>
    <definedName name="BLPH56" localSheetId="22" hidden="1">#REF!</definedName>
    <definedName name="BLPH56" localSheetId="23" hidden="1">#REF!</definedName>
    <definedName name="BLPH56" localSheetId="51" hidden="1">#REF!</definedName>
    <definedName name="BLPH56" hidden="1">#REF!</definedName>
    <definedName name="BLPH57" localSheetId="22" hidden="1">#REF!</definedName>
    <definedName name="BLPH57" localSheetId="23" hidden="1">#REF!</definedName>
    <definedName name="BLPH57" localSheetId="51" hidden="1">#REF!</definedName>
    <definedName name="BLPH57" hidden="1">#REF!</definedName>
    <definedName name="BLPH58" localSheetId="22" hidden="1">#REF!</definedName>
    <definedName name="BLPH58" localSheetId="23" hidden="1">#REF!</definedName>
    <definedName name="BLPH58" localSheetId="51" hidden="1">#REF!</definedName>
    <definedName name="BLPH58" hidden="1">#REF!</definedName>
    <definedName name="BLPH59" localSheetId="22" hidden="1">#REF!</definedName>
    <definedName name="BLPH59" localSheetId="23" hidden="1">#REF!</definedName>
    <definedName name="BLPH59" localSheetId="51" hidden="1">#REF!</definedName>
    <definedName name="BLPH59" hidden="1">#REF!</definedName>
    <definedName name="BLPH6" localSheetId="22" hidden="1">#REF!</definedName>
    <definedName name="BLPH6" localSheetId="23" hidden="1">#REF!</definedName>
    <definedName name="BLPH6" localSheetId="51" hidden="1">#REF!</definedName>
    <definedName name="BLPH6" hidden="1">#REF!</definedName>
    <definedName name="BLPH60" localSheetId="22" hidden="1">#REF!</definedName>
    <definedName name="BLPH60" localSheetId="23" hidden="1">#REF!</definedName>
    <definedName name="BLPH60" localSheetId="51" hidden="1">#REF!</definedName>
    <definedName name="BLPH60" hidden="1">#REF!</definedName>
    <definedName name="BLPH7" localSheetId="22" hidden="1">#REF!</definedName>
    <definedName name="BLPH7" localSheetId="23" hidden="1">#REF!</definedName>
    <definedName name="BLPH7" localSheetId="51" hidden="1">#REF!</definedName>
    <definedName name="BLPH7" hidden="1">#REF!</definedName>
    <definedName name="BLPH8" localSheetId="22" hidden="1">#REF!</definedName>
    <definedName name="BLPH8" localSheetId="23" hidden="1">#REF!</definedName>
    <definedName name="BLPH8" localSheetId="51" hidden="1">#REF!</definedName>
    <definedName name="BLPH8" hidden="1">#REF!</definedName>
    <definedName name="BLPH9" localSheetId="22" hidden="1">#REF!</definedName>
    <definedName name="BLPH9" localSheetId="23" hidden="1">#REF!</definedName>
    <definedName name="BLPH9" localSheetId="51" hidden="1">#REF!</definedName>
    <definedName name="BLPH9" hidden="1">#REF!</definedName>
    <definedName name="bnnn" hidden="1">{"mgmt forecast",#N/A,FALSE,"Mgmt Forecast";"dcf table",#N/A,FALSE,"Mgmt Forecast";"sensitivity",#N/A,FALSE,"Mgmt Forecast";"table inputs",#N/A,FALSE,"Mgmt Forecast";"calculations",#N/A,FALSE,"Mgmt Forecast"}</definedName>
    <definedName name="bnnn_1" hidden="1">{"mgmt forecast",#N/A,FALSE,"Mgmt Forecast";"dcf table",#N/A,FALSE,"Mgmt Forecast";"sensitivity",#N/A,FALSE,"Mgmt Forecast";"table inputs",#N/A,FALSE,"Mgmt Forecast";"calculations",#N/A,FALSE,"Mgmt Forecast"}</definedName>
    <definedName name="bnnn_1_1" hidden="1">{"mgmt forecast",#N/A,FALSE,"Mgmt Forecast";"dcf table",#N/A,FALSE,"Mgmt Forecast";"sensitivity",#N/A,FALSE,"Mgmt Forecast";"table inputs",#N/A,FALSE,"Mgmt Forecast";"calculations",#N/A,FALSE,"Mgmt Forecast"}</definedName>
    <definedName name="bonus_1" localSheetId="22">#REF!</definedName>
    <definedName name="bonus_1" localSheetId="23">#REF!</definedName>
    <definedName name="bonus_1">#REF!</definedName>
    <definedName name="bqt" localSheetId="22">#REF!</definedName>
    <definedName name="bqt" localSheetId="23">#REF!</definedName>
    <definedName name="bqt">#REF!</definedName>
    <definedName name="bs" hidden="1">{"toptrial",#N/A,TRUE,"toptrial";"adjustment",#N/A,TRUE,"toptrial";"voucher",#N/A,TRUE,"toptrial"}</definedName>
    <definedName name="bs건설" localSheetId="22">#REF!</definedName>
    <definedName name="bs건설" localSheetId="23">#REF!</definedName>
    <definedName name="bs건설">#REF!</definedName>
    <definedName name="bs양재" localSheetId="22">#REF!</definedName>
    <definedName name="bs양재" localSheetId="23">#REF!</definedName>
    <definedName name="bs양재">#REF!</definedName>
    <definedName name="BT" hidden="1">{#N/A,#N/A,FALSE,"손익표지";#N/A,#N/A,FALSE,"손익계산";#N/A,#N/A,FALSE,"일반관리비";#N/A,#N/A,FALSE,"영업외수익";#N/A,#N/A,FALSE,"영업외비용";#N/A,#N/A,FALSE,"매출액";#N/A,#N/A,FALSE,"요약손익";#N/A,#N/A,FALSE,"요약대차";#N/A,#N/A,FALSE,"매출채권현황";#N/A,#N/A,FALSE,"매출채권명세"}</definedName>
    <definedName name="btnFootNoting">#N/A</definedName>
    <definedName name="btnNext">#N/A</definedName>
    <definedName name="btnPrevious">#N/A</definedName>
    <definedName name="btnReturn">#N/A</definedName>
    <definedName name="BUDGET1" localSheetId="22">#REF!</definedName>
    <definedName name="BUDGET1" localSheetId="23">#REF!</definedName>
    <definedName name="BUDGET1">#REF!</definedName>
    <definedName name="BUDGET2" localSheetId="22">#REF!</definedName>
    <definedName name="BUDGET2" localSheetId="23">#REF!</definedName>
    <definedName name="BUDGET2">#REF!</definedName>
    <definedName name="BUGIS_VILLAGE" localSheetId="22">#REF!</definedName>
    <definedName name="BUGIS_VILLAGE" localSheetId="23">#REF!</definedName>
    <definedName name="BUGIS_VILLAGE">#REF!</definedName>
    <definedName name="C_" localSheetId="22">#REF!</definedName>
    <definedName name="C_" localSheetId="23">#REF!</definedName>
    <definedName name="C_">#REF!</definedName>
    <definedName name="CAIRNHILL_PLACE" localSheetId="22">#REF!</definedName>
    <definedName name="CAIRNHILL_PLACE" localSheetId="23">#REF!</definedName>
    <definedName name="CAIRNHILL_PLACE">#REF!</definedName>
    <definedName name="CALA" localSheetId="22">Main.SAPF4Help()</definedName>
    <definedName name="CALA" localSheetId="23">Main.SAPF4Help()</definedName>
    <definedName name="CALA" localSheetId="51">Main.SAPF4Help()</definedName>
    <definedName name="CALA">Main.SAPF4Help()</definedName>
    <definedName name="calc">1</definedName>
    <definedName name="CalloutFontSize" localSheetId="22">#REF!</definedName>
    <definedName name="CalloutFontSize" localSheetId="23">#REF!</definedName>
    <definedName name="CalloutFontSize" localSheetId="51">#REF!</definedName>
    <definedName name="CalloutFontSize">#REF!</definedName>
    <definedName name="CAOColor" localSheetId="22">#REF!</definedName>
    <definedName name="CAOColor" localSheetId="23">#REF!</definedName>
    <definedName name="CAOColor" localSheetId="51">#REF!</definedName>
    <definedName name="CAOColor">#REF!</definedName>
    <definedName name="CAOTotal" localSheetId="22">#REF!</definedName>
    <definedName name="CAOTotal" localSheetId="23">#REF!</definedName>
    <definedName name="CAOTotal" localSheetId="51">#REF!</definedName>
    <definedName name="CAOTotal">#REF!</definedName>
    <definedName name="CAOTotalDetail" localSheetId="22">#REF!</definedName>
    <definedName name="CAOTotalDetail" localSheetId="23">#REF!</definedName>
    <definedName name="CAOTotalDetail" localSheetId="51">#REF!</definedName>
    <definedName name="CAOTotalDetail">#REF!</definedName>
    <definedName name="CAOTotalWeighted" localSheetId="22">#REF!</definedName>
    <definedName name="CAOTotalWeighted" localSheetId="23">#REF!</definedName>
    <definedName name="CAOTotalWeighted" localSheetId="51">#REF!</definedName>
    <definedName name="CAOTotalWeighted">#REF!</definedName>
    <definedName name="CapIncP1" localSheetId="22">#REF!</definedName>
    <definedName name="CapIncP1" localSheetId="23">#REF!</definedName>
    <definedName name="CapIncP1">#REF!</definedName>
    <definedName name="CapIncP10" localSheetId="22">#REF!</definedName>
    <definedName name="CapIncP10" localSheetId="23">#REF!</definedName>
    <definedName name="CapIncP10">#REF!</definedName>
    <definedName name="CapIncP11" localSheetId="22">#REF!</definedName>
    <definedName name="CapIncP11" localSheetId="23">#REF!</definedName>
    <definedName name="CapIncP11">#REF!</definedName>
    <definedName name="CapIncP12" localSheetId="22">#REF!</definedName>
    <definedName name="CapIncP12" localSheetId="23">#REF!</definedName>
    <definedName name="CapIncP12">#REF!</definedName>
    <definedName name="CapIncP13" localSheetId="22">#REF!</definedName>
    <definedName name="CapIncP13" localSheetId="23">#REF!</definedName>
    <definedName name="CapIncP13">#REF!</definedName>
    <definedName name="CapIncP14" localSheetId="22">#REF!</definedName>
    <definedName name="CapIncP14" localSheetId="23">#REF!</definedName>
    <definedName name="CapIncP14">#REF!</definedName>
    <definedName name="CapIncP15" localSheetId="22">#REF!</definedName>
    <definedName name="CapIncP15" localSheetId="23">#REF!</definedName>
    <definedName name="CapIncP15">#REF!</definedName>
    <definedName name="CapIncP16" localSheetId="22">#REF!</definedName>
    <definedName name="CapIncP16" localSheetId="23">#REF!</definedName>
    <definedName name="CapIncP16">#REF!</definedName>
    <definedName name="CapIncP17" localSheetId="22">#REF!</definedName>
    <definedName name="CapIncP17" localSheetId="23">#REF!</definedName>
    <definedName name="CapIncP17">#REF!</definedName>
    <definedName name="CapIncP18" localSheetId="22">#REF!</definedName>
    <definedName name="CapIncP18" localSheetId="23">#REF!</definedName>
    <definedName name="CapIncP18">#REF!</definedName>
    <definedName name="CapIncP19" localSheetId="22">#REF!</definedName>
    <definedName name="CapIncP19" localSheetId="23">#REF!</definedName>
    <definedName name="CapIncP19">#REF!</definedName>
    <definedName name="CapIncP2" localSheetId="22">#REF!</definedName>
    <definedName name="CapIncP2" localSheetId="23">#REF!</definedName>
    <definedName name="CapIncP2">#REF!</definedName>
    <definedName name="CapIncP20" localSheetId="22">#REF!</definedName>
    <definedName name="CapIncP20" localSheetId="23">#REF!</definedName>
    <definedName name="CapIncP20">#REF!</definedName>
    <definedName name="CapIncP21" localSheetId="22">#REF!</definedName>
    <definedName name="CapIncP21" localSheetId="23">#REF!</definedName>
    <definedName name="CapIncP21">#REF!</definedName>
    <definedName name="CapIncP22" localSheetId="22">#REF!</definedName>
    <definedName name="CapIncP22" localSheetId="23">#REF!</definedName>
    <definedName name="CapIncP22">#REF!</definedName>
    <definedName name="CapIncP23" localSheetId="22">#REF!</definedName>
    <definedName name="CapIncP23" localSheetId="23">#REF!</definedName>
    <definedName name="CapIncP23">#REF!</definedName>
    <definedName name="CapIncP24" localSheetId="22">#REF!</definedName>
    <definedName name="CapIncP24" localSheetId="23">#REF!</definedName>
    <definedName name="CapIncP24">#REF!</definedName>
    <definedName name="CapIncP25" localSheetId="22">#REF!</definedName>
    <definedName name="CapIncP25" localSheetId="23">#REF!</definedName>
    <definedName name="CapIncP25">#REF!</definedName>
    <definedName name="CapIncP26" localSheetId="22">#REF!</definedName>
    <definedName name="CapIncP26" localSheetId="23">#REF!</definedName>
    <definedName name="CapIncP26">#REF!</definedName>
    <definedName name="CapIncP27" localSheetId="22">#REF!</definedName>
    <definedName name="CapIncP27" localSheetId="23">#REF!</definedName>
    <definedName name="CapIncP27">#REF!</definedName>
    <definedName name="CapIncP28" localSheetId="22">#REF!</definedName>
    <definedName name="CapIncP28" localSheetId="23">#REF!</definedName>
    <definedName name="CapIncP28">#REF!</definedName>
    <definedName name="CapIncP29" localSheetId="22">#REF!</definedName>
    <definedName name="CapIncP29" localSheetId="23">#REF!</definedName>
    <definedName name="CapIncP29">#REF!</definedName>
    <definedName name="CapIncP3" localSheetId="22">#REF!</definedName>
    <definedName name="CapIncP3" localSheetId="23">#REF!</definedName>
    <definedName name="CapIncP3">#REF!</definedName>
    <definedName name="CapIncP30" localSheetId="22">#REF!</definedName>
    <definedName name="CapIncP30" localSheetId="23">#REF!</definedName>
    <definedName name="CapIncP30">#REF!</definedName>
    <definedName name="CapIncP31" localSheetId="22">#REF!</definedName>
    <definedName name="CapIncP31" localSheetId="23">#REF!</definedName>
    <definedName name="CapIncP31">#REF!</definedName>
    <definedName name="CapIncP32" localSheetId="22">#REF!</definedName>
    <definedName name="CapIncP32" localSheetId="23">#REF!</definedName>
    <definedName name="CapIncP32">#REF!</definedName>
    <definedName name="CapIncP33" localSheetId="22">#REF!</definedName>
    <definedName name="CapIncP33" localSheetId="23">#REF!</definedName>
    <definedName name="CapIncP33">#REF!</definedName>
    <definedName name="CapIncP34" localSheetId="22">#REF!</definedName>
    <definedName name="CapIncP34" localSheetId="23">#REF!</definedName>
    <definedName name="CapIncP34">#REF!</definedName>
    <definedName name="CapIncP35" localSheetId="22">#REF!</definedName>
    <definedName name="CapIncP35" localSheetId="23">#REF!</definedName>
    <definedName name="CapIncP35">#REF!</definedName>
    <definedName name="CapIncP36" localSheetId="22">#REF!</definedName>
    <definedName name="CapIncP36" localSheetId="23">#REF!</definedName>
    <definedName name="CapIncP36">#REF!</definedName>
    <definedName name="CapIncP37" localSheetId="22">#REF!</definedName>
    <definedName name="CapIncP37" localSheetId="23">#REF!</definedName>
    <definedName name="CapIncP37">#REF!</definedName>
    <definedName name="CapIncP38" localSheetId="22">#REF!</definedName>
    <definedName name="CapIncP38" localSheetId="23">#REF!</definedName>
    <definedName name="CapIncP38">#REF!</definedName>
    <definedName name="CapIncP39" localSheetId="22">#REF!</definedName>
    <definedName name="CapIncP39" localSheetId="23">#REF!</definedName>
    <definedName name="CapIncP39">#REF!</definedName>
    <definedName name="CapIncP4" localSheetId="22">#REF!</definedName>
    <definedName name="CapIncP4" localSheetId="23">#REF!</definedName>
    <definedName name="CapIncP4">#REF!</definedName>
    <definedName name="CapIncP40" localSheetId="22">#REF!</definedName>
    <definedName name="CapIncP40" localSheetId="23">#REF!</definedName>
    <definedName name="CapIncP40">#REF!</definedName>
    <definedName name="CapIncP41" localSheetId="22">#REF!</definedName>
    <definedName name="CapIncP41" localSheetId="23">#REF!</definedName>
    <definedName name="CapIncP41">#REF!</definedName>
    <definedName name="CapIncP42" localSheetId="22">#REF!</definedName>
    <definedName name="CapIncP42" localSheetId="23">#REF!</definedName>
    <definedName name="CapIncP42">#REF!</definedName>
    <definedName name="CapIncP43" localSheetId="22">#REF!</definedName>
    <definedName name="CapIncP43" localSheetId="23">#REF!</definedName>
    <definedName name="CapIncP43">#REF!</definedName>
    <definedName name="CapIncP44" localSheetId="22">#REF!</definedName>
    <definedName name="CapIncP44" localSheetId="23">#REF!</definedName>
    <definedName name="CapIncP44">#REF!</definedName>
    <definedName name="CapIncP45" localSheetId="22">#REF!</definedName>
    <definedName name="CapIncP45" localSheetId="23">#REF!</definedName>
    <definedName name="CapIncP45">#REF!</definedName>
    <definedName name="CapIncP46" localSheetId="22">#REF!</definedName>
    <definedName name="CapIncP46" localSheetId="23">#REF!</definedName>
    <definedName name="CapIncP46">#REF!</definedName>
    <definedName name="CapIncP47" localSheetId="22">#REF!</definedName>
    <definedName name="CapIncP47" localSheetId="23">#REF!</definedName>
    <definedName name="CapIncP47">#REF!</definedName>
    <definedName name="CapIncP48" localSheetId="22">#REF!</definedName>
    <definedName name="CapIncP48" localSheetId="23">#REF!</definedName>
    <definedName name="CapIncP48">#REF!</definedName>
    <definedName name="CapIncP49" localSheetId="22">#REF!</definedName>
    <definedName name="CapIncP49" localSheetId="23">#REF!</definedName>
    <definedName name="CapIncP49">#REF!</definedName>
    <definedName name="CapIncP5" localSheetId="22">#REF!</definedName>
    <definedName name="CapIncP5" localSheetId="23">#REF!</definedName>
    <definedName name="CapIncP5">#REF!</definedName>
    <definedName name="CapIncP50" localSheetId="22">#REF!</definedName>
    <definedName name="CapIncP50" localSheetId="23">#REF!</definedName>
    <definedName name="CapIncP50">#REF!</definedName>
    <definedName name="CapIncP51" localSheetId="22">#REF!</definedName>
    <definedName name="CapIncP51" localSheetId="23">#REF!</definedName>
    <definedName name="CapIncP51">#REF!</definedName>
    <definedName name="CapIncP52" localSheetId="22">#REF!</definedName>
    <definedName name="CapIncP52" localSheetId="23">#REF!</definedName>
    <definedName name="CapIncP52">#REF!</definedName>
    <definedName name="CapIncP53" localSheetId="22">#REF!</definedName>
    <definedName name="CapIncP53" localSheetId="23">#REF!</definedName>
    <definedName name="CapIncP53">#REF!</definedName>
    <definedName name="CapIncP54" localSheetId="22">#REF!</definedName>
    <definedName name="CapIncP54" localSheetId="23">#REF!</definedName>
    <definedName name="CapIncP54">#REF!</definedName>
    <definedName name="CapIncP55" localSheetId="22">#REF!</definedName>
    <definedName name="CapIncP55" localSheetId="23">#REF!</definedName>
    <definedName name="CapIncP55">#REF!</definedName>
    <definedName name="CapIncP56" localSheetId="22">#REF!</definedName>
    <definedName name="CapIncP56" localSheetId="23">#REF!</definedName>
    <definedName name="CapIncP56">#REF!</definedName>
    <definedName name="CapIncP57" localSheetId="22">#REF!</definedName>
    <definedName name="CapIncP57" localSheetId="23">#REF!</definedName>
    <definedName name="CapIncP57">#REF!</definedName>
    <definedName name="CapIncP58" localSheetId="22">#REF!</definedName>
    <definedName name="CapIncP58" localSheetId="23">#REF!</definedName>
    <definedName name="CapIncP58">#REF!</definedName>
    <definedName name="CapIncP59" localSheetId="22">#REF!</definedName>
    <definedName name="CapIncP59" localSheetId="23">#REF!</definedName>
    <definedName name="CapIncP59">#REF!</definedName>
    <definedName name="CapIncP6" localSheetId="22">#REF!</definedName>
    <definedName name="CapIncP6" localSheetId="23">#REF!</definedName>
    <definedName name="CapIncP6">#REF!</definedName>
    <definedName name="CapIncP60" localSheetId="22">#REF!</definedName>
    <definedName name="CapIncP60" localSheetId="23">#REF!</definedName>
    <definedName name="CapIncP60">#REF!</definedName>
    <definedName name="CapIncP61" localSheetId="22">#REF!</definedName>
    <definedName name="CapIncP61" localSheetId="23">#REF!</definedName>
    <definedName name="CapIncP61">#REF!</definedName>
    <definedName name="CapIncP62" localSheetId="22">#REF!</definedName>
    <definedName name="CapIncP62" localSheetId="23">#REF!</definedName>
    <definedName name="CapIncP62">#REF!</definedName>
    <definedName name="CapIncP63" localSheetId="22">#REF!</definedName>
    <definedName name="CapIncP63" localSheetId="23">#REF!</definedName>
    <definedName name="CapIncP63">#REF!</definedName>
    <definedName name="CapIncP64" localSheetId="22">#REF!</definedName>
    <definedName name="CapIncP64" localSheetId="23">#REF!</definedName>
    <definedName name="CapIncP64">#REF!</definedName>
    <definedName name="CapIncP65" localSheetId="22">#REF!</definedName>
    <definedName name="CapIncP65" localSheetId="23">#REF!</definedName>
    <definedName name="CapIncP65">#REF!</definedName>
    <definedName name="CapIncP66" localSheetId="22">#REF!</definedName>
    <definedName name="CapIncP66" localSheetId="23">#REF!</definedName>
    <definedName name="CapIncP66">#REF!</definedName>
    <definedName name="CapIncP67" localSheetId="22">#REF!</definedName>
    <definedName name="CapIncP67" localSheetId="23">#REF!</definedName>
    <definedName name="CapIncP67">#REF!</definedName>
    <definedName name="CapIncP68" localSheetId="22">#REF!</definedName>
    <definedName name="CapIncP68" localSheetId="23">#REF!</definedName>
    <definedName name="CapIncP68">#REF!</definedName>
    <definedName name="CapIncP7" localSheetId="22">#REF!</definedName>
    <definedName name="CapIncP7" localSheetId="23">#REF!</definedName>
    <definedName name="CapIncP7">#REF!</definedName>
    <definedName name="CapIncP8" localSheetId="22">#REF!</definedName>
    <definedName name="CapIncP8" localSheetId="23">#REF!</definedName>
    <definedName name="CapIncP8">#REF!</definedName>
    <definedName name="CapIncP9" localSheetId="22">#REF!</definedName>
    <definedName name="CapIncP9" localSheetId="23">#REF!</definedName>
    <definedName name="CapIncP9">#REF!</definedName>
    <definedName name="Capital97Data" localSheetId="22">#REF!</definedName>
    <definedName name="Capital97Data" localSheetId="23">#REF!</definedName>
    <definedName name="Capital97Data" localSheetId="51">#REF!</definedName>
    <definedName name="Capital97Data">#REF!</definedName>
    <definedName name="capp1" localSheetId="22">#REF!</definedName>
    <definedName name="capp1" localSheetId="23">#REF!</definedName>
    <definedName name="capp1">#REF!</definedName>
    <definedName name="Capp10" localSheetId="22">#REF!</definedName>
    <definedName name="Capp10" localSheetId="23">#REF!</definedName>
    <definedName name="Capp10">#REF!</definedName>
    <definedName name="Capp11" localSheetId="22">#REF!</definedName>
    <definedName name="Capp11" localSheetId="23">#REF!</definedName>
    <definedName name="Capp11">#REF!</definedName>
    <definedName name="CapP12" localSheetId="22">#REF!</definedName>
    <definedName name="CapP12" localSheetId="23">#REF!</definedName>
    <definedName name="CapP12">#REF!</definedName>
    <definedName name="CapP13" localSheetId="22">#REF!</definedName>
    <definedName name="CapP13" localSheetId="23">#REF!</definedName>
    <definedName name="CapP13">#REF!</definedName>
    <definedName name="CapP14" localSheetId="22">#REF!</definedName>
    <definedName name="CapP14" localSheetId="23">#REF!</definedName>
    <definedName name="CapP14">#REF!</definedName>
    <definedName name="CapP15" localSheetId="22">#REF!</definedName>
    <definedName name="CapP15" localSheetId="23">#REF!</definedName>
    <definedName name="CapP15">#REF!</definedName>
    <definedName name="CapP16" localSheetId="22">#REF!</definedName>
    <definedName name="CapP16" localSheetId="23">#REF!</definedName>
    <definedName name="CapP16">#REF!</definedName>
    <definedName name="CapP17" localSheetId="22">#REF!</definedName>
    <definedName name="CapP17" localSheetId="23">#REF!</definedName>
    <definedName name="CapP17">#REF!</definedName>
    <definedName name="CapP18" localSheetId="22">#REF!</definedName>
    <definedName name="CapP18" localSheetId="23">#REF!</definedName>
    <definedName name="CapP18">#REF!</definedName>
    <definedName name="CapP19" localSheetId="22">#REF!</definedName>
    <definedName name="CapP19" localSheetId="23">#REF!</definedName>
    <definedName name="CapP19">#REF!</definedName>
    <definedName name="Capp2" localSheetId="22">#REF!</definedName>
    <definedName name="Capp2" localSheetId="23">#REF!</definedName>
    <definedName name="Capp2">#REF!</definedName>
    <definedName name="CapP20" localSheetId="22">#REF!</definedName>
    <definedName name="CapP20" localSheetId="23">#REF!</definedName>
    <definedName name="CapP20">#REF!</definedName>
    <definedName name="CapP21" localSheetId="22">#REF!</definedName>
    <definedName name="CapP21" localSheetId="23">#REF!</definedName>
    <definedName name="CapP21">#REF!</definedName>
    <definedName name="CapP22" localSheetId="22">#REF!</definedName>
    <definedName name="CapP22" localSheetId="23">#REF!</definedName>
    <definedName name="CapP22">#REF!</definedName>
    <definedName name="CapP23" localSheetId="22">#REF!</definedName>
    <definedName name="CapP23" localSheetId="23">#REF!</definedName>
    <definedName name="CapP23">#REF!</definedName>
    <definedName name="CapP24" localSheetId="22">#REF!</definedName>
    <definedName name="CapP24" localSheetId="23">#REF!</definedName>
    <definedName name="CapP24">#REF!</definedName>
    <definedName name="CapP25" localSheetId="22">#REF!</definedName>
    <definedName name="CapP25" localSheetId="23">#REF!</definedName>
    <definedName name="CapP25">#REF!</definedName>
    <definedName name="CapP26" localSheetId="22">#REF!</definedName>
    <definedName name="CapP26" localSheetId="23">#REF!</definedName>
    <definedName name="CapP26">#REF!</definedName>
    <definedName name="CapP27" localSheetId="22">#REF!</definedName>
    <definedName name="CapP27" localSheetId="23">#REF!</definedName>
    <definedName name="CapP27">#REF!</definedName>
    <definedName name="CapP28" localSheetId="22">#REF!</definedName>
    <definedName name="CapP28" localSheetId="23">#REF!</definedName>
    <definedName name="CapP28">#REF!</definedName>
    <definedName name="CapP29" localSheetId="22">#REF!</definedName>
    <definedName name="CapP29" localSheetId="23">#REF!</definedName>
    <definedName name="CapP29">#REF!</definedName>
    <definedName name="Capp3" localSheetId="22">#REF!</definedName>
    <definedName name="Capp3" localSheetId="23">#REF!</definedName>
    <definedName name="Capp3">#REF!</definedName>
    <definedName name="CapP30" localSheetId="22">#REF!</definedName>
    <definedName name="CapP30" localSheetId="23">#REF!</definedName>
    <definedName name="CapP30">#REF!</definedName>
    <definedName name="CapP31" localSheetId="22">#REF!</definedName>
    <definedName name="CapP31" localSheetId="23">#REF!</definedName>
    <definedName name="CapP31">#REF!</definedName>
    <definedName name="CapP32" localSheetId="22">#REF!</definedName>
    <definedName name="CapP32" localSheetId="23">#REF!</definedName>
    <definedName name="CapP32">#REF!</definedName>
    <definedName name="CapP33" localSheetId="22">#REF!</definedName>
    <definedName name="CapP33" localSheetId="23">#REF!</definedName>
    <definedName name="CapP33">#REF!</definedName>
    <definedName name="CapP34" localSheetId="22">#REF!</definedName>
    <definedName name="CapP34" localSheetId="23">#REF!</definedName>
    <definedName name="CapP34">#REF!</definedName>
    <definedName name="CAPP35" localSheetId="22">#REF!</definedName>
    <definedName name="CAPP35" localSheetId="23">#REF!</definedName>
    <definedName name="CAPP35">#REF!</definedName>
    <definedName name="CAPP36" localSheetId="22">#REF!</definedName>
    <definedName name="CAPP36" localSheetId="23">#REF!</definedName>
    <definedName name="CAPP36">#REF!</definedName>
    <definedName name="CAPP37" localSheetId="22">#REF!</definedName>
    <definedName name="CAPP37" localSheetId="23">#REF!</definedName>
    <definedName name="CAPP37">#REF!</definedName>
    <definedName name="CAPP38" localSheetId="22">#REF!</definedName>
    <definedName name="CAPP38" localSheetId="23">#REF!</definedName>
    <definedName name="CAPP38">#REF!</definedName>
    <definedName name="CAPP39" localSheetId="22">#REF!</definedName>
    <definedName name="CAPP39" localSheetId="23">#REF!</definedName>
    <definedName name="CAPP39">#REF!</definedName>
    <definedName name="Capp4" localSheetId="22">#REF!</definedName>
    <definedName name="Capp4" localSheetId="23">#REF!</definedName>
    <definedName name="Capp4">#REF!</definedName>
    <definedName name="CAPP40" localSheetId="22">#REF!</definedName>
    <definedName name="CAPP40" localSheetId="23">#REF!</definedName>
    <definedName name="CAPP40">#REF!</definedName>
    <definedName name="CAPP41" localSheetId="22">#REF!</definedName>
    <definedName name="CAPP41" localSheetId="23">#REF!</definedName>
    <definedName name="CAPP41">#REF!</definedName>
    <definedName name="CAPP42" localSheetId="22">#REF!</definedName>
    <definedName name="CAPP42" localSheetId="23">#REF!</definedName>
    <definedName name="CAPP42">#REF!</definedName>
    <definedName name="CAPP43" localSheetId="22">#REF!</definedName>
    <definedName name="CAPP43" localSheetId="23">#REF!</definedName>
    <definedName name="CAPP43">#REF!</definedName>
    <definedName name="CAPP44" localSheetId="22">#REF!</definedName>
    <definedName name="CAPP44" localSheetId="23">#REF!</definedName>
    <definedName name="CAPP44">#REF!</definedName>
    <definedName name="CAPP45" localSheetId="22">#REF!</definedName>
    <definedName name="CAPP45" localSheetId="23">#REF!</definedName>
    <definedName name="CAPP45">#REF!</definedName>
    <definedName name="CAPP46" localSheetId="22">#REF!</definedName>
    <definedName name="CAPP46" localSheetId="23">#REF!</definedName>
    <definedName name="CAPP46">#REF!</definedName>
    <definedName name="CAPP47" localSheetId="22">#REF!</definedName>
    <definedName name="CAPP47" localSheetId="23">#REF!</definedName>
    <definedName name="CAPP47">#REF!</definedName>
    <definedName name="CAPP48" localSheetId="22">#REF!</definedName>
    <definedName name="CAPP48" localSheetId="23">#REF!</definedName>
    <definedName name="CAPP48">#REF!</definedName>
    <definedName name="CAPP49" localSheetId="22">#REF!</definedName>
    <definedName name="CAPP49" localSheetId="23">#REF!</definedName>
    <definedName name="CAPP49">#REF!</definedName>
    <definedName name="Capp5" localSheetId="22">#REF!</definedName>
    <definedName name="Capp5" localSheetId="23">#REF!</definedName>
    <definedName name="Capp5">#REF!</definedName>
    <definedName name="CAPP50" localSheetId="22">#REF!</definedName>
    <definedName name="CAPP50" localSheetId="23">#REF!</definedName>
    <definedName name="CAPP50">#REF!</definedName>
    <definedName name="CAPP51" localSheetId="22">#REF!</definedName>
    <definedName name="CAPP51" localSheetId="23">#REF!</definedName>
    <definedName name="CAPP51">#REF!</definedName>
    <definedName name="CAPP52" localSheetId="22">#REF!</definedName>
    <definedName name="CAPP52" localSheetId="23">#REF!</definedName>
    <definedName name="CAPP52">#REF!</definedName>
    <definedName name="CAPP53" localSheetId="22">#REF!</definedName>
    <definedName name="CAPP53" localSheetId="23">#REF!</definedName>
    <definedName name="CAPP53">#REF!</definedName>
    <definedName name="CAPP54" localSheetId="22">#REF!</definedName>
    <definedName name="CAPP54" localSheetId="23">#REF!</definedName>
    <definedName name="CAPP54">#REF!</definedName>
    <definedName name="CAPP55" localSheetId="22">#REF!</definedName>
    <definedName name="CAPP55" localSheetId="23">#REF!</definedName>
    <definedName name="CAPP55">#REF!</definedName>
    <definedName name="CAPP56" localSheetId="22">#REF!</definedName>
    <definedName name="CAPP56" localSheetId="23">#REF!</definedName>
    <definedName name="CAPP56">#REF!</definedName>
    <definedName name="CAPP57" localSheetId="22">#REF!</definedName>
    <definedName name="CAPP57" localSheetId="23">#REF!</definedName>
    <definedName name="CAPP57">#REF!</definedName>
    <definedName name="CAPP58" localSheetId="22">#REF!</definedName>
    <definedName name="CAPP58" localSheetId="23">#REF!</definedName>
    <definedName name="CAPP58">#REF!</definedName>
    <definedName name="CAPP59" localSheetId="22">#REF!</definedName>
    <definedName name="CAPP59" localSheetId="23">#REF!</definedName>
    <definedName name="CAPP59">#REF!</definedName>
    <definedName name="Capp6" localSheetId="22">#REF!</definedName>
    <definedName name="Capp6" localSheetId="23">#REF!</definedName>
    <definedName name="Capp6">#REF!</definedName>
    <definedName name="CAPP60" localSheetId="22">#REF!</definedName>
    <definedName name="CAPP60" localSheetId="23">#REF!</definedName>
    <definedName name="CAPP60">#REF!</definedName>
    <definedName name="CAPP61" localSheetId="22">#REF!</definedName>
    <definedName name="CAPP61" localSheetId="23">#REF!</definedName>
    <definedName name="CAPP61">#REF!</definedName>
    <definedName name="CAPP62" localSheetId="22">#REF!</definedName>
    <definedName name="CAPP62" localSheetId="23">#REF!</definedName>
    <definedName name="CAPP62">#REF!</definedName>
    <definedName name="CAPP63" localSheetId="22">#REF!</definedName>
    <definedName name="CAPP63" localSheetId="23">#REF!</definedName>
    <definedName name="CAPP63">#REF!</definedName>
    <definedName name="CAPP64" localSheetId="22">#REF!</definedName>
    <definedName name="CAPP64" localSheetId="23">#REF!</definedName>
    <definedName name="CAPP64">#REF!</definedName>
    <definedName name="CAPP65" localSheetId="22">#REF!</definedName>
    <definedName name="CAPP65" localSheetId="23">#REF!</definedName>
    <definedName name="CAPP65">#REF!</definedName>
    <definedName name="CAPP66" localSheetId="22">#REF!</definedName>
    <definedName name="CAPP66" localSheetId="23">#REF!</definedName>
    <definedName name="CAPP66">#REF!</definedName>
    <definedName name="CAPP67" localSheetId="22">#REF!</definedName>
    <definedName name="CAPP67" localSheetId="23">#REF!</definedName>
    <definedName name="CAPP67">#REF!</definedName>
    <definedName name="CAPP68" localSheetId="22">#REF!</definedName>
    <definedName name="CAPP68" localSheetId="23">#REF!</definedName>
    <definedName name="CAPP68">#REF!</definedName>
    <definedName name="Capp7" localSheetId="22">#REF!</definedName>
    <definedName name="Capp7" localSheetId="23">#REF!</definedName>
    <definedName name="Capp7">#REF!</definedName>
    <definedName name="Capp8" localSheetId="22">#REF!</definedName>
    <definedName name="Capp8" localSheetId="23">#REF!</definedName>
    <definedName name="Capp8">#REF!</definedName>
    <definedName name="Capp9" localSheetId="22">#REF!</definedName>
    <definedName name="Capp9" localSheetId="23">#REF!</definedName>
    <definedName name="Capp9">#REF!</definedName>
    <definedName name="CapRate" localSheetId="22">#REF!</definedName>
    <definedName name="CapRate" localSheetId="23">#REF!</definedName>
    <definedName name="CapRate">#REF!</definedName>
    <definedName name="Case" localSheetId="22">#REF!</definedName>
    <definedName name="Case" localSheetId="23">#REF!</definedName>
    <definedName name="Case">#REF!</definedName>
    <definedName name="cash">#N/A</definedName>
    <definedName name="CashFlow_Button1_Click">#N/A</definedName>
    <definedName name="CASHM">#N/A</definedName>
    <definedName name="Category" localSheetId="22">#REF!</definedName>
    <definedName name="Category" localSheetId="23">#REF!</definedName>
    <definedName name="Category">#REF!</definedName>
    <definedName name="CBWorkbookPriority" hidden="1">-1306763243</definedName>
    <definedName name="cc"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c" hidden="1">{"cred comp",#N/A,FALSE,"Comparable Credit Analysis";"IS",#N/A,FALSE,"IS";"Sensitivity",#N/A,FALSE,"Sensitivity";"BS",#N/A,FALSE,"BS";"Bond Summary",#N/A,FALSE,"B Summary";"AD",#N/A,FALSE,"Accretion";"NAV",#N/A,FALSE,"NAV";"SU",#N/A,FALSE,"S&amp;U";"acq. study",#N/A,FALSE,"Acq. Study";"F Charges",#N/A,FALSE,"Fixed Charges"}</definedName>
    <definedName name="ccc_1" hidden="1">{"cred comp",#N/A,FALSE,"Comparable Credit Analysis";"IS",#N/A,FALSE,"IS";"Sensitivity",#N/A,FALSE,"Sensitivity";"BS",#N/A,FALSE,"BS";"Bond Summary",#N/A,FALSE,"B Summary";"AD",#N/A,FALSE,"Accretion";"NAV",#N/A,FALSE,"NAV";"SU",#N/A,FALSE,"S&amp;U";"acq. study",#N/A,FALSE,"Acq. Study";"F Charges",#N/A,FALSE,"Fixed Charges"}</definedName>
    <definedName name="ccc_1_1" hidden="1">{"cred comp",#N/A,FALSE,"Comparable Credit Analysis";"IS",#N/A,FALSE,"IS";"Sensitivity",#N/A,FALSE,"Sensitivity";"BS",#N/A,FALSE,"BS";"Bond Summary",#N/A,FALSE,"B Summary";"AD",#N/A,FALSE,"Accretion";"NAV",#N/A,FALSE,"NAV";"SU",#N/A,FALSE,"S&amp;U";"acq. study",#N/A,FALSE,"Acq. Study";"F Charges",#N/A,FALSE,"Fixed Charges"}</definedName>
    <definedName name="cccc" hidden="1">{#N/A,#N/A,FALSE,"SUM";#N/A,#N/A,FALSE,"Holding Cost ";#N/A,#N/A,FALSE,"2000 &amp; C3D";#N/A,#N/A,FALSE,"Disposal Costs";#N/A,#N/A,FALSE,"WIP";#N/A,#N/A,FALSE,"Fin Goods"}</definedName>
    <definedName name="cccc_1" hidden="1">{#N/A,#N/A,FALSE,"SUM";#N/A,#N/A,FALSE,"Holding Cost ";#N/A,#N/A,FALSE,"2000 &amp; C3D";#N/A,#N/A,FALSE,"Disposal Costs";#N/A,#N/A,FALSE,"WIP";#N/A,#N/A,FALSE,"Fin Goods"}</definedName>
    <definedName name="cccc_1_1" hidden="1">{#N/A,#N/A,FALSE,"SUM";#N/A,#N/A,FALSE,"Holding Cost ";#N/A,#N/A,FALSE,"2000 &amp; C3D";#N/A,#N/A,FALSE,"Disposal Costs";#N/A,#N/A,FALSE,"WIP";#N/A,#N/A,FALSE,"Fin Goods"}</definedName>
    <definedName name="ccccc" hidden="1">{"revenue detail 1",#N/A,FALSE,"Revenue Detail";"revenue detail 2",#N/A,FALSE,"Revenue Detail";"revenue detail 3",#N/A,FALSE,"Revenue Detail";"revenue detail 4",#N/A,FALSE,"Revenue Detail"}</definedName>
    <definedName name="ccccc_1" hidden="1">{"revenue detail 1",#N/A,FALSE,"Revenue Detail";"revenue detail 2",#N/A,FALSE,"Revenue Detail";"revenue detail 3",#N/A,FALSE,"Revenue Detail";"revenue detail 4",#N/A,FALSE,"Revenue Detail"}</definedName>
    <definedName name="ccccc_1_1" hidden="1">{"revenue detail 1",#N/A,FALSE,"Revenue Detail";"revenue detail 2",#N/A,FALSE,"Revenue Detail";"revenue detail 3",#N/A,FALSE,"Revenue Detail";"revenue detail 4",#N/A,FALSE,"Revenue Detail"}</definedName>
    <definedName name="cccccc" hidden="1">{#N/A,#N/A,TRUE,"Falcons_Standalone";#N/A,#N/A,TRUE,"Target_Input";#N/A,#N/A,TRUE,"Target_Calendarized"}</definedName>
    <definedName name="cccccc_1" hidden="1">{#N/A,#N/A,TRUE,"Falcons_Standalone";#N/A,#N/A,TRUE,"Target_Input";#N/A,#N/A,TRUE,"Target_Calendarized"}</definedName>
    <definedName name="cccccc_1_1" hidden="1">{#N/A,#N/A,TRUE,"Falcons_Standalone";#N/A,#N/A,TRUE,"Target_Input";#N/A,#N/A,TRUE,"Target_Calendarized"}</definedName>
    <definedName name="ccccccc" hidden="1">{"revenue graph",#N/A,FALSE,"Revenue Graph"}</definedName>
    <definedName name="ccccccc_1" hidden="1">{"revenue graph",#N/A,FALSE,"Revenue Graph"}</definedName>
    <definedName name="ccccccc_1_1" hidden="1">{"revenue graph",#N/A,FALSE,"Revenue Graph"}</definedName>
    <definedName name="cccccccc" hidden="1">{"Total",#N/A,FALSE,"Six Fields";"PDP",#N/A,FALSE,"Six Fields";"PNP",#N/A,FALSE,"Six Fields";"PUD",#N/A,FALSE,"Six Fields";"Prob",#N/A,FALSE,"Six Fields"}</definedName>
    <definedName name="cccccccc_1" hidden="1">{"Total",#N/A,FALSE,"Six Fields";"PDP",#N/A,FALSE,"Six Fields";"PNP",#N/A,FALSE,"Six Fields";"PUD",#N/A,FALSE,"Six Fields";"Prob",#N/A,FALSE,"Six Fields"}</definedName>
    <definedName name="cccccccc_1_1" hidden="1">{"Total",#N/A,FALSE,"Six Fields";"PDP",#N/A,FALSE,"Six Fields";"PNP",#N/A,FALSE,"Six Fields";"PUD",#N/A,FALSE,"Six Fields";"Prob",#N/A,FALSE,"Six Fields"}</definedName>
    <definedName name="ccccccccc" hidden="1">{"Sum1",#N/A,FALSE,"Reserve Report";"Sum2",#N/A,FALSE,"Reserve Report";"Sum3",#N/A,FALSE,"Reserve Report";"Sum4",#N/A,FALSE,"Reserve Report"}</definedName>
    <definedName name="ccccccccc_1" hidden="1">{"Sum1",#N/A,FALSE,"Reserve Report";"Sum2",#N/A,FALSE,"Reserve Report";"Sum3",#N/A,FALSE,"Reserve Report";"Sum4",#N/A,FALSE,"Reserve Report"}</definedName>
    <definedName name="ccccccccc_1_1" hidden="1">{"Sum1",#N/A,FALSE,"Reserve Report";"Sum2",#N/A,FALSE,"Reserve Report";"Sum3",#N/A,FALSE,"Reserve Report";"Sum4",#N/A,FALSE,"Reserve Report"}</definedName>
    <definedName name="cdew" hidden="1">{#N/A,#N/A,FALSE,"资产负债表";#N/A,#N/A,FALSE,"资产负债表"}</definedName>
    <definedName name="cew\" hidden="1">{#N/A,#N/A,FALSE,"COVER";#N/A,#N/A,FALSE,"0";#N/A,#N/A,FALSE,"1";#N/A,#N/A,FALSE,"2";#N/A,#N/A,FALSE,"3";#N/A,#N/A,FALSE,"4";#N/A,#N/A,FALSE,"5";#N/A,#N/A,FALSE,"6";#N/A,#N/A,FALSE,"7";#N/A,#N/A,FALSE,"8";#N/A,#N/A,FALSE,"9";#N/A,#N/A,FALSE,"10";#N/A,#N/A,FALSE,"11"}</definedName>
    <definedName name="cf" hidden="1">{"toptrial",#N/A,TRUE,"toptrial";"adjustment",#N/A,TRUE,"toptrial";"voucher",#N/A,TRUE,"toptrial"}</definedName>
    <definedName name="CFA" localSheetId="22">#REF!</definedName>
    <definedName name="CFA" localSheetId="23">#REF!</definedName>
    <definedName name="CFA">#REF!</definedName>
    <definedName name="ChAC" localSheetId="22">#REF!</definedName>
    <definedName name="ChAC" localSheetId="23">#REF!</definedName>
    <definedName name="ChAC">#REF!</definedName>
    <definedName name="ChangColor_With1" localSheetId="22">#REF!</definedName>
    <definedName name="ChangColor_With1" localSheetId="23">#REF!</definedName>
    <definedName name="ChangColor_With1">#REF!</definedName>
    <definedName name="Change" localSheetId="22">#REF!</definedName>
    <definedName name="Change" localSheetId="23">#REF!</definedName>
    <definedName name="Change">#REF!</definedName>
    <definedName name="CHANGSHA" localSheetId="22">#REF!</definedName>
    <definedName name="CHANGSHA" localSheetId="23">#REF!</definedName>
    <definedName name="CHANGSHA">#REF!</definedName>
    <definedName name="ChBV" localSheetId="22">#REF!</definedName>
    <definedName name="ChBV" localSheetId="23">#REF!</definedName>
    <definedName name="ChBV">#REF!</definedName>
    <definedName name="Chosen_Accounts" localSheetId="22">#REF!</definedName>
    <definedName name="Chosen_Accounts" localSheetId="23">#REF!</definedName>
    <definedName name="Chosen_Accounts" localSheetId="51">#REF!</definedName>
    <definedName name="Chosen_Accounts">#REF!</definedName>
    <definedName name="Chosen_Product_Houses" localSheetId="22">#REF!</definedName>
    <definedName name="Chosen_Product_Houses" localSheetId="23">#REF!</definedName>
    <definedName name="Chosen_Product_Houses" localSheetId="51">#REF!</definedName>
    <definedName name="Chosen_Product_Houses">#REF!</definedName>
    <definedName name="Chosen_Product_Lines" localSheetId="22">#REF!</definedName>
    <definedName name="Chosen_Product_Lines" localSheetId="23">#REF!</definedName>
    <definedName name="Chosen_Product_Lines" localSheetId="51">#REF!</definedName>
    <definedName name="Chosen_Product_Lines">#REF!</definedName>
    <definedName name="ChosenCountries" localSheetId="22">#REF!</definedName>
    <definedName name="ChosenCountries" localSheetId="23">#REF!</definedName>
    <definedName name="ChosenCountries" localSheetId="51">#REF!</definedName>
    <definedName name="ChosenCountries">#REF!</definedName>
    <definedName name="CIQWBGuid" hidden="1">"b05fee4e-74f5-403c-af92-1fa378d30124"</definedName>
    <definedName name="CLEAN_RPT" localSheetId="22">#REF!</definedName>
    <definedName name="CLEAN_RPT" localSheetId="23">#REF!</definedName>
    <definedName name="CLEAN_RPT" localSheetId="51">#REF!</definedName>
    <definedName name="CLEAN_RPT">#REF!</definedName>
    <definedName name="CMTGearing2003" localSheetId="22">#REF!</definedName>
    <definedName name="CMTGearing2003" localSheetId="23">#REF!</definedName>
    <definedName name="CMTGearing2003">#REF!</definedName>
    <definedName name="co">100</definedName>
    <definedName name="conlen" localSheetId="22">#REF!</definedName>
    <definedName name="conlen" localSheetId="23">#REF!</definedName>
    <definedName name="conlen">#REF!</definedName>
    <definedName name="Construction_Cost_Rate" localSheetId="22">#REF!</definedName>
    <definedName name="Construction_Cost_Rate" localSheetId="23">#REF!</definedName>
    <definedName name="Construction_Cost_Rate">#REF!</definedName>
    <definedName name="CONT">"B99"</definedName>
    <definedName name="CONTINUE" localSheetId="22">#REF!</definedName>
    <definedName name="CONTINUE" localSheetId="23">#REF!</definedName>
    <definedName name="CONTINUE" localSheetId="51">#REF!</definedName>
    <definedName name="CONTINUE">#REF!</definedName>
    <definedName name="ContractedColor" localSheetId="22">#REF!</definedName>
    <definedName name="ContractedColor" localSheetId="23">#REF!</definedName>
    <definedName name="ContractedColor" localSheetId="51">#REF!</definedName>
    <definedName name="ContractedColor">#REF!</definedName>
    <definedName name="ContractedLower" localSheetId="22">#REF!</definedName>
    <definedName name="ContractedLower" localSheetId="23">#REF!</definedName>
    <definedName name="ContractedLower" localSheetId="51">#REF!</definedName>
    <definedName name="ContractedLower">#REF!</definedName>
    <definedName name="ContractedUpper" localSheetId="22">#REF!</definedName>
    <definedName name="ContractedUpper" localSheetId="23">#REF!</definedName>
    <definedName name="ContractedUpper" localSheetId="51">#REF!</definedName>
    <definedName name="ContractedUpper">#REF!</definedName>
    <definedName name="Contracts" localSheetId="22">#REF!</definedName>
    <definedName name="Contracts" localSheetId="23">#REF!</definedName>
    <definedName name="Contracts">#REF!</definedName>
    <definedName name="CORPTAX" localSheetId="22">#REF!</definedName>
    <definedName name="CORPTAX" localSheetId="23">#REF!</definedName>
    <definedName name="CORPTAX">#REF!</definedName>
    <definedName name="cost" localSheetId="22">#REF!</definedName>
    <definedName name="cost" localSheetId="23">#REF!</definedName>
    <definedName name="cost">#REF!</definedName>
    <definedName name="COUNT" localSheetId="22">#REF!</definedName>
    <definedName name="COUNT" localSheetId="23">#REF!</definedName>
    <definedName name="COUNT" localSheetId="51">#REF!</definedName>
    <definedName name="COUNT">#REF!</definedName>
    <definedName name="COUNT_VAR" localSheetId="22">#REF!</definedName>
    <definedName name="COUNT_VAR" localSheetId="23">#REF!</definedName>
    <definedName name="COUNT_VAR" localSheetId="51">#REF!</definedName>
    <definedName name="COUNT_VAR">#REF!</definedName>
    <definedName name="COUPPCD" localSheetId="22">#REF!</definedName>
    <definedName name="COUPPCD" localSheetId="23">#REF!</definedName>
    <definedName name="COUPPCD">#REF!</definedName>
    <definedName name="CR" localSheetId="22">#REF!</definedName>
    <definedName name="CR" localSheetId="23">#REF!</definedName>
    <definedName name="CR">#REF!</definedName>
    <definedName name="CRb" localSheetId="22">#REF!</definedName>
    <definedName name="CRb" localSheetId="23">#REF!</definedName>
    <definedName name="CRb">#REF!</definedName>
    <definedName name="Credcard_Income_Growth" localSheetId="22">#REF!</definedName>
    <definedName name="Credcard_Income_Growth" localSheetId="23">#REF!</definedName>
    <definedName name="Credcard_Income_Growth">#REF!</definedName>
    <definedName name="Criteria_MI" localSheetId="22">#REF!</definedName>
    <definedName name="Criteria_MI" localSheetId="23">#REF!</definedName>
    <definedName name="Criteria_MI">#REF!</definedName>
    <definedName name="ctWB" localSheetId="22">#REF!</definedName>
    <definedName name="ctWB" localSheetId="23">#REF!</definedName>
    <definedName name="ctWB" localSheetId="51">#REF!</definedName>
    <definedName name="ctWB">#REF!</definedName>
    <definedName name="ctWB2" localSheetId="22">#REF!</definedName>
    <definedName name="ctWB2" localSheetId="23">#REF!</definedName>
    <definedName name="ctWB2" localSheetId="51">#REF!</definedName>
    <definedName name="ctWB2">#REF!</definedName>
    <definedName name="CUPPAGE_TERRACE" localSheetId="22">#REF!</definedName>
    <definedName name="CUPPAGE_TERRACE" localSheetId="23">#REF!</definedName>
    <definedName name="CUPPAGE_TERRACE">#REF!</definedName>
    <definedName name="CurrencySymbol" localSheetId="22">#REF!</definedName>
    <definedName name="CurrencySymbol" localSheetId="23">#REF!</definedName>
    <definedName name="CurrencySymbol" localSheetId="51">#REF!</definedName>
    <definedName name="CurrencySymbol">#REF!</definedName>
    <definedName name="Customer" localSheetId="22">#REF!</definedName>
    <definedName name="Customer" localSheetId="23">#REF!</definedName>
    <definedName name="Customer">#REF!</definedName>
    <definedName name="cw" hidden="1">{#N/A,#N/A,FALSE,"资产负债表";#N/A,#N/A,FALSE,"资产负债表"}</definedName>
    <definedName name="CWV" localSheetId="22">#REF!</definedName>
    <definedName name="CWV" localSheetId="23">#REF!</definedName>
    <definedName name="CWV" localSheetId="51">#REF!</definedName>
    <definedName name="CWV">#REF!</definedName>
    <definedName name="CWV_MultActual" localSheetId="22">#REF!</definedName>
    <definedName name="CWV_MultActual" localSheetId="23">#REF!</definedName>
    <definedName name="CWV_MultActual" localSheetId="51">#REF!</definedName>
    <definedName name="CWV_MultActual">#REF!</definedName>
    <definedName name="CWV_MultContracted" localSheetId="22">#REF!</definedName>
    <definedName name="CWV_MultContracted" localSheetId="23">#REF!</definedName>
    <definedName name="CWV_MultContracted" localSheetId="51">#REF!</definedName>
    <definedName name="CWV_MultContracted">#REF!</definedName>
    <definedName name="CWV_MultHigh" localSheetId="22">#REF!</definedName>
    <definedName name="CWV_MultHigh" localSheetId="23">#REF!</definedName>
    <definedName name="CWV_MultHigh" localSheetId="51">#REF!</definedName>
    <definedName name="CWV_MultHigh">#REF!</definedName>
    <definedName name="CWV_MultLow" localSheetId="22">#REF!</definedName>
    <definedName name="CWV_MultLow" localSheetId="23">#REF!</definedName>
    <definedName name="CWV_MultLow" localSheetId="51">#REF!</definedName>
    <definedName name="CWV_MultLow">#REF!</definedName>
    <definedName name="CWV_MultMedium" localSheetId="22">#REF!</definedName>
    <definedName name="CWV_MultMedium" localSheetId="23">#REF!</definedName>
    <definedName name="CWV_MultMedium" localSheetId="51">#REF!</definedName>
    <definedName name="CWV_MultMedium">#REF!</definedName>
    <definedName name="CWVColor" localSheetId="22">#REF!</definedName>
    <definedName name="CWVColor" localSheetId="23">#REF!</definedName>
    <definedName name="CWVColor" localSheetId="51">#REF!</definedName>
    <definedName name="CWVColor">#REF!</definedName>
    <definedName name="CWVTotal" localSheetId="22">#REF!</definedName>
    <definedName name="CWVTotal" localSheetId="23">#REF!</definedName>
    <definedName name="CWVTotal" localSheetId="51">#REF!</definedName>
    <definedName name="CWVTotal">#REF!</definedName>
    <definedName name="CWVTotalDetail" localSheetId="22">#REF!</definedName>
    <definedName name="CWVTotalDetail" localSheetId="23">#REF!</definedName>
    <definedName name="CWVTotalDetail" localSheetId="51">#REF!</definedName>
    <definedName name="CWVTotalDetail">#REF!</definedName>
    <definedName name="CWVTotalWeighted" localSheetId="22">#REF!</definedName>
    <definedName name="CWVTotalWeighted" localSheetId="23">#REF!</definedName>
    <definedName name="CWVTotalWeighted" localSheetId="51">#REF!</definedName>
    <definedName name="CWVTotalWeighted">#REF!</definedName>
    <definedName name="CX" hidden="1">{#N/A,#N/A,FALSE,"431"}</definedName>
    <definedName name="d" hidden="1">{#N/A,#N/A,TRUE,"Acquirer_Cases_Input";#N/A,#N/A,TRUE,"Acquirer_Input";#N/A,#N/A,TRUE,"Acquirer"}</definedName>
    <definedName name="d_1" hidden="1">{#N/A,#N/A,TRUE,"Acquirer_Cases_Input";#N/A,#N/A,TRUE,"Acquirer_Input";#N/A,#N/A,TRUE,"Acquirer"}</definedName>
    <definedName name="d_1_1" hidden="1">{#N/A,#N/A,TRUE,"Acquirer_Cases_Input";#N/A,#N/A,TRUE,"Acquirer_Input";#N/A,#N/A,TRUE,"Acquirer"}</definedName>
    <definedName name="D_month" localSheetId="22">#REF!</definedName>
    <definedName name="D_month" localSheetId="23">#REF!</definedName>
    <definedName name="D_month">#REF!</definedName>
    <definedName name="daf" hidden="1">{"toptrial",#N/A,TRUE,"toptrial";"adjustment",#N/A,TRUE,"toptrial";"voucher",#N/A,TRUE,"toptrial"}</definedName>
    <definedName name="data" localSheetId="22">#REF!</definedName>
    <definedName name="data" localSheetId="23">#REF!</definedName>
    <definedName name="data" localSheetId="51">#REF!</definedName>
    <definedName name="data">#REF!</definedName>
    <definedName name="Data___Borrower" localSheetId="22">#REF!</definedName>
    <definedName name="Data___Borrower" localSheetId="23">#REF!</definedName>
    <definedName name="Data___Borrower">#REF!</definedName>
    <definedName name="Data___Coll_Info" localSheetId="22">#REF!</definedName>
    <definedName name="Data___Coll_Info" localSheetId="23">#REF!</definedName>
    <definedName name="Data___Coll_Info">#REF!</definedName>
    <definedName name="Data___Coll_Scenario" localSheetId="22">#REF!</definedName>
    <definedName name="Data___Coll_Scenario" localSheetId="23">#REF!</definedName>
    <definedName name="Data___Coll_Scenario">#REF!</definedName>
    <definedName name="Data___Loan" localSheetId="22">#REF!</definedName>
    <definedName name="Data___Loan" localSheetId="23">#REF!</definedName>
    <definedName name="Data___Loan">#REF!</definedName>
    <definedName name="DATA1" localSheetId="22">#REF!</definedName>
    <definedName name="DATA1" localSheetId="23">#REF!</definedName>
    <definedName name="DATA1">#REF!</definedName>
    <definedName name="DATA10" localSheetId="22">#REF!</definedName>
    <definedName name="DATA10" localSheetId="23">#REF!</definedName>
    <definedName name="DATA10">#REF!</definedName>
    <definedName name="DATA11" localSheetId="22">#REF!</definedName>
    <definedName name="DATA11" localSheetId="23">#REF!</definedName>
    <definedName name="DATA11">#REF!</definedName>
    <definedName name="DATA12" localSheetId="22">#REF!</definedName>
    <definedName name="DATA12" localSheetId="23">#REF!</definedName>
    <definedName name="DATA12">#REF!</definedName>
    <definedName name="DATA13" localSheetId="22">#REF!</definedName>
    <definedName name="DATA13" localSheetId="23">#REF!</definedName>
    <definedName name="DATA13">#REF!</definedName>
    <definedName name="DATA14" localSheetId="22">#REF!</definedName>
    <definedName name="DATA14" localSheetId="23">#REF!</definedName>
    <definedName name="DATA14">#REF!</definedName>
    <definedName name="DATA2" localSheetId="22">#REF!</definedName>
    <definedName name="DATA2" localSheetId="23">#REF!</definedName>
    <definedName name="DATA2">#REF!</definedName>
    <definedName name="DATA3" localSheetId="22">#REF!</definedName>
    <definedName name="DATA3" localSheetId="23">#REF!</definedName>
    <definedName name="DATA3">#REF!</definedName>
    <definedName name="DATA4" localSheetId="22">#REF!</definedName>
    <definedName name="DATA4" localSheetId="23">#REF!</definedName>
    <definedName name="DATA4">#REF!</definedName>
    <definedName name="DATA5" localSheetId="22">#REF!</definedName>
    <definedName name="DATA5" localSheetId="23">#REF!</definedName>
    <definedName name="DATA5">#REF!</definedName>
    <definedName name="DATA6" localSheetId="22">#REF!</definedName>
    <definedName name="DATA6" localSheetId="23">#REF!</definedName>
    <definedName name="DATA6">#REF!</definedName>
    <definedName name="DATA7" localSheetId="22">#REF!</definedName>
    <definedName name="DATA7" localSheetId="23">#REF!</definedName>
    <definedName name="DATA7">#REF!</definedName>
    <definedName name="DATA8" localSheetId="22">#REF!</definedName>
    <definedName name="DATA8" localSheetId="23">#REF!</definedName>
    <definedName name="DATA8">#REF!</definedName>
    <definedName name="DATA9" localSheetId="22">#REF!</definedName>
    <definedName name="DATA9" localSheetId="23">#REF!</definedName>
    <definedName name="DATA9">#REF!</definedName>
    <definedName name="DataAccount" localSheetId="22">#REF!</definedName>
    <definedName name="DataAccount" localSheetId="23">#REF!</definedName>
    <definedName name="DataAccount" localSheetId="51">#REF!</definedName>
    <definedName name="DataAccount">#REF!</definedName>
    <definedName name="DataApr2001Rev" localSheetId="22">#REF!</definedName>
    <definedName name="DataApr2001Rev" localSheetId="23">#REF!</definedName>
    <definedName name="DataApr2001Rev" localSheetId="51">#REF!</definedName>
    <definedName name="DataApr2001Rev">#REF!</definedName>
    <definedName name="DataApr2001SGP" localSheetId="22">#REF!</definedName>
    <definedName name="DataApr2001SGP" localSheetId="23">#REF!</definedName>
    <definedName name="DataApr2001SGP" localSheetId="51">#REF!</definedName>
    <definedName name="DataApr2001SGP">#REF!</definedName>
    <definedName name="DataApr2002Rev" localSheetId="22">#REF!</definedName>
    <definedName name="DataApr2002Rev" localSheetId="23">#REF!</definedName>
    <definedName name="DataApr2002Rev" localSheetId="51">#REF!</definedName>
    <definedName name="DataApr2002Rev">#REF!</definedName>
    <definedName name="DataApr2002SGP" localSheetId="22">#REF!</definedName>
    <definedName name="DataApr2002SGP" localSheetId="23">#REF!</definedName>
    <definedName name="DataApr2002SGP" localSheetId="51">#REF!</definedName>
    <definedName name="DataApr2002SGP">#REF!</definedName>
    <definedName name="DataApr2003Rev" localSheetId="22">#REF!</definedName>
    <definedName name="DataApr2003Rev" localSheetId="23">#REF!</definedName>
    <definedName name="DataApr2003Rev" localSheetId="51">#REF!</definedName>
    <definedName name="DataApr2003Rev">#REF!</definedName>
    <definedName name="DataApr2003SGP" localSheetId="22">#REF!</definedName>
    <definedName name="DataApr2003SGP" localSheetId="23">#REF!</definedName>
    <definedName name="DataApr2003SGP" localSheetId="51">#REF!</definedName>
    <definedName name="DataApr2003SGP">#REF!</definedName>
    <definedName name="DataAug2001Rev" localSheetId="22">#REF!</definedName>
    <definedName name="DataAug2001Rev" localSheetId="23">#REF!</definedName>
    <definedName name="DataAug2001Rev" localSheetId="51">#REF!</definedName>
    <definedName name="DataAug2001Rev">#REF!</definedName>
    <definedName name="DataAug2001SGP" localSheetId="22">#REF!</definedName>
    <definedName name="DataAug2001SGP" localSheetId="23">#REF!</definedName>
    <definedName name="DataAug2001SGP" localSheetId="51">#REF!</definedName>
    <definedName name="DataAug2001SGP">#REF!</definedName>
    <definedName name="DataAug2002Rev" localSheetId="22">#REF!</definedName>
    <definedName name="DataAug2002Rev" localSheetId="23">#REF!</definedName>
    <definedName name="DataAug2002Rev" localSheetId="51">#REF!</definedName>
    <definedName name="DataAug2002Rev">#REF!</definedName>
    <definedName name="DataAug2002SGP" localSheetId="22">#REF!</definedName>
    <definedName name="DataAug2002SGP" localSheetId="23">#REF!</definedName>
    <definedName name="DataAug2002SGP" localSheetId="51">#REF!</definedName>
    <definedName name="DataAug2002SGP">#REF!</definedName>
    <definedName name="DataAug2003Rev" localSheetId="22">#REF!</definedName>
    <definedName name="DataAug2003Rev" localSheetId="23">#REF!</definedName>
    <definedName name="DataAug2003Rev" localSheetId="51">#REF!</definedName>
    <definedName name="DataAug2003Rev">#REF!</definedName>
    <definedName name="DataAug2003SGP" localSheetId="22">#REF!</definedName>
    <definedName name="DataAug2003SGP" localSheetId="23">#REF!</definedName>
    <definedName name="DataAug2003SGP" localSheetId="51">#REF!</definedName>
    <definedName name="DataAug2003SGP">#REF!</definedName>
    <definedName name="_xlnm.Database" localSheetId="22">#REF!</definedName>
    <definedName name="_xlnm.Database" localSheetId="23">#REF!</definedName>
    <definedName name="_xlnm.Database" localSheetId="51">#REF!</definedName>
    <definedName name="_xlnm.Database">#REF!</definedName>
    <definedName name="Database_MI" localSheetId="22">#REF!</definedName>
    <definedName name="Database_MI" localSheetId="23">#REF!</definedName>
    <definedName name="Database_MI" localSheetId="51">#REF!</definedName>
    <definedName name="Database_MI">#REF!</definedName>
    <definedName name="DataBLGCode" localSheetId="22">#REF!</definedName>
    <definedName name="DataBLGCode" localSheetId="23">#REF!</definedName>
    <definedName name="DataBLGCode" localSheetId="51">#REF!</definedName>
    <definedName name="DataBLGCode">#REF!</definedName>
    <definedName name="DataBLGDescription" localSheetId="22">#REF!</definedName>
    <definedName name="DataBLGDescription" localSheetId="23">#REF!</definedName>
    <definedName name="DataBLGDescription" localSheetId="51">#REF!</definedName>
    <definedName name="DataBLGDescription">#REF!</definedName>
    <definedName name="DataCloseDate" localSheetId="22">#REF!</definedName>
    <definedName name="DataCloseDate" localSheetId="23">#REF!</definedName>
    <definedName name="DataCloseDate" localSheetId="51">#REF!</definedName>
    <definedName name="DataCloseDate">#REF!</definedName>
    <definedName name="DataCountry" localSheetId="22">#REF!</definedName>
    <definedName name="DataCountry" localSheetId="23">#REF!</definedName>
    <definedName name="DataCountry" localSheetId="51">#REF!</definedName>
    <definedName name="DataCountry">#REF!</definedName>
    <definedName name="DataCriticalSuccessFactors" localSheetId="22">#REF!</definedName>
    <definedName name="DataCriticalSuccessFactors" localSheetId="23">#REF!</definedName>
    <definedName name="DataCriticalSuccessFactors" localSheetId="51">#REF!</definedName>
    <definedName name="DataCriticalSuccessFactors">#REF!</definedName>
    <definedName name="DataDec2000Rev" localSheetId="22">#REF!</definedName>
    <definedName name="DataDec2000Rev" localSheetId="23">#REF!</definedName>
    <definedName name="DataDec2000Rev" localSheetId="51">#REF!</definedName>
    <definedName name="DataDec2000Rev">#REF!</definedName>
    <definedName name="DataDec2000SGP" localSheetId="22">#REF!</definedName>
    <definedName name="DataDec2000SGP" localSheetId="23">#REF!</definedName>
    <definedName name="DataDec2000SGP" localSheetId="51">#REF!</definedName>
    <definedName name="DataDec2000SGP">#REF!</definedName>
    <definedName name="DataDec2001Rev" localSheetId="22">#REF!</definedName>
    <definedName name="DataDec2001Rev" localSheetId="23">#REF!</definedName>
    <definedName name="DataDec2001Rev" localSheetId="51">#REF!</definedName>
    <definedName name="DataDec2001Rev">#REF!</definedName>
    <definedName name="DataDec2001SGP" localSheetId="22">#REF!</definedName>
    <definedName name="DataDec2001SGP" localSheetId="23">#REF!</definedName>
    <definedName name="DataDec2001SGP" localSheetId="51">#REF!</definedName>
    <definedName name="DataDec2001SGP">#REF!</definedName>
    <definedName name="DataDec2002Rev" localSheetId="22">#REF!</definedName>
    <definedName name="DataDec2002Rev" localSheetId="23">#REF!</definedName>
    <definedName name="DataDec2002Rev" localSheetId="51">#REF!</definedName>
    <definedName name="DataDec2002Rev">#REF!</definedName>
    <definedName name="DataDec2002SGP" localSheetId="22">#REF!</definedName>
    <definedName name="DataDec2002SGP" localSheetId="23">#REF!</definedName>
    <definedName name="DataDec2002SGP" localSheetId="51">#REF!</definedName>
    <definedName name="DataDec2002SGP">#REF!</definedName>
    <definedName name="DataFeb2001Rev" localSheetId="22">#REF!</definedName>
    <definedName name="DataFeb2001Rev" localSheetId="23">#REF!</definedName>
    <definedName name="DataFeb2001Rev" localSheetId="51">#REF!</definedName>
    <definedName name="DataFeb2001Rev">#REF!</definedName>
    <definedName name="DataFeb2001SGP" localSheetId="22">#REF!</definedName>
    <definedName name="DataFeb2001SGP" localSheetId="23">#REF!</definedName>
    <definedName name="DataFeb2001SGP" localSheetId="51">#REF!</definedName>
    <definedName name="DataFeb2001SGP">#REF!</definedName>
    <definedName name="DataFeb2002Rev" localSheetId="22">#REF!</definedName>
    <definedName name="DataFeb2002Rev" localSheetId="23">#REF!</definedName>
    <definedName name="DataFeb2002Rev" localSheetId="51">#REF!</definedName>
    <definedName name="DataFeb2002Rev">#REF!</definedName>
    <definedName name="DataFeb2002SGP" localSheetId="22">#REF!</definedName>
    <definedName name="DataFeb2002SGP" localSheetId="23">#REF!</definedName>
    <definedName name="DataFeb2002SGP" localSheetId="51">#REF!</definedName>
    <definedName name="DataFeb2002SGP">#REF!</definedName>
    <definedName name="DataFeb2003Rev" localSheetId="22">#REF!</definedName>
    <definedName name="DataFeb2003Rev" localSheetId="23">#REF!</definedName>
    <definedName name="DataFeb2003Rev" localSheetId="51">#REF!</definedName>
    <definedName name="DataFeb2003Rev">#REF!</definedName>
    <definedName name="DataFeb2003SGP" localSheetId="22">#REF!</definedName>
    <definedName name="DataFeb2003SGP" localSheetId="23">#REF!</definedName>
    <definedName name="DataFeb2003SGP" localSheetId="51">#REF!</definedName>
    <definedName name="DataFeb2003SGP">#REF!</definedName>
    <definedName name="DataFinancingRequired" localSheetId="22">#REF!</definedName>
    <definedName name="DataFinancingRequired" localSheetId="23">#REF!</definedName>
    <definedName name="DataFinancingRequired" localSheetId="51">#REF!</definedName>
    <definedName name="DataFinancingRequired">#REF!</definedName>
    <definedName name="DataFPN" localSheetId="22">#REF!</definedName>
    <definedName name="DataFPN" localSheetId="23">#REF!</definedName>
    <definedName name="DataFPN" localSheetId="51">#REF!</definedName>
    <definedName name="DataFPN">#REF!</definedName>
    <definedName name="DataFQ12001Rev" localSheetId="22">#REF!</definedName>
    <definedName name="DataFQ12001Rev" localSheetId="23">#REF!</definedName>
    <definedName name="DataFQ12001Rev" localSheetId="51">#REF!</definedName>
    <definedName name="DataFQ12001Rev">#REF!</definedName>
    <definedName name="DataFQ12001SGP" localSheetId="22">#REF!</definedName>
    <definedName name="DataFQ12001SGP" localSheetId="23">#REF!</definedName>
    <definedName name="DataFQ12001SGP" localSheetId="51">#REF!</definedName>
    <definedName name="DataFQ12001SGP">#REF!</definedName>
    <definedName name="DataFQ12002Rev" localSheetId="22">#REF!</definedName>
    <definedName name="DataFQ12002Rev" localSheetId="23">#REF!</definedName>
    <definedName name="DataFQ12002Rev" localSheetId="51">#REF!</definedName>
    <definedName name="DataFQ12002Rev">#REF!</definedName>
    <definedName name="DataFQ12002SGP" localSheetId="22">#REF!</definedName>
    <definedName name="DataFQ12002SGP" localSheetId="23">#REF!</definedName>
    <definedName name="DataFQ12002SGP" localSheetId="51">#REF!</definedName>
    <definedName name="DataFQ12002SGP">#REF!</definedName>
    <definedName name="DataFQ12003Rev" localSheetId="22">#REF!</definedName>
    <definedName name="DataFQ12003Rev" localSheetId="23">#REF!</definedName>
    <definedName name="DataFQ12003Rev" localSheetId="51">#REF!</definedName>
    <definedName name="DataFQ12003Rev">#REF!</definedName>
    <definedName name="DataFQ12003SGP" localSheetId="22">#REF!</definedName>
    <definedName name="DataFQ12003SGP" localSheetId="23">#REF!</definedName>
    <definedName name="DataFQ12003SGP" localSheetId="51">#REF!</definedName>
    <definedName name="DataFQ12003SGP">#REF!</definedName>
    <definedName name="DataFQ22001Rev" localSheetId="22">#REF!</definedName>
    <definedName name="DataFQ22001Rev" localSheetId="23">#REF!</definedName>
    <definedName name="DataFQ22001Rev" localSheetId="51">#REF!</definedName>
    <definedName name="DataFQ22001Rev">#REF!</definedName>
    <definedName name="DataFQ22001SGP" localSheetId="22">#REF!</definedName>
    <definedName name="DataFQ22001SGP" localSheetId="23">#REF!</definedName>
    <definedName name="DataFQ22001SGP" localSheetId="51">#REF!</definedName>
    <definedName name="DataFQ22001SGP">#REF!</definedName>
    <definedName name="DataFQ22002Rev" localSheetId="22">#REF!</definedName>
    <definedName name="DataFQ22002Rev" localSheetId="23">#REF!</definedName>
    <definedName name="DataFQ22002Rev" localSheetId="51">#REF!</definedName>
    <definedName name="DataFQ22002Rev">#REF!</definedName>
    <definedName name="DataFQ22002SGP" localSheetId="22">#REF!</definedName>
    <definedName name="DataFQ22002SGP" localSheetId="23">#REF!</definedName>
    <definedName name="DataFQ22002SGP" localSheetId="51">#REF!</definedName>
    <definedName name="DataFQ22002SGP">#REF!</definedName>
    <definedName name="DataFQ22003Rev" localSheetId="22">#REF!</definedName>
    <definedName name="DataFQ22003Rev" localSheetId="23">#REF!</definedName>
    <definedName name="DataFQ22003Rev" localSheetId="51">#REF!</definedName>
    <definedName name="DataFQ22003Rev">#REF!</definedName>
    <definedName name="DataFQ22003SGP" localSheetId="22">#REF!</definedName>
    <definedName name="DataFQ22003SGP" localSheetId="23">#REF!</definedName>
    <definedName name="DataFQ22003SGP" localSheetId="51">#REF!</definedName>
    <definedName name="DataFQ22003SGP">#REF!</definedName>
    <definedName name="DataFQ32001Rev" localSheetId="22">#REF!</definedName>
    <definedName name="DataFQ32001Rev" localSheetId="23">#REF!</definedName>
    <definedName name="DataFQ32001Rev" localSheetId="51">#REF!</definedName>
    <definedName name="DataFQ32001Rev">#REF!</definedName>
    <definedName name="DataFQ32001SGP" localSheetId="22">#REF!</definedName>
    <definedName name="DataFQ32001SGP" localSheetId="23">#REF!</definedName>
    <definedName name="DataFQ32001SGP" localSheetId="51">#REF!</definedName>
    <definedName name="DataFQ32001SGP">#REF!</definedName>
    <definedName name="DataFQ32002Rev" localSheetId="22">#REF!</definedName>
    <definedName name="DataFQ32002Rev" localSheetId="23">#REF!</definedName>
    <definedName name="DataFQ32002Rev" localSheetId="51">#REF!</definedName>
    <definedName name="DataFQ32002Rev">#REF!</definedName>
    <definedName name="DataFQ32002SGP" localSheetId="22">#REF!</definedName>
    <definedName name="DataFQ32002SGP" localSheetId="23">#REF!</definedName>
    <definedName name="DataFQ32002SGP" localSheetId="51">#REF!</definedName>
    <definedName name="DataFQ32002SGP">#REF!</definedName>
    <definedName name="DataFQ32003Rev" localSheetId="22">#REF!</definedName>
    <definedName name="DataFQ32003Rev" localSheetId="23">#REF!</definedName>
    <definedName name="DataFQ32003Rev" localSheetId="51">#REF!</definedName>
    <definedName name="DataFQ32003Rev">#REF!</definedName>
    <definedName name="DataFQ32003SGP" localSheetId="22">#REF!</definedName>
    <definedName name="DataFQ32003SGP" localSheetId="23">#REF!</definedName>
    <definedName name="DataFQ32003SGP" localSheetId="51">#REF!</definedName>
    <definedName name="DataFQ32003SGP">#REF!</definedName>
    <definedName name="DataFQ42001Rev" localSheetId="22">#REF!</definedName>
    <definedName name="DataFQ42001Rev" localSheetId="23">#REF!</definedName>
    <definedName name="DataFQ42001Rev" localSheetId="51">#REF!</definedName>
    <definedName name="DataFQ42001Rev">#REF!</definedName>
    <definedName name="DataFQ42001SGP" localSheetId="22">#REF!</definedName>
    <definedName name="DataFQ42001SGP" localSheetId="23">#REF!</definedName>
    <definedName name="DataFQ42001SGP" localSheetId="51">#REF!</definedName>
    <definedName name="DataFQ42001SGP">#REF!</definedName>
    <definedName name="DataFQ42002Rev" localSheetId="22">#REF!</definedName>
    <definedName name="DataFQ42002Rev" localSheetId="23">#REF!</definedName>
    <definedName name="DataFQ42002Rev" localSheetId="51">#REF!</definedName>
    <definedName name="DataFQ42002Rev">#REF!</definedName>
    <definedName name="DataFQ42002SGP" localSheetId="22">#REF!</definedName>
    <definedName name="DataFQ42002SGP" localSheetId="23">#REF!</definedName>
    <definedName name="DataFQ42002SGP" localSheetId="51">#REF!</definedName>
    <definedName name="DataFQ42002SGP">#REF!</definedName>
    <definedName name="DataFQ42003Rev" localSheetId="22">#REF!</definedName>
    <definedName name="DataFQ42003Rev" localSheetId="23">#REF!</definedName>
    <definedName name="DataFQ42003Rev" localSheetId="51">#REF!</definedName>
    <definedName name="DataFQ42003Rev">#REF!</definedName>
    <definedName name="DataFQ42003SGP" localSheetId="22">#REF!</definedName>
    <definedName name="DataFQ42003SGP" localSheetId="23">#REF!</definedName>
    <definedName name="DataFQ42003SGP" localSheetId="51">#REF!</definedName>
    <definedName name="DataFQ42003SGP">#REF!</definedName>
    <definedName name="DataFY2001Rev" localSheetId="22">#REF!</definedName>
    <definedName name="DataFY2001Rev" localSheetId="23">#REF!</definedName>
    <definedName name="DataFY2001Rev" localSheetId="51">#REF!</definedName>
    <definedName name="DataFY2001Rev">#REF!</definedName>
    <definedName name="DataFY2001SGP" localSheetId="22">#REF!</definedName>
    <definedName name="DataFY2001SGP" localSheetId="23">#REF!</definedName>
    <definedName name="DataFY2001SGP" localSheetId="51">#REF!</definedName>
    <definedName name="DataFY2001SGP">#REF!</definedName>
    <definedName name="DataFY2001YTDActualRev" localSheetId="22">#REF!</definedName>
    <definedName name="DataFY2001YTDActualRev" localSheetId="23">#REF!</definedName>
    <definedName name="DataFY2001YTDActualRev" localSheetId="51">#REF!</definedName>
    <definedName name="DataFY2001YTDActualRev">#REF!</definedName>
    <definedName name="DataFY2001YTDActualSGP" localSheetId="22">#REF!</definedName>
    <definedName name="DataFY2001YTDActualSGP" localSheetId="23">#REF!</definedName>
    <definedName name="DataFY2001YTDActualSGP" localSheetId="51">#REF!</definedName>
    <definedName name="DataFY2001YTDActualSGP">#REF!</definedName>
    <definedName name="DataFY2002Rev" localSheetId="22">#REF!</definedName>
    <definedName name="DataFY2002Rev" localSheetId="23">#REF!</definedName>
    <definedName name="DataFY2002Rev" localSheetId="51">#REF!</definedName>
    <definedName name="DataFY2002Rev">#REF!</definedName>
    <definedName name="DataFY2002SGP" localSheetId="22">#REF!</definedName>
    <definedName name="DataFY2002SGP" localSheetId="23">#REF!</definedName>
    <definedName name="DataFY2002SGP" localSheetId="51">#REF!</definedName>
    <definedName name="DataFY2002SGP">#REF!</definedName>
    <definedName name="DataFY2003Rev" localSheetId="22">#REF!</definedName>
    <definedName name="DataFY2003Rev" localSheetId="23">#REF!</definedName>
    <definedName name="DataFY2003Rev" localSheetId="51">#REF!</definedName>
    <definedName name="DataFY2003Rev">#REF!</definedName>
    <definedName name="DataFY2003SGP" localSheetId="22">#REF!</definedName>
    <definedName name="DataFY2003SGP" localSheetId="23">#REF!</definedName>
    <definedName name="DataFY2003SGP" localSheetId="51">#REF!</definedName>
    <definedName name="DataFY2003SGP">#REF!</definedName>
    <definedName name="DataIOC" localSheetId="22">#REF!</definedName>
    <definedName name="DataIOC" localSheetId="23">#REF!</definedName>
    <definedName name="DataIOC" localSheetId="51">#REF!</definedName>
    <definedName name="DataIOC">#REF!</definedName>
    <definedName name="DataIOCCode" localSheetId="22">#REF!</definedName>
    <definedName name="DataIOCCode" localSheetId="23">#REF!</definedName>
    <definedName name="DataIOCCode" localSheetId="51">#REF!</definedName>
    <definedName name="DataIOCCode">#REF!</definedName>
    <definedName name="DataJan2001Rev" localSheetId="22">#REF!</definedName>
    <definedName name="DataJan2001Rev" localSheetId="23">#REF!</definedName>
    <definedName name="DataJan2001Rev" localSheetId="51">#REF!</definedName>
    <definedName name="DataJan2001Rev">#REF!</definedName>
    <definedName name="DataJan2001SGP" localSheetId="22">#REF!</definedName>
    <definedName name="DataJan2001SGP" localSheetId="23">#REF!</definedName>
    <definedName name="DataJan2001SGP" localSheetId="51">#REF!</definedName>
    <definedName name="DataJan2001SGP">#REF!</definedName>
    <definedName name="DataJan2002Rev" localSheetId="22">#REF!</definedName>
    <definedName name="DataJan2002Rev" localSheetId="23">#REF!</definedName>
    <definedName name="DataJan2002Rev" localSheetId="51">#REF!</definedName>
    <definedName name="DataJan2002Rev">#REF!</definedName>
    <definedName name="DataJan2002SGP" localSheetId="22">#REF!</definedName>
    <definedName name="DataJan2002SGP" localSheetId="23">#REF!</definedName>
    <definedName name="DataJan2002SGP" localSheetId="51">#REF!</definedName>
    <definedName name="DataJan2002SGP">#REF!</definedName>
    <definedName name="DataJan2003Rev" localSheetId="22">#REF!</definedName>
    <definedName name="DataJan2003Rev" localSheetId="23">#REF!</definedName>
    <definedName name="DataJan2003Rev" localSheetId="51">#REF!</definedName>
    <definedName name="DataJan2003Rev">#REF!</definedName>
    <definedName name="DataJan2003SGP" localSheetId="22">#REF!</definedName>
    <definedName name="DataJan2003SGP" localSheetId="23">#REF!</definedName>
    <definedName name="DataJan2003SGP" localSheetId="51">#REF!</definedName>
    <definedName name="DataJan2003SGP">#REF!</definedName>
    <definedName name="DataJul2001Rev" localSheetId="22">#REF!</definedName>
    <definedName name="DataJul2001Rev" localSheetId="23">#REF!</definedName>
    <definedName name="DataJul2001Rev" localSheetId="51">#REF!</definedName>
    <definedName name="DataJul2001Rev">#REF!</definedName>
    <definedName name="DataJul2001SGP" localSheetId="22">#REF!</definedName>
    <definedName name="DataJul2001SGP" localSheetId="23">#REF!</definedName>
    <definedName name="DataJul2001SGP" localSheetId="51">#REF!</definedName>
    <definedName name="DataJul2001SGP">#REF!</definedName>
    <definedName name="DataJul2002Rev" localSheetId="22">#REF!</definedName>
    <definedName name="DataJul2002Rev" localSheetId="23">#REF!</definedName>
    <definedName name="DataJul2002Rev" localSheetId="51">#REF!</definedName>
    <definedName name="DataJul2002Rev">#REF!</definedName>
    <definedName name="DataJul2002SGP" localSheetId="22">#REF!</definedName>
    <definedName name="DataJul2002SGP" localSheetId="23">#REF!</definedName>
    <definedName name="DataJul2002SGP" localSheetId="51">#REF!</definedName>
    <definedName name="DataJul2002SGP">#REF!</definedName>
    <definedName name="DataJul2003Rev" localSheetId="22">#REF!</definedName>
    <definedName name="DataJul2003Rev" localSheetId="23">#REF!</definedName>
    <definedName name="DataJul2003Rev" localSheetId="51">#REF!</definedName>
    <definedName name="DataJul2003Rev">#REF!</definedName>
    <definedName name="DataJul2003SGP" localSheetId="22">#REF!</definedName>
    <definedName name="DataJul2003SGP" localSheetId="23">#REF!</definedName>
    <definedName name="DataJul2003SGP" localSheetId="51">#REF!</definedName>
    <definedName name="DataJul2003SGP">#REF!</definedName>
    <definedName name="DataJun2001Rev" localSheetId="22">#REF!</definedName>
    <definedName name="DataJun2001Rev" localSheetId="23">#REF!</definedName>
    <definedName name="DataJun2001Rev" localSheetId="51">#REF!</definedName>
    <definedName name="DataJun2001Rev">#REF!</definedName>
    <definedName name="DataJun2001SGP" localSheetId="22">#REF!</definedName>
    <definedName name="DataJun2001SGP" localSheetId="23">#REF!</definedName>
    <definedName name="DataJun2001SGP" localSheetId="51">#REF!</definedName>
    <definedName name="DataJun2001SGP">#REF!</definedName>
    <definedName name="DataJun2002Rev" localSheetId="22">#REF!</definedName>
    <definedName name="DataJun2002Rev" localSheetId="23">#REF!</definedName>
    <definedName name="DataJun2002Rev" localSheetId="51">#REF!</definedName>
    <definedName name="DataJun2002Rev">#REF!</definedName>
    <definedName name="DataJun2002SGP" localSheetId="22">#REF!</definedName>
    <definedName name="DataJun2002SGP" localSheetId="23">#REF!</definedName>
    <definedName name="DataJun2002SGP" localSheetId="51">#REF!</definedName>
    <definedName name="DataJun2002SGP">#REF!</definedName>
    <definedName name="DataJun2003Rev" localSheetId="22">#REF!</definedName>
    <definedName name="DataJun2003Rev" localSheetId="23">#REF!</definedName>
    <definedName name="DataJun2003Rev" localSheetId="51">#REF!</definedName>
    <definedName name="DataJun2003Rev">#REF!</definedName>
    <definedName name="DataJun2003SGP" localSheetId="22">#REF!</definedName>
    <definedName name="DataJun2003SGP" localSheetId="23">#REF!</definedName>
    <definedName name="DataJun2003SGP" localSheetId="51">#REF!</definedName>
    <definedName name="DataJun2003SGP">#REF!</definedName>
    <definedName name="DataMar2001Rev" localSheetId="22">#REF!</definedName>
    <definedName name="DataMar2001Rev" localSheetId="23">#REF!</definedName>
    <definedName name="DataMar2001Rev" localSheetId="51">#REF!</definedName>
    <definedName name="DataMar2001Rev">#REF!</definedName>
    <definedName name="DataMar2001SGP" localSheetId="22">#REF!</definedName>
    <definedName name="DataMar2001SGP" localSheetId="23">#REF!</definedName>
    <definedName name="DataMar2001SGP" localSheetId="51">#REF!</definedName>
    <definedName name="DataMar2001SGP">#REF!</definedName>
    <definedName name="DataMar2002Rev" localSheetId="22">#REF!</definedName>
    <definedName name="DataMar2002Rev" localSheetId="23">#REF!</definedName>
    <definedName name="DataMar2002Rev" localSheetId="51">#REF!</definedName>
    <definedName name="DataMar2002Rev">#REF!</definedName>
    <definedName name="DataMar2002SGP" localSheetId="22">#REF!</definedName>
    <definedName name="DataMar2002SGP" localSheetId="23">#REF!</definedName>
    <definedName name="DataMar2002SGP" localSheetId="51">#REF!</definedName>
    <definedName name="DataMar2002SGP">#REF!</definedName>
    <definedName name="DataMar2003Rev" localSheetId="22">#REF!</definedName>
    <definedName name="DataMar2003Rev" localSheetId="23">#REF!</definedName>
    <definedName name="DataMar2003Rev" localSheetId="51">#REF!</definedName>
    <definedName name="DataMar2003Rev">#REF!</definedName>
    <definedName name="DataMar2003SGP" localSheetId="22">#REF!</definedName>
    <definedName name="DataMar2003SGP" localSheetId="23">#REF!</definedName>
    <definedName name="DataMar2003SGP" localSheetId="51">#REF!</definedName>
    <definedName name="DataMar2003SGP">#REF!</definedName>
    <definedName name="DataMay2001Rev" localSheetId="22">#REF!</definedName>
    <definedName name="DataMay2001Rev" localSheetId="23">#REF!</definedName>
    <definedName name="DataMay2001Rev" localSheetId="51">#REF!</definedName>
    <definedName name="DataMay2001Rev">#REF!</definedName>
    <definedName name="DataMay2001SGP" localSheetId="22">#REF!</definedName>
    <definedName name="DataMay2001SGP" localSheetId="23">#REF!</definedName>
    <definedName name="DataMay2001SGP" localSheetId="51">#REF!</definedName>
    <definedName name="DataMay2001SGP">#REF!</definedName>
    <definedName name="DataMay2002Rev" localSheetId="22">#REF!</definedName>
    <definedName name="DataMay2002Rev" localSheetId="23">#REF!</definedName>
    <definedName name="DataMay2002Rev" localSheetId="51">#REF!</definedName>
    <definedName name="DataMay2002Rev">#REF!</definedName>
    <definedName name="DataMay2002SGP" localSheetId="22">#REF!</definedName>
    <definedName name="DataMay2002SGP" localSheetId="23">#REF!</definedName>
    <definedName name="DataMay2002SGP" localSheetId="51">#REF!</definedName>
    <definedName name="DataMay2002SGP">#REF!</definedName>
    <definedName name="DataMay2003Rev" localSheetId="22">#REF!</definedName>
    <definedName name="DataMay2003Rev" localSheetId="23">#REF!</definedName>
    <definedName name="DataMay2003Rev" localSheetId="51">#REF!</definedName>
    <definedName name="DataMay2003Rev">#REF!</definedName>
    <definedName name="DataMay2003SGP" localSheetId="22">#REF!</definedName>
    <definedName name="DataMay2003SGP" localSheetId="23">#REF!</definedName>
    <definedName name="DataMay2003SGP" localSheetId="51">#REF!</definedName>
    <definedName name="DataMay2003SGP">#REF!</definedName>
    <definedName name="DataNov2000Rev" localSheetId="22">#REF!</definedName>
    <definedName name="DataNov2000Rev" localSheetId="23">#REF!</definedName>
    <definedName name="DataNov2000Rev" localSheetId="51">#REF!</definedName>
    <definedName name="DataNov2000Rev">#REF!</definedName>
    <definedName name="DataNov2000SGP" localSheetId="22">#REF!</definedName>
    <definedName name="DataNov2000SGP" localSheetId="23">#REF!</definedName>
    <definedName name="DataNov2000SGP" localSheetId="51">#REF!</definedName>
    <definedName name="DataNov2000SGP">#REF!</definedName>
    <definedName name="DataNov2001Rev" localSheetId="22">#REF!</definedName>
    <definedName name="DataNov2001Rev" localSheetId="23">#REF!</definedName>
    <definedName name="DataNov2001Rev" localSheetId="51">#REF!</definedName>
    <definedName name="DataNov2001Rev">#REF!</definedName>
    <definedName name="DataNov2001SGP" localSheetId="22">#REF!</definedName>
    <definedName name="DataNov2001SGP" localSheetId="23">#REF!</definedName>
    <definedName name="DataNov2001SGP" localSheetId="51">#REF!</definedName>
    <definedName name="DataNov2001SGP">#REF!</definedName>
    <definedName name="DataNov2002Rev" localSheetId="22">#REF!</definedName>
    <definedName name="DataNov2002Rev" localSheetId="23">#REF!</definedName>
    <definedName name="DataNov2002Rev" localSheetId="51">#REF!</definedName>
    <definedName name="DataNov2002Rev">#REF!</definedName>
    <definedName name="DataNov2002SGP" localSheetId="22">#REF!</definedName>
    <definedName name="DataNov2002SGP" localSheetId="23">#REF!</definedName>
    <definedName name="DataNov2002SGP" localSheetId="51">#REF!</definedName>
    <definedName name="DataNov2002SGP">#REF!</definedName>
    <definedName name="DataOct2000Rev" localSheetId="22">#REF!</definedName>
    <definedName name="DataOct2000Rev" localSheetId="23">#REF!</definedName>
    <definedName name="DataOct2000Rev" localSheetId="51">#REF!</definedName>
    <definedName name="DataOct2000Rev">#REF!</definedName>
    <definedName name="DataOct2000SGP" localSheetId="22">#REF!</definedName>
    <definedName name="DataOct2000SGP" localSheetId="23">#REF!</definedName>
    <definedName name="DataOct2000SGP" localSheetId="51">#REF!</definedName>
    <definedName name="DataOct2000SGP">#REF!</definedName>
    <definedName name="DataOct2001Rev" localSheetId="22">#REF!</definedName>
    <definedName name="DataOct2001Rev" localSheetId="23">#REF!</definedName>
    <definedName name="DataOct2001Rev" localSheetId="51">#REF!</definedName>
    <definedName name="DataOct2001Rev">#REF!</definedName>
    <definedName name="DataOct2001SGP" localSheetId="22">#REF!</definedName>
    <definedName name="DataOct2001SGP" localSheetId="23">#REF!</definedName>
    <definedName name="DataOct2001SGP" localSheetId="51">#REF!</definedName>
    <definedName name="DataOct2001SGP">#REF!</definedName>
    <definedName name="DataOct2002Rev" localSheetId="22">#REF!</definedName>
    <definedName name="DataOct2002Rev" localSheetId="23">#REF!</definedName>
    <definedName name="DataOct2002Rev" localSheetId="51">#REF!</definedName>
    <definedName name="DataOct2002Rev">#REF!</definedName>
    <definedName name="DataOct2002SGP" localSheetId="22">#REF!</definedName>
    <definedName name="DataOct2002SGP" localSheetId="23">#REF!</definedName>
    <definedName name="DataOct2002SGP" localSheetId="51">#REF!</definedName>
    <definedName name="DataOct2002SGP">#REF!</definedName>
    <definedName name="DataOpportunity" localSheetId="22">#REF!</definedName>
    <definedName name="DataOpportunity" localSheetId="23">#REF!</definedName>
    <definedName name="DataOpportunity" localSheetId="51">#REF!</definedName>
    <definedName name="DataOpportunity">#REF!</definedName>
    <definedName name="DataOpportunityDescription" localSheetId="22">#REF!</definedName>
    <definedName name="DataOpportunityDescription" localSheetId="23">#REF!</definedName>
    <definedName name="DataOpportunityDescription" localSheetId="51">#REF!</definedName>
    <definedName name="DataOpportunityDescription">#REF!</definedName>
    <definedName name="DataOpptyRevenue" localSheetId="22">#REF!</definedName>
    <definedName name="DataOpptyRevenue" localSheetId="23">#REF!</definedName>
    <definedName name="DataOpptyRevenue" localSheetId="51">#REF!</definedName>
    <definedName name="DataOpptyRevenue">#REF!</definedName>
    <definedName name="DataOpptySGP" localSheetId="22">#REF!</definedName>
    <definedName name="DataOpptySGP" localSheetId="23">#REF!</definedName>
    <definedName name="DataOpptySGP" localSheetId="51">#REF!</definedName>
    <definedName name="DataOpptySGP">#REF!</definedName>
    <definedName name="DataParentOppty" localSheetId="22">#REF!</definedName>
    <definedName name="DataParentOppty" localSheetId="23">#REF!</definedName>
    <definedName name="DataParentOppty" localSheetId="51">#REF!</definedName>
    <definedName name="DataParentOppty">#REF!</definedName>
    <definedName name="DataProbGrouping" localSheetId="22">#REF!</definedName>
    <definedName name="DataProbGrouping" localSheetId="23">#REF!</definedName>
    <definedName name="DataProbGrouping" localSheetId="51">#REF!</definedName>
    <definedName name="DataProbGrouping">#REF!</definedName>
    <definedName name="DataRequestedDelivery" localSheetId="22">#REF!</definedName>
    <definedName name="DataRequestedDelivery" localSheetId="23">#REF!</definedName>
    <definedName name="DataRequestedDelivery" localSheetId="51">#REF!</definedName>
    <definedName name="DataRequestedDelivery">#REF!</definedName>
    <definedName name="DataSalesStage" localSheetId="22">#REF!</definedName>
    <definedName name="DataSalesStage" localSheetId="23">#REF!</definedName>
    <definedName name="DataSalesStage" localSheetId="51">#REF!</definedName>
    <definedName name="DataSalesStage">#REF!</definedName>
    <definedName name="DataSep2001Rev" localSheetId="22">#REF!</definedName>
    <definedName name="DataSep2001Rev" localSheetId="23">#REF!</definedName>
    <definedName name="DataSep2001Rev" localSheetId="51">#REF!</definedName>
    <definedName name="DataSep2001Rev">#REF!</definedName>
    <definedName name="DataSep2001SGP" localSheetId="22">#REF!</definedName>
    <definedName name="DataSep2001SGP" localSheetId="23">#REF!</definedName>
    <definedName name="DataSep2001SGP" localSheetId="51">#REF!</definedName>
    <definedName name="DataSep2001SGP">#REF!</definedName>
    <definedName name="DataSep2002Rev" localSheetId="22">#REF!</definedName>
    <definedName name="DataSep2002Rev" localSheetId="23">#REF!</definedName>
    <definedName name="DataSep2002Rev" localSheetId="51">#REF!</definedName>
    <definedName name="DataSep2002Rev">#REF!</definedName>
    <definedName name="DataSep2002Rev1" localSheetId="22">#REF!</definedName>
    <definedName name="DataSep2002Rev1" localSheetId="23">#REF!</definedName>
    <definedName name="DataSep2002Rev1" localSheetId="51">#REF!</definedName>
    <definedName name="DataSep2002Rev1">#REF!</definedName>
    <definedName name="DataSep2002SGP" localSheetId="22">#REF!</definedName>
    <definedName name="DataSep2002SGP" localSheetId="23">#REF!</definedName>
    <definedName name="DataSep2002SGP" localSheetId="51">#REF!</definedName>
    <definedName name="DataSep2002SGP">#REF!</definedName>
    <definedName name="DataSep2003Rev" localSheetId="22">#REF!</definedName>
    <definedName name="DataSep2003Rev" localSheetId="23">#REF!</definedName>
    <definedName name="DataSep2003Rev" localSheetId="51">#REF!</definedName>
    <definedName name="DataSep2003Rev">#REF!</definedName>
    <definedName name="DataSep2003SGP" localSheetId="22">#REF!</definedName>
    <definedName name="DataSep2003SGP" localSheetId="23">#REF!</definedName>
    <definedName name="DataSep2003SGP" localSheetId="51">#REF!</definedName>
    <definedName name="DataSep2003SGP">#REF!</definedName>
    <definedName name="DataTotalFinancingRequired" localSheetId="22">#REF!</definedName>
    <definedName name="DataTotalFinancingRequired" localSheetId="23">#REF!</definedName>
    <definedName name="DataTotalFinancingRequired" localSheetId="51">#REF!</definedName>
    <definedName name="DataTotalFinancingRequired">#REF!</definedName>
    <definedName name="DCF" hidden="1">{#N/A,#N/A,FALSE,"DCF Summary";#N/A,#N/A,FALSE,"Casema";#N/A,#N/A,FALSE,"Casema NoTel";#N/A,#N/A,FALSE,"UK";#N/A,#N/A,FALSE,"RCF";#N/A,#N/A,FALSE,"Intercable CZ";#N/A,#N/A,FALSE,"Interkabel P"}</definedName>
    <definedName name="dd" hidden="1">{"Multiple view",#N/A,FALSE,"GS Update Valuation";"NLG Merger view",#N/A,FALSE,"GS Update Valuation";"Dollar Merger view",#N/A,FALSE,"GS Update Valuation"}</definedName>
    <definedName name="dd_1" hidden="1">{#N/A,#N/A,FALSE,"AD_Purch";#N/A,#N/A,FALSE,"Projections";#N/A,#N/A,FALSE,"DCF";#N/A,#N/A,FALSE,"Mkt Val"}</definedName>
    <definedName name="dd_1_1" hidden="1">{#N/A,#N/A,FALSE,"AD_Purch";#N/A,#N/A,FALSE,"Projections";#N/A,#N/A,FALSE,"DCF";#N/A,#N/A,FALSE,"Mkt Val"}</definedName>
    <definedName name="ddbb" localSheetId="22">#REF!</definedName>
    <definedName name="ddbb" localSheetId="23">#REF!</definedName>
    <definedName name="ddbb">#REF!</definedName>
    <definedName name="ddd" hidden="1">{#N/A,#N/A,FALSE,"TS";#N/A,#N/A,FALSE,"Combo";#N/A,#N/A,FALSE,"FAIR";#N/A,#N/A,FALSE,"RBC";#N/A,#N/A,FALSE,"xxxx";#N/A,#N/A,FALSE,"A_D";#N/A,#N/A,FALSE,"WACC";#N/A,#N/A,FALSE,"DCF";#N/A,#N/A,FALSE,"LBO";#N/A,#N/A,FALSE,"AcqMults";#N/A,#N/A,FALSE,"CompMults"}</definedName>
    <definedName name="ddd_1" hidden="1">{#N/A,#N/A,FALSE,"TS";#N/A,#N/A,FALSE,"Combo";#N/A,#N/A,FALSE,"FAIR";#N/A,#N/A,FALSE,"RBC";#N/A,#N/A,FALSE,"xxxx";#N/A,#N/A,FALSE,"A_D";#N/A,#N/A,FALSE,"WACC";#N/A,#N/A,FALSE,"DCF";#N/A,#N/A,FALSE,"LBO";#N/A,#N/A,FALSE,"AcqMults";#N/A,#N/A,FALSE,"CompMults"}</definedName>
    <definedName name="ddd_1_1" hidden="1">{#N/A,#N/A,FALSE,"TS";#N/A,#N/A,FALSE,"Combo";#N/A,#N/A,FALSE,"FAIR";#N/A,#N/A,FALSE,"RBC";#N/A,#N/A,FALSE,"xxxx";#N/A,#N/A,FALSE,"A_D";#N/A,#N/A,FALSE,"WACC";#N/A,#N/A,FALSE,"DCF";#N/A,#N/A,FALSE,"LBO";#N/A,#N/A,FALSE,"AcqMults";#N/A,#N/A,FALSE,"CompMults"}</definedName>
    <definedName name="dddd" hidden="1">{#N/A,#N/A,TRUE,"FOC_Product_Assumptions"}</definedName>
    <definedName name="dddd_1" hidden="1">{#N/A,#N/A,TRUE,"FOC_Product_Assumptions"}</definedName>
    <definedName name="dddd_1_1" hidden="1">{#N/A,#N/A,TRUE,"FOC_Product_Assumptions"}</definedName>
    <definedName name="DDDDD" localSheetId="22">#REF!</definedName>
    <definedName name="DDDDD" localSheetId="23">#REF!</definedName>
    <definedName name="DDDDD">#REF!</definedName>
    <definedName name="DDDDDD" hidden="1">{#N/A,#N/A,FALSE,"Virgin Flightdeck"}</definedName>
    <definedName name="DDDDDD_1" hidden="1">{#N/A,#N/A,FALSE,"Virgin Flightdeck"}</definedName>
    <definedName name="DDDDDD_1_1" hidden="1">{#N/A,#N/A,FALSE,"Virgin Flightdeck"}</definedName>
    <definedName name="DDDDDDDDDDDDDDDDDDDDD" hidden="1">{#N/A,#N/A,FALSE,"Aging Summary";#N/A,#N/A,FALSE,"Ratio Analysis";#N/A,#N/A,FALSE,"Test 120 Day Accts";#N/A,#N/A,FALSE,"Tickmarks"}</definedName>
    <definedName name="de" hidden="1">{#N/A,#N/A,FALSE,"资产负债表";#N/A,#N/A,FALSE,"资产负债表"}</definedName>
    <definedName name="DebtRepaid" localSheetId="22">#REF!</definedName>
    <definedName name="DebtRepaid" localSheetId="23">#REF!</definedName>
    <definedName name="DebtRepaid">#REF!</definedName>
    <definedName name="December" localSheetId="22">#REF!</definedName>
    <definedName name="December" localSheetId="23">#REF!</definedName>
    <definedName name="December">#REF!</definedName>
    <definedName name="deee" hidden="1">{#N/A,#N/A,FALSE,"资产负债表";#N/A,#N/A,FALSE,"资产负债表"}</definedName>
    <definedName name="deli" localSheetId="22">#REF!</definedName>
    <definedName name="deli" localSheetId="23">#REF!</definedName>
    <definedName name="deli">#REF!</definedName>
    <definedName name="DEMeXToEUR" localSheetId="22" hidden="1">1/EUReXToDEM</definedName>
    <definedName name="DEMeXToEUR" localSheetId="23" hidden="1">1/EUReXToDEM</definedName>
    <definedName name="DEMeXToEUR" localSheetId="51" hidden="1">1/EUReXToDEM</definedName>
    <definedName name="DEMeXToEUR" hidden="1">1/EUReXToDEM</definedName>
    <definedName name="Detailed_Lay_out_Budget" localSheetId="22">#REF!</definedName>
    <definedName name="Detailed_Lay_out_Budget" localSheetId="23">#REF!</definedName>
    <definedName name="Detailed_Lay_out_Budget">#REF!</definedName>
    <definedName name="Detailed_Lay_out_Prev_Yr" localSheetId="22">#REF!</definedName>
    <definedName name="Detailed_Lay_out_Prev_Yr" localSheetId="23">#REF!</definedName>
    <definedName name="Detailed_Lay_out_Prev_Yr">#REF!</definedName>
    <definedName name="dew" hidden="1">{#N/A,#N/A,FALSE,"资产负债表";#N/A,#N/A,FALSE,"资产负债表"}</definedName>
    <definedName name="DF" hidden="1">{#N/A,#N/A,FALSE,"Aging Summary";#N/A,#N/A,FALSE,"Ratio Analysis";#N/A,#N/A,FALSE,"Test 120 Day Accts";#N/A,#N/A,FALSE,"Tickmarks"}</definedName>
    <definedName name="DFDF" hidden="1">{#N/A,#N/A,FALSE,"Aging Summary";#N/A,#N/A,FALSE,"Ratio Analysis";#N/A,#N/A,FALSE,"Test 120 Day Accts";#N/A,#N/A,FALSE,"Tickmarks"}</definedName>
    <definedName name="dfdfd"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dfdfdfd" hidden="1">{#N/A,#N/A,FALSE,"AD_Purchase";#N/A,#N/A,FALSE,"Credit";#N/A,#N/A,FALSE,"PF Acquisition";#N/A,#N/A,FALSE,"PF Offering"}</definedName>
    <definedName name="dfdfdfd_1" hidden="1">{#N/A,#N/A,FALSE,"AD_Purchase";#N/A,#N/A,FALSE,"Credit";#N/A,#N/A,FALSE,"PF Acquisition";#N/A,#N/A,FALSE,"PF Offering"}</definedName>
    <definedName name="dfdfdfd_1_1" hidden="1">{#N/A,#N/A,FALSE,"AD_Purchase";#N/A,#N/A,FALSE,"Credit";#N/A,#N/A,FALSE,"PF Acquisition";#N/A,#N/A,FALSE,"PF Offering"}</definedName>
    <definedName name="dfsfa"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gfhgf" hidden="1">{#N/A,#N/A,FALSE,"ORIX CSC"}</definedName>
    <definedName name="dgfhgf_1" hidden="1">{#N/A,#N/A,FALSE,"ORIX CSC"}</definedName>
    <definedName name="dgfhgf_1_1" hidden="1">{#N/A,#N/A,FALSE,"ORIX CSC"}</definedName>
    <definedName name="dhgdh" hidden="1">{"mgmt forecast",#N/A,FALSE,"Mgmt Forecast";"dcf table",#N/A,FALSE,"Mgmt Forecast";"sensitivity",#N/A,FALSE,"Mgmt Forecast";"table inputs",#N/A,FALSE,"Mgmt Forecast";"calculations",#N/A,FALSE,"Mgmt Forecast"}</definedName>
    <definedName name="dhgdh_1" hidden="1">{"mgmt forecast",#N/A,FALSE,"Mgmt Forecast";"dcf table",#N/A,FALSE,"Mgmt Forecast";"sensitivity",#N/A,FALSE,"Mgmt Forecast";"table inputs",#N/A,FALSE,"Mgmt Forecast";"calculations",#N/A,FALSE,"Mgmt Forecast"}</definedName>
    <definedName name="dhgdh_1_1" hidden="1">{"mgmt forecast",#N/A,FALSE,"Mgmt Forecast";"dcf table",#N/A,FALSE,"Mgmt Forecast";"sensitivity",#N/A,FALSE,"Mgmt Forecast";"table inputs",#N/A,FALSE,"Mgmt Forecast";"calculations",#N/A,FALSE,"Mgmt Forecast"}</definedName>
    <definedName name="dhgdjhgdjdghjdhn" localSheetId="22" hidden="1">#REF!</definedName>
    <definedName name="dhgdjhgdjdghjdhn" localSheetId="23" hidden="1">#REF!</definedName>
    <definedName name="dhgdjhgdjdghjdhn" localSheetId="51" hidden="1">#REF!</definedName>
    <definedName name="dhgdjhgdjdghjdhn" hidden="1">#REF!</definedName>
    <definedName name="Differences" hidden="1">{"Operating Data",#N/A,TRUE,"Sheet1";"Valuation Matrix",#N/A,TRUE,"Sheet1";"Sales Analysis",#N/A,TRUE,"Sheet1";"Closed Remodelled New",#N/A,TRUE,"Sheet1";"Competitive and FSP",#N/A,TRUE,"Sheet1";"Working Capital and Capex",#N/A,TRUE,"Sheet1";"depreciation",#N/A,TRUE,"Sheet1"}</definedName>
    <definedName name="Differences_1" hidden="1">{"Operating Data",#N/A,TRUE,"Sheet1";"Valuation Matrix",#N/A,TRUE,"Sheet1";"Sales Analysis",#N/A,TRUE,"Sheet1";"Closed Remodelled New",#N/A,TRUE,"Sheet1";"Competitive and FSP",#N/A,TRUE,"Sheet1";"Working Capital and Capex",#N/A,TRUE,"Sheet1";"depreciation",#N/A,TRUE,"Sheet1"}</definedName>
    <definedName name="Differences_1_1" hidden="1">{"Operating Data",#N/A,TRUE,"Sheet1";"Valuation Matrix",#N/A,TRUE,"Sheet1";"Sales Analysis",#N/A,TRUE,"Sheet1";"Closed Remodelled New",#N/A,TRUE,"Sheet1";"Competitive and FSP",#N/A,TRUE,"Sheet1";"Working Capital and Capex",#N/A,TRUE,"Sheet1";"depreciation",#N/A,TRUE,"Sheet1"}</definedName>
    <definedName name="Discount_rate_I" localSheetId="22">#REF!</definedName>
    <definedName name="Discount_rate_I" localSheetId="23">#REF!</definedName>
    <definedName name="Discount_rate_I">#REF!</definedName>
    <definedName name="Discount_rate_II" localSheetId="22">#REF!</definedName>
    <definedName name="Discount_rate_II" localSheetId="23">#REF!</definedName>
    <definedName name="Discount_rate_II">#REF!</definedName>
    <definedName name="DiscountRate" localSheetId="22">#REF!</definedName>
    <definedName name="DiscountRate" localSheetId="23">#REF!</definedName>
    <definedName name="DiscountRate">#REF!</definedName>
    <definedName name="Discountrates" localSheetId="22">#REF!</definedName>
    <definedName name="Discountrates" localSheetId="23">#REF!</definedName>
    <definedName name="Discountrates">#REF!</definedName>
    <definedName name="DisplaySelectedSheetsMacroButton" localSheetId="22">#REF!</definedName>
    <definedName name="DisplaySelectedSheetsMacroButton" localSheetId="23">#REF!</definedName>
    <definedName name="DisplaySelectedSheetsMacroButton">#REF!</definedName>
    <definedName name="DispoStrategy" localSheetId="22">#REF!</definedName>
    <definedName name="DispoStrategy" localSheetId="23">#REF!</definedName>
    <definedName name="DispoStrategy">#REF!</definedName>
    <definedName name="DistPU2003" localSheetId="22">#REF!</definedName>
    <definedName name="DistPU2003" localSheetId="23">#REF!</definedName>
    <definedName name="DistPU2003">#REF!</definedName>
    <definedName name="DistPU2004" localSheetId="22">#REF!</definedName>
    <definedName name="DistPU2004" localSheetId="23">#REF!</definedName>
    <definedName name="DistPU2004">#REF!</definedName>
    <definedName name="DistPU2005" localSheetId="22">#REF!</definedName>
    <definedName name="DistPU2005" localSheetId="23">#REF!</definedName>
    <definedName name="DistPU2005">#REF!</definedName>
    <definedName name="DistPU2006" localSheetId="22">#REF!</definedName>
    <definedName name="DistPU2006" localSheetId="23">#REF!</definedName>
    <definedName name="DistPU2006">#REF!</definedName>
    <definedName name="Div_Yield2003" localSheetId="22">#REF!</definedName>
    <definedName name="Div_Yield2003" localSheetId="23">#REF!</definedName>
    <definedName name="Div_Yield2003">#REF!</definedName>
    <definedName name="Div_Yield2004" localSheetId="22">#REF!</definedName>
    <definedName name="Div_Yield2004" localSheetId="23">#REF!</definedName>
    <definedName name="Div_Yield2004">#REF!</definedName>
    <definedName name="Div_Yield2005" localSheetId="22">#REF!</definedName>
    <definedName name="Div_Yield2005" localSheetId="23">#REF!</definedName>
    <definedName name="Div_Yield2005">#REF!</definedName>
    <definedName name="Div_Yield2006" localSheetId="22">#REF!</definedName>
    <definedName name="Div_Yield2006" localSheetId="23">#REF!</definedName>
    <definedName name="Div_Yield2006">#REF!</definedName>
    <definedName name="Div_Yield2007" localSheetId="22">#REF!</definedName>
    <definedName name="Div_Yield2007" localSheetId="23">#REF!</definedName>
    <definedName name="Div_Yield2007">#REF!</definedName>
    <definedName name="Div_Yield2008" localSheetId="22">#REF!</definedName>
    <definedName name="Div_Yield2008" localSheetId="23">#REF!</definedName>
    <definedName name="Div_Yield2008">#REF!</definedName>
    <definedName name="Div_Yield2009" localSheetId="22">#REF!</definedName>
    <definedName name="Div_Yield2009" localSheetId="23">#REF!</definedName>
    <definedName name="Div_Yield2009">#REF!</definedName>
    <definedName name="Div_Yield2010" localSheetId="22">#REF!</definedName>
    <definedName name="Div_Yield2010" localSheetId="23">#REF!</definedName>
    <definedName name="Div_Yield2010">#REF!</definedName>
    <definedName name="Div_Yield2011" localSheetId="22">#REF!</definedName>
    <definedName name="Div_Yield2011" localSheetId="23">#REF!</definedName>
    <definedName name="Div_Yield2011">#REF!</definedName>
    <definedName name="Dividend_2003" localSheetId="22">#REF!</definedName>
    <definedName name="Dividend_2003" localSheetId="23">#REF!</definedName>
    <definedName name="Dividend_2003">#REF!</definedName>
    <definedName name="Dividend_2004" localSheetId="22">#REF!</definedName>
    <definedName name="Dividend_2004" localSheetId="23">#REF!</definedName>
    <definedName name="Dividend_2004">#REF!</definedName>
    <definedName name="Dividend_2005" localSheetId="22">#REF!</definedName>
    <definedName name="Dividend_2005" localSheetId="23">#REF!</definedName>
    <definedName name="Dividend_2005">#REF!</definedName>
    <definedName name="Dividend_2006" localSheetId="22">#REF!</definedName>
    <definedName name="Dividend_2006" localSheetId="23">#REF!</definedName>
    <definedName name="Dividend_2006">#REF!</definedName>
    <definedName name="Dividend_2007" localSheetId="22">#REF!</definedName>
    <definedName name="Dividend_2007" localSheetId="23">#REF!</definedName>
    <definedName name="Dividend_2007">#REF!</definedName>
    <definedName name="Dividend_2008" localSheetId="22">#REF!</definedName>
    <definedName name="Dividend_2008" localSheetId="23">#REF!</definedName>
    <definedName name="Dividend_2008">#REF!</definedName>
    <definedName name="Dividend_2009" localSheetId="22">#REF!</definedName>
    <definedName name="Dividend_2009" localSheetId="23">#REF!</definedName>
    <definedName name="Dividend_2009">#REF!</definedName>
    <definedName name="Dividend_2010" localSheetId="22">#REF!</definedName>
    <definedName name="Dividend_2010" localSheetId="23">#REF!</definedName>
    <definedName name="Dividend_2010">#REF!</definedName>
    <definedName name="Dividend_2011" localSheetId="22">#REF!</definedName>
    <definedName name="Dividend_2011" localSheetId="23">#REF!</definedName>
    <definedName name="Dividend_2011">#REF!</definedName>
    <definedName name="Dividend2003" localSheetId="22">#REF!</definedName>
    <definedName name="Dividend2003" localSheetId="23">#REF!</definedName>
    <definedName name="Dividend2003">#REF!</definedName>
    <definedName name="Dividend2004" localSheetId="22">#REF!</definedName>
    <definedName name="Dividend2004" localSheetId="23">#REF!</definedName>
    <definedName name="Dividend2004">#REF!</definedName>
    <definedName name="Dividend2005" localSheetId="22">#REF!</definedName>
    <definedName name="Dividend2005" localSheetId="23">#REF!</definedName>
    <definedName name="Dividend2005">#REF!</definedName>
    <definedName name="Dividend2006" localSheetId="22">#REF!</definedName>
    <definedName name="Dividend2006" localSheetId="23">#REF!</definedName>
    <definedName name="Dividend2006">#REF!</definedName>
    <definedName name="Dividend2007" localSheetId="22">#REF!</definedName>
    <definedName name="Dividend2007" localSheetId="23">#REF!</definedName>
    <definedName name="Dividend2007">#REF!</definedName>
    <definedName name="Dividend2008" localSheetId="22">#REF!</definedName>
    <definedName name="Dividend2008" localSheetId="23">#REF!</definedName>
    <definedName name="Dividend2008">#REF!</definedName>
    <definedName name="Dividend2009" localSheetId="22">#REF!</definedName>
    <definedName name="Dividend2009" localSheetId="23">#REF!</definedName>
    <definedName name="Dividend2009">#REF!</definedName>
    <definedName name="Dividend2010" localSheetId="22">#REF!</definedName>
    <definedName name="Dividend2010" localSheetId="23">#REF!</definedName>
    <definedName name="Dividend2010">#REF!</definedName>
    <definedName name="Dividend2011" localSheetId="22">#REF!</definedName>
    <definedName name="Dividend2011" localSheetId="23">#REF!</definedName>
    <definedName name="Dividend2011">#REF!</definedName>
    <definedName name="DividYld2003" localSheetId="22">#REF!</definedName>
    <definedName name="DividYld2003" localSheetId="23">#REF!</definedName>
    <definedName name="DividYld2003">#REF!</definedName>
    <definedName name="DividYld2004" localSheetId="22">#REF!</definedName>
    <definedName name="DividYld2004" localSheetId="23">#REF!</definedName>
    <definedName name="DividYld2004">#REF!</definedName>
    <definedName name="DividYld2005" localSheetId="22">#REF!</definedName>
    <definedName name="DividYld2005" localSheetId="23">#REF!</definedName>
    <definedName name="DividYld2005">#REF!</definedName>
    <definedName name="DividYld2006" localSheetId="22">#REF!</definedName>
    <definedName name="DividYld2006" localSheetId="23">#REF!</definedName>
    <definedName name="DividYld2006">#REF!</definedName>
    <definedName name="DividYld2007" localSheetId="22">#REF!</definedName>
    <definedName name="DividYld2007" localSheetId="23">#REF!</definedName>
    <definedName name="DividYld2007">#REF!</definedName>
    <definedName name="DivYield2003" localSheetId="22">#REF!</definedName>
    <definedName name="DivYield2003" localSheetId="23">#REF!</definedName>
    <definedName name="DivYield2003">#REF!</definedName>
    <definedName name="DivYield2004" localSheetId="22">#REF!</definedName>
    <definedName name="DivYield2004" localSheetId="23">#REF!</definedName>
    <definedName name="DivYield2004">#REF!</definedName>
    <definedName name="DivYield2005" localSheetId="22">#REF!</definedName>
    <definedName name="DivYield2005" localSheetId="23">#REF!</definedName>
    <definedName name="DivYield2005">#REF!</definedName>
    <definedName name="DivYield2006" localSheetId="22">#REF!</definedName>
    <definedName name="DivYield2006" localSheetId="23">#REF!</definedName>
    <definedName name="DivYield2006">#REF!</definedName>
    <definedName name="DivYield2007" localSheetId="22">#REF!</definedName>
    <definedName name="DivYield2007" localSheetId="23">#REF!</definedName>
    <definedName name="DivYield2007">#REF!</definedName>
    <definedName name="DivYield2008" localSheetId="22">#REF!</definedName>
    <definedName name="DivYield2008" localSheetId="23">#REF!</definedName>
    <definedName name="DivYield2008">#REF!</definedName>
    <definedName name="DivYield2009" localSheetId="22">#REF!</definedName>
    <definedName name="DivYield2009" localSheetId="23">#REF!</definedName>
    <definedName name="DivYield2009">#REF!</definedName>
    <definedName name="DivYield2010" localSheetId="22">#REF!</definedName>
    <definedName name="DivYield2010" localSheetId="23">#REF!</definedName>
    <definedName name="DivYield2010">#REF!</definedName>
    <definedName name="DivYield2011" localSheetId="22">#REF!</definedName>
    <definedName name="DivYield2011" localSheetId="23">#REF!</definedName>
    <definedName name="DivYield2011">#REF!</definedName>
    <definedName name="DivYld2003" localSheetId="22">#REF!</definedName>
    <definedName name="DivYld2003" localSheetId="23">#REF!</definedName>
    <definedName name="DivYld2003">#REF!</definedName>
    <definedName name="DivYld2004" localSheetId="22">#REF!</definedName>
    <definedName name="DivYld2004" localSheetId="23">#REF!</definedName>
    <definedName name="DivYld2004">#REF!</definedName>
    <definedName name="DivYld2005" localSheetId="22">#REF!</definedName>
    <definedName name="DivYld2005" localSheetId="23">#REF!</definedName>
    <definedName name="DivYld2005">#REF!</definedName>
    <definedName name="DivYld2006" localSheetId="22">#REF!</definedName>
    <definedName name="DivYld2006" localSheetId="23">#REF!</definedName>
    <definedName name="DivYld2006">#REF!</definedName>
    <definedName name="DivYld2007" localSheetId="22">#REF!</definedName>
    <definedName name="DivYld2007" localSheetId="23">#REF!</definedName>
    <definedName name="DivYld2007">#REF!</definedName>
    <definedName name="DivYld2008" localSheetId="22">#REF!</definedName>
    <definedName name="DivYld2008" localSheetId="23">#REF!</definedName>
    <definedName name="DivYld2008">#REF!</definedName>
    <definedName name="DivYld2009" localSheetId="22">#REF!</definedName>
    <definedName name="DivYld2009" localSheetId="23">#REF!</definedName>
    <definedName name="DivYld2009">#REF!</definedName>
    <definedName name="DivYld2010" localSheetId="22">#REF!</definedName>
    <definedName name="DivYld2010" localSheetId="23">#REF!</definedName>
    <definedName name="DivYld2010">#REF!</definedName>
    <definedName name="DivYld2011" localSheetId="22">#REF!</definedName>
    <definedName name="DivYld2011" localSheetId="23">#REF!</definedName>
    <definedName name="DivYld2011">#REF!</definedName>
    <definedName name="dldmldjd" localSheetId="22">#REF!</definedName>
    <definedName name="dldmldjd" localSheetId="23">#REF!</definedName>
    <definedName name="dldmldjd">#REF!</definedName>
    <definedName name="DocType" localSheetId="22">Word</definedName>
    <definedName name="DocType" localSheetId="23">Word</definedName>
    <definedName name="DocType">Word</definedName>
    <definedName name="doh" hidden="1">{#N/A,#N/A,FALSE,"TS";#N/A,#N/A,FALSE,"Combo";#N/A,#N/A,FALSE,"FAIR";#N/A,#N/A,FALSE,"RBC";#N/A,#N/A,FALSE,"xxxx";#N/A,#N/A,FALSE,"A_D";#N/A,#N/A,FALSE,"WACC";#N/A,#N/A,FALSE,"DCF";#N/A,#N/A,FALSE,"LBO";#N/A,#N/A,FALSE,"AcqMults";#N/A,#N/A,FALSE,"CompMults"}</definedName>
    <definedName name="doh_1" hidden="1">{#N/A,#N/A,FALSE,"TS";#N/A,#N/A,FALSE,"Combo";#N/A,#N/A,FALSE,"FAIR";#N/A,#N/A,FALSE,"RBC";#N/A,#N/A,FALSE,"xxxx";#N/A,#N/A,FALSE,"A_D";#N/A,#N/A,FALSE,"WACC";#N/A,#N/A,FALSE,"DCF";#N/A,#N/A,FALSE,"LBO";#N/A,#N/A,FALSE,"AcqMults";#N/A,#N/A,FALSE,"CompMults"}</definedName>
    <definedName name="doh_1_1" hidden="1">{#N/A,#N/A,FALSE,"TS";#N/A,#N/A,FALSE,"Combo";#N/A,#N/A,FALSE,"FAIR";#N/A,#N/A,FALSE,"RBC";#N/A,#N/A,FALSE,"xxxx";#N/A,#N/A,FALSE,"A_D";#N/A,#N/A,FALSE,"WACC";#N/A,#N/A,FALSE,"DCF";#N/A,#N/A,FALSE,"LBO";#N/A,#N/A,FALSE,"AcqMults";#N/A,#N/A,FALSE,"CompMults"}</definedName>
    <definedName name="DPUnit2003" localSheetId="22">#REF!</definedName>
    <definedName name="DPUnit2003" localSheetId="23">#REF!</definedName>
    <definedName name="DPUnit2003">#REF!</definedName>
    <definedName name="DPUnit2004" localSheetId="22">#REF!</definedName>
    <definedName name="DPUnit2004" localSheetId="23">#REF!</definedName>
    <definedName name="DPUnit2004">#REF!</definedName>
    <definedName name="DPUnit2005" localSheetId="22">#REF!</definedName>
    <definedName name="DPUnit2005" localSheetId="23">#REF!</definedName>
    <definedName name="DPUnit2005">#REF!</definedName>
    <definedName name="DPUnit2006" localSheetId="22">#REF!</definedName>
    <definedName name="DPUnit2006" localSheetId="23">#REF!</definedName>
    <definedName name="DPUnit2006">#REF!</definedName>
    <definedName name="ds"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DSADSADSADSA" localSheetId="22">#REF!</definedName>
    <definedName name="DSADSADSADSA" localSheetId="23">#REF!</definedName>
    <definedName name="DSADSADSADSA">#REF!</definedName>
    <definedName name="dsaf" hidden="1">{"mgmt forecast",#N/A,FALSE,"Mgmt Forecast";"dcf table",#N/A,FALSE,"Mgmt Forecast";"sensitivity",#N/A,FALSE,"Mgmt Forecast";"table inputs",#N/A,FALSE,"Mgmt Forecast";"calculations",#N/A,FALSE,"Mgmt Forecast"}</definedName>
    <definedName name="dsaf_1" hidden="1">{"mgmt forecast",#N/A,FALSE,"Mgmt Forecast";"dcf table",#N/A,FALSE,"Mgmt Forecast";"sensitivity",#N/A,FALSE,"Mgmt Forecast";"table inputs",#N/A,FALSE,"Mgmt Forecast";"calculations",#N/A,FALSE,"Mgmt Forecast"}</definedName>
    <definedName name="dsaf_1_1" hidden="1">{"mgmt forecast",#N/A,FALSE,"Mgmt Forecast";"dcf table",#N/A,FALSE,"Mgmt Forecast";"sensitivity",#N/A,FALSE,"Mgmt Forecast";"table inputs",#N/A,FALSE,"Mgmt Forecast";"calculations",#N/A,FALSE,"Mgmt Forecast"}</definedName>
    <definedName name="dsfasfdsfdsf" localSheetId="22">#REF!</definedName>
    <definedName name="dsfasfdsfdsf" localSheetId="23">#REF!</definedName>
    <definedName name="dsfasfdsfdsf">#REF!</definedName>
    <definedName name="dsfhfdsstfghgffh" localSheetId="22" hidden="1">#REF!</definedName>
    <definedName name="dsfhfdsstfghgffh" localSheetId="23" hidden="1">#REF!</definedName>
    <definedName name="dsfhfdsstfghgffh" localSheetId="51" hidden="1">#REF!</definedName>
    <definedName name="dsfhfdsstfghgffh" hidden="1">#REF!</definedName>
    <definedName name="dsfs" localSheetId="22">#REF!</definedName>
    <definedName name="dsfs" localSheetId="23">#REF!</definedName>
    <definedName name="dsfs" localSheetId="51">#REF!</definedName>
    <definedName name="dsfs">#REF!</definedName>
    <definedName name="dummy" localSheetId="22">#REF!</definedName>
    <definedName name="dummy" localSheetId="23">#REF!</definedName>
    <definedName name="dummy">#REF!</definedName>
    <definedName name="dvdgrgr" localSheetId="22" hidden="1">#REF!</definedName>
    <definedName name="dvdgrgr" localSheetId="23" hidden="1">#REF!</definedName>
    <definedName name="dvdgrgr" localSheetId="51" hidden="1">#REF!</definedName>
    <definedName name="dvdgrgr" hidden="1">#REF!</definedName>
    <definedName name="dwed" hidden="1">{#N/A,#N/A,FALSE,"资产负债表";#N/A,#N/A,FALSE,"资产负债表"}</definedName>
    <definedName name="DYield2003" localSheetId="22">#REF!</definedName>
    <definedName name="DYield2003" localSheetId="23">#REF!</definedName>
    <definedName name="DYield2003">#REF!</definedName>
    <definedName name="DYield2004" localSheetId="22">#REF!</definedName>
    <definedName name="DYield2004" localSheetId="23">#REF!</definedName>
    <definedName name="DYield2004">#REF!</definedName>
    <definedName name="DYield2005" localSheetId="22">#REF!</definedName>
    <definedName name="DYield2005" localSheetId="23">#REF!</definedName>
    <definedName name="DYield2005">#REF!</definedName>
    <definedName name="DYield2006" localSheetId="22">#REF!</definedName>
    <definedName name="DYield2006" localSheetId="23">#REF!</definedName>
    <definedName name="DYield2006">#REF!</definedName>
    <definedName name="DYield2007" localSheetId="22">#REF!</definedName>
    <definedName name="DYield2007" localSheetId="23">#REF!</definedName>
    <definedName name="DYield2007">#REF!</definedName>
    <definedName name="DYield2008" localSheetId="22">#REF!</definedName>
    <definedName name="DYield2008" localSheetId="23">#REF!</definedName>
    <definedName name="DYield2008">#REF!</definedName>
    <definedName name="DYield2009" localSheetId="22">#REF!</definedName>
    <definedName name="DYield2009" localSheetId="23">#REF!</definedName>
    <definedName name="DYield2009">#REF!</definedName>
    <definedName name="DYield2010" localSheetId="22">#REF!</definedName>
    <definedName name="DYield2010" localSheetId="23">#REF!</definedName>
    <definedName name="DYield2010">#REF!</definedName>
    <definedName name="DYield2011" localSheetId="22">#REF!</definedName>
    <definedName name="DYield2011" localSheetId="23">#REF!</definedName>
    <definedName name="DYield2011">#REF!</definedName>
    <definedName name="dzfsdf" hidden="1">{#N/A,#N/A,TRUE,"FOC_Product_Assumptions"}</definedName>
    <definedName name="dzfsdf_1" hidden="1">{#N/A,#N/A,TRUE,"FOC_Product_Assumptions"}</definedName>
    <definedName name="dzfsdf_1_1" hidden="1">{#N/A,#N/A,TRUE,"FOC_Product_Assumptions"}</definedName>
    <definedName name="e" hidden="1">{"mgmt forecast",#N/A,FALSE,"Mgmt Forecast";"dcf table",#N/A,FALSE,"Mgmt Forecast";"sensitivity",#N/A,FALSE,"Mgmt Forecast";"table inputs",#N/A,FALSE,"Mgmt Forecast";"calculations",#N/A,FALSE,"Mgmt Forecast"}</definedName>
    <definedName name="e_1" hidden="1">{"mgmt forecast",#N/A,FALSE,"Mgmt Forecast";"dcf table",#N/A,FALSE,"Mgmt Forecast";"sensitivity",#N/A,FALSE,"Mgmt Forecast";"table inputs",#N/A,FALSE,"Mgmt Forecast";"calculations",#N/A,FALSE,"Mgmt Forecast"}</definedName>
    <definedName name="e_1_1" hidden="1">{"mgmt forecast",#N/A,FALSE,"Mgmt Forecast";"dcf table",#N/A,FALSE,"Mgmt Forecast";"sensitivity",#N/A,FALSE,"Mgmt Forecast";"table inputs",#N/A,FALSE,"Mgmt Forecast";"calculations",#N/A,FALSE,"Mgmt Forecast"}</definedName>
    <definedName name="E23GFA" localSheetId="22">#REF!</definedName>
    <definedName name="E23GFA" localSheetId="23">#REF!</definedName>
    <definedName name="E23GFA">#REF!</definedName>
    <definedName name="E23P" localSheetId="22">#REF!</definedName>
    <definedName name="E23P" localSheetId="23">#REF!</definedName>
    <definedName name="E23P">#REF!</definedName>
    <definedName name="EEEEEEEEEEEEEEEEEEEEEEEEEEEE" hidden="1">{#N/A,#N/A,FALSE,"Aging Summary";#N/A,#N/A,FALSE,"Ratio Analysis";#N/A,#N/A,FALSE,"Test 120 Day Accts";#N/A,#N/A,FALSE,"Tickmarks"}</definedName>
    <definedName name="EEEEEEEEEEEEEEEEEEEEEEEEEEEEEEEEEEE" hidden="1">{#N/A,#N/A,FALSE,"Aging Summary";#N/A,#N/A,FALSE,"Ratio Analysis";#N/A,#N/A,FALSE,"Test 120 Day Accts";#N/A,#N/A,FALSE,"Tickmarks"}</definedName>
    <definedName name="ekejjjyyjtyy" localSheetId="22" hidden="1">#REF!</definedName>
    <definedName name="ekejjjyyjtyy" localSheetId="23" hidden="1">#REF!</definedName>
    <definedName name="ekejjjyyjtyy" localSheetId="51" hidden="1">#REF!</definedName>
    <definedName name="ekejjjyyjtyy" hidden="1">#REF!</definedName>
    <definedName name="ENT_LONG_NAME" localSheetId="22">#REF!</definedName>
    <definedName name="ENT_LONG_NAME" localSheetId="23">#REF!</definedName>
    <definedName name="ENT_LONG_NAME" localSheetId="51">#REF!</definedName>
    <definedName name="ENT_LONG_NAME">#REF!</definedName>
    <definedName name="ENT_NAME" localSheetId="22">#REF!</definedName>
    <definedName name="ENT_NAME" localSheetId="23">#REF!</definedName>
    <definedName name="ENT_NAME" localSheetId="51">#REF!</definedName>
    <definedName name="ENT_NAME">#REF!</definedName>
    <definedName name="ENT_TABLE" localSheetId="22">#REF!</definedName>
    <definedName name="ENT_TABLE" localSheetId="23">#REF!</definedName>
    <definedName name="ENT_TABLE" localSheetId="51">#REF!</definedName>
    <definedName name="ENT_TABLE">#REF!</definedName>
    <definedName name="eq2r4" hidden="1">{#N/A,#N/A,FALSE,"COVER";#N/A,#N/A,FALSE,"0";#N/A,#N/A,FALSE,"1";#N/A,#N/A,FALSE,"2";#N/A,#N/A,FALSE,"3";#N/A,#N/A,FALSE,"4";#N/A,#N/A,FALSE,"5";#N/A,#N/A,FALSE,"6";#N/A,#N/A,FALSE,"7";#N/A,#N/A,FALSE,"8";#N/A,#N/A,FALSE,"9";#N/A,#N/A,FALSE,"10";#N/A,#N/A,FALSE,"11"}</definedName>
    <definedName name="ere" hidden="1">{"orixcsc",#N/A,FALSE,"ORIX CSC";"orixcsc2",#N/A,FALSE,"ORIX CSC"}</definedName>
    <definedName name="ere_1" hidden="1">{"orixcsc",#N/A,FALSE,"ORIX CSC";"orixcsc2",#N/A,FALSE,"ORIX CSC"}</definedName>
    <definedName name="ere_1_1" hidden="1">{"orixcsc",#N/A,FALSE,"ORIX CSC";"orixcsc2",#N/A,FALSE,"ORIX CSC"}</definedName>
    <definedName name="ERR_MSG" localSheetId="22">#REF!</definedName>
    <definedName name="ERR_MSG" localSheetId="23">#REF!</definedName>
    <definedName name="ERR_MSG" localSheetId="51">#REF!</definedName>
    <definedName name="ERR_MSG">#REF!</definedName>
    <definedName name="ert" hidden="1">{"'Z3-1'!$B$9:$I$29"}</definedName>
    <definedName name="ESPeXToEUR" localSheetId="22" hidden="1">1/EUReXToESP</definedName>
    <definedName name="ESPeXToEUR" localSheetId="23" hidden="1">1/EUReXToESP</definedName>
    <definedName name="ESPeXToEUR" localSheetId="51" hidden="1">1/EUReXToESP</definedName>
    <definedName name="ESPeXToEUR" hidden="1">1/EUReXToESP</definedName>
    <definedName name="EUR" localSheetId="22">#REF!</definedName>
    <definedName name="EUR" localSheetId="23">#REF!</definedName>
    <definedName name="EUR">#REF!</definedName>
    <definedName name="ev.Calculation">-4105</definedName>
    <definedName name="ev.Initialized">FALSE</definedName>
    <definedName name="ewqdfewqfeq" hidden="1">{#N/A,#N/A,FALSE,"资产负债表";#N/A,#N/A,FALSE,"资产负债表"}</definedName>
    <definedName name="ewrwer" hidden="1">{#N/A,#N/A,FALSE,"ORIX CSC"}</definedName>
    <definedName name="ewrwer_1" hidden="1">{#N/A,#N/A,FALSE,"ORIX CSC"}</definedName>
    <definedName name="ewrwer_1_1" hidden="1">{#N/A,#N/A,FALSE,"ORIX CSC"}</definedName>
    <definedName name="ExactAddinConnection" hidden="1">"001"</definedName>
    <definedName name="ExactAddinConnection.001" hidden="1">"SERVER2;001;rosemary.jan;0"</definedName>
    <definedName name="ExactAddinReports">6</definedName>
    <definedName name="Excel_BuiltIn__FilterDatabase" localSheetId="22">#REF!</definedName>
    <definedName name="Excel_BuiltIn__FilterDatabase" localSheetId="23">#REF!</definedName>
    <definedName name="Excel_BuiltIn__FilterDatabase">#REF!</definedName>
    <definedName name="Excel_BuiltIn_Criteria_3_1" localSheetId="22">#REF!</definedName>
    <definedName name="Excel_BuiltIn_Criteria_3_1" localSheetId="23">#REF!</definedName>
    <definedName name="Excel_BuiltIn_Criteria_3_1">#REF!</definedName>
    <definedName name="Excel_BuiltIn_Print_Area" localSheetId="22">#REF!</definedName>
    <definedName name="Excel_BuiltIn_Print_Area" localSheetId="23">#REF!</definedName>
    <definedName name="Excel_BuiltIn_Print_Area">#REF!</definedName>
    <definedName name="Excel_BuiltIn_Print_Area_0">"$#REF!.$A$1:$C$491"</definedName>
    <definedName name="Excel_BuiltIn_Print_Area_0___0">"$#REF!.$A$1:$H$604"</definedName>
    <definedName name="Excel_BuiltIn_Print_Titles_3" localSheetId="22">#REF!</definedName>
    <definedName name="Excel_BuiltIn_Print_Titles_3" localSheetId="23">#REF!</definedName>
    <definedName name="Excel_BuiltIn_Print_Titles_3">#REF!</definedName>
    <definedName name="EXCEPT_FILE" localSheetId="22">#REF!</definedName>
    <definedName name="EXCEPT_FILE" localSheetId="23">#REF!</definedName>
    <definedName name="EXCEPT_FILE" localSheetId="51">#REF!</definedName>
    <definedName name="EXCEPT_FILE">#REF!</definedName>
    <definedName name="EXCEPT_REP" localSheetId="22">#REF!</definedName>
    <definedName name="EXCEPT_REP" localSheetId="23">#REF!</definedName>
    <definedName name="EXCEPT_REP" localSheetId="51">#REF!</definedName>
    <definedName name="EXCEPT_REP">#REF!</definedName>
    <definedName name="exchangerate" localSheetId="22">#REF!</definedName>
    <definedName name="exchangerate" localSheetId="23">#REF!</definedName>
    <definedName name="exchangerate">#REF!</definedName>
    <definedName name="Existing_Maint" localSheetId="22">#REF!</definedName>
    <definedName name="Existing_Maint" localSheetId="23">#REF!</definedName>
    <definedName name="Existing_Maint">#REF!</definedName>
    <definedName name="ExistLoanMat" localSheetId="22">#REF!</definedName>
    <definedName name="ExistLoanMat" localSheetId="23">#REF!</definedName>
    <definedName name="ExistLoanMat">#REF!</definedName>
    <definedName name="ExistLoanOPB" localSheetId="22">#REF!</definedName>
    <definedName name="ExistLoanOPB" localSheetId="23">#REF!</definedName>
    <definedName name="ExistLoanOPB">#REF!</definedName>
    <definedName name="ExistLoanOrig" localSheetId="22">#REF!</definedName>
    <definedName name="ExistLoanOrig" localSheetId="23">#REF!</definedName>
    <definedName name="ExistLoanOrig">#REF!</definedName>
    <definedName name="ExistLoanRate" localSheetId="22">#REF!</definedName>
    <definedName name="ExistLoanRate" localSheetId="23">#REF!</definedName>
    <definedName name="ExistLoanRate">#REF!</definedName>
    <definedName name="ExistLoanRateA" localSheetId="22">#REF!</definedName>
    <definedName name="ExistLoanRateA" localSheetId="23">#REF!</definedName>
    <definedName name="ExistLoanRateA">#REF!</definedName>
    <definedName name="exp_sh" localSheetId="22">#REF!</definedName>
    <definedName name="exp_sh" localSheetId="23">#REF!</definedName>
    <definedName name="exp_sh" localSheetId="51">#REF!</definedName>
    <definedName name="exp_sh">#REF!</definedName>
    <definedName name="ExpandOutputs">#N/A</definedName>
    <definedName name="ExpandVPeriods">#N/A</definedName>
    <definedName name="ExportDir" localSheetId="22">#REF!</definedName>
    <definedName name="ExportDir" localSheetId="23">#REF!</definedName>
    <definedName name="ExportDir" localSheetId="51">#REF!</definedName>
    <definedName name="ExportDir">#REF!</definedName>
    <definedName name="ExportFile">#N/A</definedName>
    <definedName name="extr" hidden="1">{"P&amp;L",#N/A,TRUE,"HC";"P&amp;L Percents",#N/A,TRUE,"P&amp;L";"M&amp;A3 P&amp;L",#N/A,TRUE,"HC";"M&amp;A3 Pipeline",#N/A,TRUE,"HC";"Franchises",#N/A,TRUE,"HC";"CF&amp;BS",#N/A,TRUE,"HC"}</definedName>
    <definedName name="extr_1" hidden="1">{"P&amp;L",#N/A,TRUE,"HC";"P&amp;L Percents",#N/A,TRUE,"P&amp;L";"M&amp;A3 P&amp;L",#N/A,TRUE,"HC";"M&amp;A3 Pipeline",#N/A,TRUE,"HC";"Franchises",#N/A,TRUE,"HC";"CF&amp;BS",#N/A,TRUE,"HC"}</definedName>
    <definedName name="extr_1_1" hidden="1">{"P&amp;L",#N/A,TRUE,"HC";"P&amp;L Percents",#N/A,TRUE,"P&amp;L";"M&amp;A3 P&amp;L",#N/A,TRUE,"HC";"M&amp;A3 Pipeline",#N/A,TRUE,"HC";"Franchises",#N/A,TRUE,"HC";"CF&amp;BS",#N/A,TRUE,"HC"}</definedName>
    <definedName name="extr1" hidden="1">{"P&amp;L",#N/A,TRUE,"HC";"P&amp;L Percents",#N/A,TRUE,"P&amp;L";"M&amp;A3 P&amp;L",#N/A,TRUE,"HC";"M&amp;A3 Pipeline",#N/A,TRUE,"HC";"Franchises",#N/A,TRUE,"HC";"CF&amp;BS",#N/A,TRUE,"HC"}</definedName>
    <definedName name="extr1_1" hidden="1">{"P&amp;L",#N/A,TRUE,"HC";"P&amp;L Percents",#N/A,TRUE,"P&amp;L";"M&amp;A3 P&amp;L",#N/A,TRUE,"HC";"M&amp;A3 Pipeline",#N/A,TRUE,"HC";"Franchises",#N/A,TRUE,"HC";"CF&amp;BS",#N/A,TRUE,"HC"}</definedName>
    <definedName name="extr1_1_1" hidden="1">{"P&amp;L",#N/A,TRUE,"HC";"P&amp;L Percents",#N/A,TRUE,"P&amp;L";"M&amp;A3 P&amp;L",#N/A,TRUE,"HC";"M&amp;A3 Pipeline",#N/A,TRUE,"HC";"Franchises",#N/A,TRUE,"HC";"CF&amp;BS",#N/A,TRUE,"HC"}</definedName>
    <definedName name="f"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23">#N/A</definedName>
    <definedName name="f2qr32qfr" hidden="1">{#N/A,#N/A,FALSE,"资产负债表";#N/A,#N/A,FALSE,"资产负债表"}</definedName>
    <definedName name="F6.8xxx" hidden="1">{#N/A,#N/A,FALSE,"431"}</definedName>
    <definedName name="FAF" localSheetId="22">[0]!JEPUMS*!H14:XEY1048565</definedName>
    <definedName name="FAF" localSheetId="23">[0]!JEPUMS*!H14:XEY1048565</definedName>
    <definedName name="FAF">[0]!JEPUMS*!H14:XEY1048565</definedName>
    <definedName name="faif" hidden="1">{#N/A,#N/A,FALSE,"资产负债表";#N/A,#N/A,FALSE,"资产负债表"}</definedName>
    <definedName name="fangan" localSheetId="22">#REF!</definedName>
    <definedName name="fangan" localSheetId="23">#REF!</definedName>
    <definedName name="fangan">#REF!</definedName>
    <definedName name="FAS" localSheetId="22">#REF!</definedName>
    <definedName name="FAS" localSheetId="23">#REF!</definedName>
    <definedName name="FAS">#REF!</definedName>
    <definedName name="FBLOCAL" localSheetId="22">#REF!</definedName>
    <definedName name="FBLOCAL" localSheetId="23">#REF!</definedName>
    <definedName name="FBLOCAL">#REF!</definedName>
    <definedName name="fceqd" hidden="1">{#N/A,#N/A,FALSE,"资产负债表";#N/A,#N/A,FALSE,"资产负债表"}</definedName>
    <definedName name="FCF"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CSTFAS1" localSheetId="22">#REF!</definedName>
    <definedName name="FCSTFAS1" localSheetId="23">#REF!</definedName>
    <definedName name="FCSTFAS1">#REF!</definedName>
    <definedName name="FCSTFAS2" localSheetId="22">#REF!</definedName>
    <definedName name="FCSTFAS2" localSheetId="23">#REF!</definedName>
    <definedName name="FCSTFAS2">#REF!</definedName>
    <definedName name="FCSTFAS3" localSheetId="22">#REF!</definedName>
    <definedName name="FCSTFAS3" localSheetId="23">#REF!</definedName>
    <definedName name="FCSTFAS3">#REF!</definedName>
    <definedName name="FCSTFAS4" localSheetId="22">#REF!</definedName>
    <definedName name="FCSTFAS4" localSheetId="23">#REF!</definedName>
    <definedName name="FCSTFAS4">#REF!</definedName>
    <definedName name="FCSTFAS5" localSheetId="22">#REF!</definedName>
    <definedName name="FCSTFAS5" localSheetId="23">#REF!</definedName>
    <definedName name="FCSTFAS5">#REF!</definedName>
    <definedName name="FCSTSTAT" localSheetId="22">#REF!</definedName>
    <definedName name="FCSTSTAT" localSheetId="23">#REF!</definedName>
    <definedName name="FCSTSTAT">#REF!</definedName>
    <definedName name="FD" hidden="1">{#N/A,#N/A,FALSE,"Aging Summary";#N/A,#N/A,FALSE,"Ratio Analysis";#N/A,#N/A,FALSE,"Test 120 Day Accts";#N/A,#N/A,FALSE,"Tickmarks"}</definedName>
    <definedName name="fda" hidden="1">{"toptrial",#N/A,TRUE,"toptrial";"adjustment",#N/A,TRUE,"toptrial";"voucher",#N/A,TRUE,"toptrial"}</definedName>
    <definedName name="fdadaf" hidden="1">{"toptrial",#N/A,TRUE,"toptrial";"adjustment",#N/A,TRUE,"toptrial";"voucher",#N/A,TRUE,"toptrial"}</definedName>
    <definedName name="fdaddsa" hidden="1">{"toptrial",#N/A,TRUE,"toptrial";"adjustment",#N/A,TRUE,"toptrial";"voucher",#N/A,TRUE,"toptrial"}</definedName>
    <definedName name="fdaf" hidden="1">{"toptrial",#N/A,TRUE,"toptrial";"adjustment",#N/A,TRUE,"toptrial";"voucher",#N/A,TRUE,"toptrial"}</definedName>
    <definedName name="fdafd" hidden="1">{"toptrial",#N/A,TRUE,"toptrial";"adjustment",#N/A,TRUE,"toptrial";"voucher",#N/A,TRUE,"toptrial"}</definedName>
    <definedName name="FDFD"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fdgjsgfhjsrtarts" localSheetId="22" hidden="1">#REF!</definedName>
    <definedName name="fdgjsgfhjsrtarts" localSheetId="23" hidden="1">#REF!</definedName>
    <definedName name="fdgjsgfhjsrtarts" localSheetId="51" hidden="1">#REF!</definedName>
    <definedName name="fdgjsgfhjsrtarts" hidden="1">#REF!</definedName>
    <definedName name="fdhgfjhgjgh" localSheetId="22" hidden="1">#REF!</definedName>
    <definedName name="fdhgfjhgjgh" localSheetId="23" hidden="1">#REF!</definedName>
    <definedName name="fdhgfjhgjgh" localSheetId="51" hidden="1">#REF!</definedName>
    <definedName name="fdhgfjhgjgh" hidden="1">#REF!</definedName>
    <definedName name="FDI" localSheetId="22">#REF!</definedName>
    <definedName name="FDI" localSheetId="23">#REF!</definedName>
    <definedName name="FDI">#REF!</definedName>
    <definedName name="February" localSheetId="22">#REF!</definedName>
    <definedName name="February" localSheetId="23">#REF!</definedName>
    <definedName name="February">#REF!</definedName>
    <definedName name="fefefefefed" localSheetId="22" hidden="1">#REF!</definedName>
    <definedName name="fefefefefed" localSheetId="23" hidden="1">#REF!</definedName>
    <definedName name="fefefefefed" localSheetId="51" hidden="1">#REF!</definedName>
    <definedName name="fefefefefed" hidden="1">#REF!</definedName>
    <definedName name="ff" hidden="1">{#N/A,#N/A,FALSE,"资产负债表";#N/A,#N/A,FALSE,"资产负债表"}</definedName>
    <definedName name="fff" hidden="1">{"mgmt forecast",#N/A,FALSE,"Mgmt Forecast";"dcf table",#N/A,FALSE,"Mgmt Forecast";"sensitivity",#N/A,FALSE,"Mgmt Forecast";"table inputs",#N/A,FALSE,"Mgmt Forecast";"calculations",#N/A,FALSE,"Mgmt Forecast"}</definedName>
    <definedName name="fff_1" hidden="1">{"mgmt forecast",#N/A,FALSE,"Mgmt Forecast";"dcf table",#N/A,FALSE,"Mgmt Forecast";"sensitivity",#N/A,FALSE,"Mgmt Forecast";"table inputs",#N/A,FALSE,"Mgmt Forecast";"calculations",#N/A,FALSE,"Mgmt Forecast"}</definedName>
    <definedName name="fff_1_1" hidden="1">{"mgmt forecast",#N/A,FALSE,"Mgmt Forecast";"dcf table",#N/A,FALSE,"Mgmt Forecast";"sensitivity",#N/A,FALSE,"Mgmt Forecast";"table inputs",#N/A,FALSE,"Mgmt Forecast";"calculations",#N/A,FALSE,"Mgmt Forecast"}</definedName>
    <definedName name="fffffffffffffffg" hidden="1">{#N/A,#N/A,FALSE,"ORIX CSC"}</definedName>
    <definedName name="fghsfhvbxcc" localSheetId="22" hidden="1">#REF!</definedName>
    <definedName name="fghsfhvbxcc" localSheetId="23" hidden="1">#REF!</definedName>
    <definedName name="fghsfhvbxcc" localSheetId="51" hidden="1">#REF!</definedName>
    <definedName name="fghsfhvbxcc" hidden="1">#REF!</definedName>
    <definedName name="fgsfg" hidden="1">{"HOMEPAGE",#N/A,FALSE,"HOME";"Report1_Q1",#N/A,FALSE,"REPORT1"}</definedName>
    <definedName name="FiAcq" localSheetId="22">#REF!</definedName>
    <definedName name="FiAcq" localSheetId="23">#REF!</definedName>
    <definedName name="FiAcq">#REF!</definedName>
    <definedName name="FIMeXToEUR" localSheetId="22" hidden="1">1/EUReXToFIM</definedName>
    <definedName name="FIMeXToEUR" localSheetId="23" hidden="1">1/EUReXToFIM</definedName>
    <definedName name="FIMeXToEUR" localSheetId="51" hidden="1">1/EUReXToFIM</definedName>
    <definedName name="FIMeXToEUR" hidden="1">1/EUReXToFIM</definedName>
    <definedName name="FINAL_FS">#N/A</definedName>
    <definedName name="finalReport">#N/A</definedName>
    <definedName name="FirstYear" localSheetId="22">#REF!</definedName>
    <definedName name="FirstYear" localSheetId="23">#REF!</definedName>
    <definedName name="FirstYear" localSheetId="51">#REF!</definedName>
    <definedName name="FirstYear">#REF!</definedName>
    <definedName name="FK_YSCBBH_2">#N/A</definedName>
    <definedName name="FK_YSCBBH_3">#N/A</definedName>
    <definedName name="FK_YSCBBH_5">#N/A</definedName>
    <definedName name="ForecastDate" localSheetId="22">#REF!</definedName>
    <definedName name="ForecastDate" localSheetId="23">#REF!</definedName>
    <definedName name="ForecastDate" localSheetId="51">#REF!</definedName>
    <definedName name="ForecastDate">#REF!</definedName>
    <definedName name="FQ" localSheetId="22">#REF!</definedName>
    <definedName name="FQ" localSheetId="23">#REF!</definedName>
    <definedName name="FQ" localSheetId="51">#REF!</definedName>
    <definedName name="FQ">#REF!</definedName>
    <definedName name="FqOutSumSpecialColCount" localSheetId="22">#REF!</definedName>
    <definedName name="FqOutSumSpecialColCount" localSheetId="23">#REF!</definedName>
    <definedName name="FqOutSumSpecialColCount" localSheetId="51">#REF!</definedName>
    <definedName name="FqOutSumSpecialColCount">#REF!</definedName>
    <definedName name="FRCST" localSheetId="22">#REF!</definedName>
    <definedName name="FRCST" localSheetId="23">#REF!</definedName>
    <definedName name="FRCST">#REF!</definedName>
    <definedName name="FRCST1" localSheetId="22">#REF!</definedName>
    <definedName name="FRCST1" localSheetId="23">#REF!</definedName>
    <definedName name="FRCST1">#REF!</definedName>
    <definedName name="FRCST2" localSheetId="22">#REF!</definedName>
    <definedName name="FRCST2" localSheetId="23">#REF!</definedName>
    <definedName name="FRCST2">#REF!</definedName>
    <definedName name="FRCST3" localSheetId="22">#REF!</definedName>
    <definedName name="FRCST3" localSheetId="23">#REF!</definedName>
    <definedName name="FRCST3">#REF!</definedName>
    <definedName name="FRCST4" localSheetId="22">#REF!</definedName>
    <definedName name="FRCST4" localSheetId="23">#REF!</definedName>
    <definedName name="FRCST4">#REF!</definedName>
    <definedName name="FRCST5" localSheetId="22">#REF!</definedName>
    <definedName name="FRCST5" localSheetId="23">#REF!</definedName>
    <definedName name="FRCST5">#REF!</definedName>
    <definedName name="FRFeXToEUR" localSheetId="22" hidden="1">1/EUReXToFRF</definedName>
    <definedName name="FRFeXToEUR" localSheetId="23" hidden="1">1/EUReXToFRF</definedName>
    <definedName name="FRFeXToEUR" localSheetId="51" hidden="1">1/EUReXToFRF</definedName>
    <definedName name="FRFeXToEUR" hidden="1">1/EUReXToFRF</definedName>
    <definedName name="FRSname" localSheetId="22">#REF!</definedName>
    <definedName name="FRSname" localSheetId="23">#REF!</definedName>
    <definedName name="FRSname">#REF!</definedName>
    <definedName name="FRSnum" localSheetId="22">#REF!</definedName>
    <definedName name="FRSnum" localSheetId="23">#REF!</definedName>
    <definedName name="FRSnum">#REF!</definedName>
    <definedName name="fsdsfafd" hidden="1">{"CSheet",#N/A,FALSE,"C";"SmCap",#N/A,FALSE,"VAL1";"GulfCoast",#N/A,FALSE,"VAL1";"nav",#N/A,FALSE,"NAV";"Summary",#N/A,FALSE,"NAV"}</definedName>
    <definedName name="fsdsfafd_1" hidden="1">{"CSheet",#N/A,FALSE,"C";"SmCap",#N/A,FALSE,"VAL1";"GulfCoast",#N/A,FALSE,"VAL1";"nav",#N/A,FALSE,"NAV";"Summary",#N/A,FALSE,"NAV"}</definedName>
    <definedName name="fsdsfafd_1_1" hidden="1">{"CSheet",#N/A,FALSE,"C";"SmCap",#N/A,FALSE,"VAL1";"GulfCoast",#N/A,FALSE,"VAL1";"nav",#N/A,FALSE,"NAV";"Summary",#N/A,FALSE,"NAV"}</definedName>
    <definedName name="FunBotTag" localSheetId="22">#REF!</definedName>
    <definedName name="FunBotTag" localSheetId="23">#REF!</definedName>
    <definedName name="FunBotTag" localSheetId="51">#REF!</definedName>
    <definedName name="FunBotTag">#REF!</definedName>
    <definedName name="FUND" localSheetId="22">#REF!</definedName>
    <definedName name="FUND" localSheetId="23">#REF!</definedName>
    <definedName name="FUND">#REF!</definedName>
    <definedName name="FunnelBottomWidth" localSheetId="22">#REF!</definedName>
    <definedName name="FunnelBottomWidth" localSheetId="23">#REF!</definedName>
    <definedName name="FunnelBottomWidth" localSheetId="51">#REF!</definedName>
    <definedName name="FunnelBottomWidth">#REF!</definedName>
    <definedName name="FunnelHeight" localSheetId="22">#REF!</definedName>
    <definedName name="FunnelHeight" localSheetId="23">#REF!</definedName>
    <definedName name="FunnelHeight" localSheetId="51">#REF!</definedName>
    <definedName name="FunnelHeight">#REF!</definedName>
    <definedName name="FunnelLeft" localSheetId="22">#REF!</definedName>
    <definedName name="FunnelLeft" localSheetId="23">#REF!</definedName>
    <definedName name="FunnelLeft" localSheetId="51">#REF!</definedName>
    <definedName name="FunnelLeft">#REF!</definedName>
    <definedName name="FunnelOvalRatio" localSheetId="22">#REF!</definedName>
    <definedName name="FunnelOvalRatio" localSheetId="23">#REF!</definedName>
    <definedName name="FunnelOvalRatio" localSheetId="51">#REF!</definedName>
    <definedName name="FunnelOvalRatio">#REF!</definedName>
    <definedName name="FunnelReqTotal" localSheetId="22">#REF!</definedName>
    <definedName name="FunnelReqTotal" localSheetId="23">#REF!</definedName>
    <definedName name="FunnelReqTotal" localSheetId="51">#REF!</definedName>
    <definedName name="FunnelReqTotal">#REF!</definedName>
    <definedName name="FunnelRequirement" localSheetId="22">#REF!</definedName>
    <definedName name="FunnelRequirement" localSheetId="23">#REF!</definedName>
    <definedName name="FunnelRequirement" localSheetId="51">#REF!</definedName>
    <definedName name="FunnelRequirement">#REF!</definedName>
    <definedName name="FunnelTop" localSheetId="22">#REF!</definedName>
    <definedName name="FunnelTop" localSheetId="23">#REF!</definedName>
    <definedName name="FunnelTop" localSheetId="51">#REF!</definedName>
    <definedName name="FunnelTop">#REF!</definedName>
    <definedName name="FunnelTopWidth" localSheetId="22">#REF!</definedName>
    <definedName name="FunnelTopWidth" localSheetId="23">#REF!</definedName>
    <definedName name="FunnelTopWidth" localSheetId="51">#REF!</definedName>
    <definedName name="FunnelTopWidth">#REF!</definedName>
    <definedName name="FunnelTotalDetail" localSheetId="22">#REF!</definedName>
    <definedName name="FunnelTotalDetail" localSheetId="23">#REF!</definedName>
    <definedName name="FunnelTotalDetail" localSheetId="51">#REF!</definedName>
    <definedName name="FunnelTotalDetail">#REF!</definedName>
    <definedName name="FunnelZoom" localSheetId="22">#REF!</definedName>
    <definedName name="FunnelZoom" localSheetId="23">#REF!</definedName>
    <definedName name="FunnelZoom" localSheetId="51">#REF!</definedName>
    <definedName name="FunnelZoom">#REF!</definedName>
    <definedName name="FunPctFontSize" localSheetId="22">#REF!</definedName>
    <definedName name="FunPctFontSize" localSheetId="23">#REF!</definedName>
    <definedName name="FunPctFontSize" localSheetId="51">#REF!</definedName>
    <definedName name="FunPctFontSize">#REF!</definedName>
    <definedName name="FunReqTag" localSheetId="22">#REF!</definedName>
    <definedName name="FunReqTag" localSheetId="23">#REF!</definedName>
    <definedName name="FunReqTag" localSheetId="51">#REF!</definedName>
    <definedName name="FunReqTag">#REF!</definedName>
    <definedName name="FyFunnelSpecialColCount" localSheetId="22">#REF!</definedName>
    <definedName name="FyFunnelSpecialColCount" localSheetId="23">#REF!</definedName>
    <definedName name="FyFunnelSpecialColCount" localSheetId="51">#REF!</definedName>
    <definedName name="FyFunnelSpecialColCount">#REF!</definedName>
    <definedName name="G" localSheetId="22">#REF!</definedName>
    <definedName name="G" localSheetId="23">#REF!</definedName>
    <definedName name="G">#REF!</definedName>
    <definedName name="G_F">#N/A</definedName>
    <definedName name="G0" localSheetId="22">#REF!</definedName>
    <definedName name="G0" localSheetId="23">#REF!</definedName>
    <definedName name="G0">#REF!</definedName>
    <definedName name="gagad" hidden="1">{"toptrial",#N/A,TRUE,"toptrial";"adjustment",#N/A,TRUE,"toptrial";"voucher",#N/A,TRUE,"toptrial"}</definedName>
    <definedName name="gap" localSheetId="22">#REF!</definedName>
    <definedName name="gap" localSheetId="23">#REF!</definedName>
    <definedName name="gap">#REF!</definedName>
    <definedName name="gbgggg" localSheetId="22" hidden="1">#REF!</definedName>
    <definedName name="gbgggg" localSheetId="23" hidden="1">#REF!</definedName>
    <definedName name="gbgggg" localSheetId="51" hidden="1">#REF!</definedName>
    <definedName name="gbgggg" hidden="1">#REF!</definedName>
    <definedName name="gdaad" hidden="1">{"toptrial",#N/A,TRUE,"toptrial";"adjustment",#N/A,TRUE,"toptrial";"voucher",#N/A,TRUE,"toptrial"}</definedName>
    <definedName name="gdad" hidden="1">{"toptrial",#N/A,TRUE,"toptrial";"adjustment",#N/A,TRUE,"toptrial";"voucher",#N/A,TRUE,"toptrial"}</definedName>
    <definedName name="gdagad" hidden="1">{"toptrial",#N/A,TRUE,"toptrial";"adjustment",#N/A,TRUE,"toptrial";"voucher",#N/A,TRUE,"toptrial"}</definedName>
    <definedName name="gdagds" hidden="1">{"toptrial",#N/A,TRUE,"toptrial";"adjustment",#N/A,TRUE,"toptrial";"voucher",#N/A,TRUE,"toptrial"}</definedName>
    <definedName name="Gearing" localSheetId="22">#REF!</definedName>
    <definedName name="Gearing" localSheetId="23">#REF!</definedName>
    <definedName name="Gearing">#REF!</definedName>
    <definedName name="Gearinglevel" localSheetId="22">#REF!</definedName>
    <definedName name="Gearinglevel" localSheetId="23">#REF!</definedName>
    <definedName name="Gearinglevel">#REF!</definedName>
    <definedName name="general" localSheetId="22" hidden="1">#REF!</definedName>
    <definedName name="general" localSheetId="23" hidden="1">#REF!</definedName>
    <definedName name="general" localSheetId="51" hidden="1">#REF!</definedName>
    <definedName name="general" hidden="1">#REF!</definedName>
    <definedName name="ggggggf" hidden="1">{"orixcsc",#N/A,FALSE,"ORIX CSC";"orixcsc2",#N/A,FALSE,"ORIX CSC"}</definedName>
    <definedName name="gggggggggggg" hidden="1">{"coverall",#N/A,FALSE,"Definitions";"cover1",#N/A,FALSE,"Definitions";"cover2",#N/A,FALSE,"Definitions";"cover3",#N/A,FALSE,"Definitions";"cover4",#N/A,FALSE,"Definitions";"cover5",#N/A,FALSE,"Definitions";"blank",#N/A,FALSE,"Definitions"}</definedName>
    <definedName name="ghdgrht" localSheetId="22">#REF!</definedName>
    <definedName name="ghdgrht" localSheetId="23">#REF!</definedName>
    <definedName name="ghdgrht">#REF!</definedName>
    <definedName name="ghhghd" hidden="1">{"mgmt forecast",#N/A,FALSE,"Mgmt Forecast";"dcf table",#N/A,FALSE,"Mgmt Forecast";"sensitivity",#N/A,FALSE,"Mgmt Forecast";"table inputs",#N/A,FALSE,"Mgmt Forecast";"calculations",#N/A,FALSE,"Mgmt Forecast"}</definedName>
    <definedName name="ghhghd_1" hidden="1">{"mgmt forecast",#N/A,FALSE,"Mgmt Forecast";"dcf table",#N/A,FALSE,"Mgmt Forecast";"sensitivity",#N/A,FALSE,"Mgmt Forecast";"table inputs",#N/A,FALSE,"Mgmt Forecast";"calculations",#N/A,FALSE,"Mgmt Forecast"}</definedName>
    <definedName name="ghhghd_1_1" hidden="1">{"mgmt forecast",#N/A,FALSE,"Mgmt Forecast";"dcf table",#N/A,FALSE,"Mgmt Forecast";"sensitivity",#N/A,FALSE,"Mgmt Forecast";"table inputs",#N/A,FALSE,"Mgmt Forecast";"calculations",#N/A,FALSE,"Mgmt Forecast"}</definedName>
    <definedName name="ghhhg" hidden="1">{#N/A,#N/A,FALSE,"ORIX CSC"}</definedName>
    <definedName name="ghhhg_1" hidden="1">{#N/A,#N/A,FALSE,"ORIX CSC"}</definedName>
    <definedName name="ghhhg_1_1" hidden="1">{#N/A,#N/A,FALSE,"ORIX CSC"}</definedName>
    <definedName name="GNE" localSheetId="22">#REF!</definedName>
    <definedName name="GNE" localSheetId="23">#REF!</definedName>
    <definedName name="GNE" localSheetId="51">#REF!</definedName>
    <definedName name="GNE">#REF!</definedName>
    <definedName name="GO" localSheetId="22">#REF!</definedName>
    <definedName name="GO" localSheetId="23">#REF!</definedName>
    <definedName name="GO">#REF!</definedName>
    <definedName name="gooch" hidden="1">{#N/A,#N/A,FALSE,"Projections";#N/A,#N/A,FALSE,"Multiples Valuation";#N/A,#N/A,FALSE,"LBO";#N/A,#N/A,FALSE,"Multiples_Sensitivity";#N/A,#N/A,FALSE,"Summary"}</definedName>
    <definedName name="gooch_1" hidden="1">{#N/A,#N/A,FALSE,"Projections";#N/A,#N/A,FALSE,"Multiples Valuation";#N/A,#N/A,FALSE,"LBO";#N/A,#N/A,FALSE,"Multiples_Sensitivity";#N/A,#N/A,FALSE,"Summary"}</definedName>
    <definedName name="gooch_1_1" hidden="1">{#N/A,#N/A,FALSE,"Projections";#N/A,#N/A,FALSE,"Multiples Valuation";#N/A,#N/A,FALSE,"LBO";#N/A,#N/A,FALSE,"Multiples_Sensitivity";#N/A,#N/A,FALSE,"Summary"}</definedName>
    <definedName name="GRAPH1" localSheetId="22">#REF!</definedName>
    <definedName name="GRAPH1" localSheetId="23">#REF!</definedName>
    <definedName name="GRAPH1">#REF!</definedName>
    <definedName name="GRAPH2" localSheetId="22">#REF!</definedName>
    <definedName name="GRAPH2" localSheetId="23">#REF!</definedName>
    <definedName name="GRAPH2">#REF!</definedName>
    <definedName name="GRAPH3" localSheetId="22">#REF!</definedName>
    <definedName name="GRAPH3" localSheetId="23">#REF!</definedName>
    <definedName name="GRAPH3">#REF!</definedName>
    <definedName name="GRAPH4" localSheetId="22">#REF!</definedName>
    <definedName name="GRAPH4" localSheetId="23">#REF!</definedName>
    <definedName name="GRAPH4">#REF!</definedName>
    <definedName name="GRAPH5" localSheetId="22">#REF!</definedName>
    <definedName name="GRAPH5" localSheetId="23">#REF!</definedName>
    <definedName name="GRAPH5">#REF!</definedName>
    <definedName name="GRAPH6" localSheetId="22">#REF!</definedName>
    <definedName name="GRAPH6" localSheetId="23">#REF!</definedName>
    <definedName name="GRAPH6">#REF!</definedName>
    <definedName name="GRAPH7" localSheetId="22">#REF!</definedName>
    <definedName name="GRAPH7" localSheetId="23">#REF!</definedName>
    <definedName name="GRAPH7">#REF!</definedName>
    <definedName name="GRAPH8" localSheetId="22">#REF!</definedName>
    <definedName name="GRAPH8" localSheetId="23">#REF!</definedName>
    <definedName name="GRAPH8">#REF!</definedName>
    <definedName name="GrossAreasqm" localSheetId="22">#REF!</definedName>
    <definedName name="GrossAreasqm" localSheetId="23">#REF!</definedName>
    <definedName name="GrossAreasqm">#REF!</definedName>
    <definedName name="growth" localSheetId="22">#REF!</definedName>
    <definedName name="growth" localSheetId="23">#REF!</definedName>
    <definedName name="growth">#REF!</definedName>
    <definedName name="GrowthRateRange" localSheetId="22">#REF!</definedName>
    <definedName name="GrowthRateRange" localSheetId="23">#REF!</definedName>
    <definedName name="GrowthRateRange">#REF!</definedName>
    <definedName name="gsagfdg" hidden="1">{"toptrial",#N/A,TRUE,"toptrial";"adjustment",#N/A,TRUE,"toptrial";"voucher",#N/A,TRUE,"toptrial"}</definedName>
    <definedName name="GSEstAnnlNOI" localSheetId="22">#REF!</definedName>
    <definedName name="GSEstAnnlNOI" localSheetId="23">#REF!</definedName>
    <definedName name="GSEstAnnlNOI">#REF!</definedName>
    <definedName name="gtgtg" localSheetId="22" hidden="1">#REF!</definedName>
    <definedName name="gtgtg" localSheetId="23" hidden="1">#REF!</definedName>
    <definedName name="gtgtg" localSheetId="51" hidden="1">#REF!</definedName>
    <definedName name="gtgtg" hidden="1">#REF!</definedName>
    <definedName name="gtttttt" localSheetId="22" hidden="1">#REF!</definedName>
    <definedName name="gtttttt" localSheetId="23" hidden="1">#REF!</definedName>
    <definedName name="gtttttt" localSheetId="51" hidden="1">#REF!</definedName>
    <definedName name="gtttttt" hidden="1">#REF!</definedName>
    <definedName name="Guangzhou" localSheetId="22">#REF!</definedName>
    <definedName name="Guangzhou" localSheetId="23">#REF!</definedName>
    <definedName name="Guangzhou">#REF!</definedName>
    <definedName name="h" hidden="1">{"summary1",#N/A,FALSE,"Summary of Values";"summary2",#N/A,FALSE,"Summary of Values";"weighted average returns",#N/A,FALSE,"WACC and WARA";"fixed asset detail",#N/A,FALSE,"Fixed Asset Detail"}</definedName>
    <definedName name="h_1" hidden="1">{"summary1",#N/A,FALSE,"Summary of Values";"summary2",#N/A,FALSE,"Summary of Values";"weighted average returns",#N/A,FALSE,"WACC and WARA";"fixed asset detail",#N/A,FALSE,"Fixed Asset Detail"}</definedName>
    <definedName name="h_1_1" hidden="1">{"summary1",#N/A,FALSE,"Summary of Values";"summary2",#N/A,FALSE,"Summary of Values";"weighted average returns",#N/A,FALSE,"WACC and WARA";"fixed asset detail",#N/A,FALSE,"Fixed Asset Detail"}</definedName>
    <definedName name="hadiah" hidden="1">{#N/A,#N/A,FALSE,"资产负债表";#N/A,#N/A,FALSE,"资产负债表"}</definedName>
    <definedName name="hahah" localSheetId="22">#REF!</definedName>
    <definedName name="hahah" localSheetId="23">#REF!</definedName>
    <definedName name="hahah">#REF!</definedName>
    <definedName name="Header_FMA" localSheetId="22">#REF!</definedName>
    <definedName name="Header_FMA" localSheetId="23">#REF!</definedName>
    <definedName name="Header_FMA" localSheetId="51">#REF!</definedName>
    <definedName name="Header_FMA">#REF!</definedName>
    <definedName name="Header_FOPDetail" localSheetId="22">#REF!</definedName>
    <definedName name="Header_FOPDetail" localSheetId="23">#REF!</definedName>
    <definedName name="Header_FOPDetail" localSheetId="51">#REF!</definedName>
    <definedName name="Header_FOPDetail">#REF!</definedName>
    <definedName name="Header_FOPStatus" localSheetId="22">#REF!</definedName>
    <definedName name="Header_FOPStatus" localSheetId="23">#REF!</definedName>
    <definedName name="Header_FOPStatus" localSheetId="51">#REF!</definedName>
    <definedName name="Header_FOPStatus">#REF!</definedName>
    <definedName name="Header_FOSOppty" localSheetId="22">#REF!</definedName>
    <definedName name="Header_FOSOppty" localSheetId="23">#REF!</definedName>
    <definedName name="Header_FOSOppty" localSheetId="51">#REF!</definedName>
    <definedName name="Header_FOSOppty">#REF!</definedName>
    <definedName name="Header_FOSSalesRep" localSheetId="22">#REF!</definedName>
    <definedName name="Header_FOSSalesRep" localSheetId="23">#REF!</definedName>
    <definedName name="Header_FOSSalesRep" localSheetId="51">#REF!</definedName>
    <definedName name="Header_FOSSalesRep">#REF!</definedName>
    <definedName name="Header_FQBacklogFunnel" localSheetId="22">#REF!</definedName>
    <definedName name="Header_FQBacklogFunnel" localSheetId="23">#REF!</definedName>
    <definedName name="Header_FQBacklogFunnel" localSheetId="51">#REF!</definedName>
    <definedName name="Header_FQBacklogFunnel">#REF!</definedName>
    <definedName name="Header_FqFunnel" localSheetId="22">#REF!</definedName>
    <definedName name="Header_FqFunnel" localSheetId="23">#REF!</definedName>
    <definedName name="Header_FqFunnel" localSheetId="51">#REF!</definedName>
    <definedName name="Header_FqFunnel">#REF!</definedName>
    <definedName name="Header_FqOutCWV" localSheetId="22">#REF!</definedName>
    <definedName name="Header_FqOutCWV" localSheetId="23">#REF!</definedName>
    <definedName name="Header_FqOutCWV" localSheetId="51">#REF!</definedName>
    <definedName name="Header_FqOutCWV">#REF!</definedName>
    <definedName name="Header_FqOutSum" localSheetId="22">#REF!</definedName>
    <definedName name="Header_FqOutSum" localSheetId="23">#REF!</definedName>
    <definedName name="Header_FqOutSum" localSheetId="51">#REF!</definedName>
    <definedName name="Header_FqOutSum">#REF!</definedName>
    <definedName name="Header_FunnelDetail" localSheetId="22">#REF!</definedName>
    <definedName name="Header_FunnelDetail" localSheetId="23">#REF!</definedName>
    <definedName name="Header_FunnelDetail" localSheetId="51">#REF!</definedName>
    <definedName name="Header_FunnelDetail">#REF!</definedName>
    <definedName name="Header_FunnelMatrix" localSheetId="22">#REF!</definedName>
    <definedName name="Header_FunnelMatrix" localSheetId="23">#REF!</definedName>
    <definedName name="Header_FunnelMatrix" localSheetId="51">#REF!</definedName>
    <definedName name="Header_FunnelMatrix">#REF!</definedName>
    <definedName name="Header_FunProb" localSheetId="22">#REF!</definedName>
    <definedName name="Header_FunProb" localSheetId="23">#REF!</definedName>
    <definedName name="Header_FunProb" localSheetId="51">#REF!</definedName>
    <definedName name="Header_FunProb">#REF!</definedName>
    <definedName name="Header_FunStage" localSheetId="22">#REF!</definedName>
    <definedName name="Header_FunStage" localSheetId="23">#REF!</definedName>
    <definedName name="Header_FunStage" localSheetId="51">#REF!</definedName>
    <definedName name="Header_FunStage">#REF!</definedName>
    <definedName name="Header_FyFunBus" localSheetId="22">#REF!</definedName>
    <definedName name="Header_FyFunBus" localSheetId="23">#REF!</definedName>
    <definedName name="Header_FyFunBus" localSheetId="51">#REF!</definedName>
    <definedName name="Header_FyFunBus">#REF!</definedName>
    <definedName name="Header_FyFunCountry" localSheetId="22">#REF!</definedName>
    <definedName name="Header_FyFunCountry" localSheetId="23">#REF!</definedName>
    <definedName name="Header_FyFunCountry" localSheetId="51">#REF!</definedName>
    <definedName name="Header_FyFunCountry">#REF!</definedName>
    <definedName name="Header_FyFunCountryAccount" localSheetId="22">#REF!</definedName>
    <definedName name="Header_FyFunCountryAccount" localSheetId="23">#REF!</definedName>
    <definedName name="Header_FyFunCountryAccount" localSheetId="51">#REF!</definedName>
    <definedName name="Header_FyFunCountryAccount">#REF!</definedName>
    <definedName name="Header_FyFunCWV" localSheetId="22">#REF!</definedName>
    <definedName name="Header_FyFunCWV" localSheetId="23">#REF!</definedName>
    <definedName name="Header_FyFunCWV" localSheetId="51">#REF!</definedName>
    <definedName name="Header_FyFunCWV">#REF!</definedName>
    <definedName name="Header_FyFunCWVCountry" localSheetId="22">#REF!</definedName>
    <definedName name="Header_FyFunCWVCountry" localSheetId="23">#REF!</definedName>
    <definedName name="Header_FyFunCWVCountry" localSheetId="51">#REF!</definedName>
    <definedName name="Header_FyFunCWVCountry">#REF!</definedName>
    <definedName name="Header_FyFunCWVCountryAccount" localSheetId="22">#REF!</definedName>
    <definedName name="Header_FyFunCWVCountryAccount" localSheetId="23">#REF!</definedName>
    <definedName name="Header_FyFunCWVCountryAccount" localSheetId="51">#REF!</definedName>
    <definedName name="Header_FyFunCWVCountryAccount">#REF!</definedName>
    <definedName name="Header_FyFunCWVProd" localSheetId="22">#REF!</definedName>
    <definedName name="Header_FyFunCWVProd" localSheetId="23">#REF!</definedName>
    <definedName name="Header_FyFunCWVProd" localSheetId="51">#REF!</definedName>
    <definedName name="Header_FyFunCWVProd">#REF!</definedName>
    <definedName name="Header_FyFunCWVProdUnitLikely" localSheetId="22">#REF!</definedName>
    <definedName name="Header_FyFunCWVProdUnitLikely" localSheetId="23">#REF!</definedName>
    <definedName name="Header_FyFunCWVProdUnitLikely" localSheetId="51">#REF!</definedName>
    <definedName name="Header_FyFunCWVProdUnitLikely">#REF!</definedName>
    <definedName name="Header_FyFunnel" localSheetId="22">#REF!</definedName>
    <definedName name="Header_FyFunnel" localSheetId="23">#REF!</definedName>
    <definedName name="Header_FyFunnel" localSheetId="51">#REF!</definedName>
    <definedName name="Header_FyFunnel">#REF!</definedName>
    <definedName name="Header_FyFunProd" localSheetId="22">#REF!</definedName>
    <definedName name="Header_FyFunProd" localSheetId="23">#REF!</definedName>
    <definedName name="Header_FyFunProd" localSheetId="51">#REF!</definedName>
    <definedName name="Header_FyFunProd">#REF!</definedName>
    <definedName name="Header_FyFunProdUnit" localSheetId="22">#REF!</definedName>
    <definedName name="Header_FyFunProdUnit" localSheetId="23">#REF!</definedName>
    <definedName name="Header_FyFunProdUnit" localSheetId="51">#REF!</definedName>
    <definedName name="Header_FyFunProdUnit">#REF!</definedName>
    <definedName name="Header_Logo" localSheetId="22">#REF!</definedName>
    <definedName name="Header_Logo" localSheetId="23">#REF!</definedName>
    <definedName name="Header_Logo" localSheetId="51">#REF!</definedName>
    <definedName name="Header_Logo">#REF!</definedName>
    <definedName name="Header_OD" localSheetId="22">#REF!</definedName>
    <definedName name="Header_OD" localSheetId="23">#REF!</definedName>
    <definedName name="Header_OD" localSheetId="51">#REF!</definedName>
    <definedName name="Header_OD">#REF!</definedName>
    <definedName name="Header_OProAct" localSheetId="22">#REF!</definedName>
    <definedName name="Header_OProAct" localSheetId="23">#REF!</definedName>
    <definedName name="Header_OProAct" localSheetId="51">#REF!</definedName>
    <definedName name="Header_OProAct">#REF!</definedName>
    <definedName name="Header_QtrRev" localSheetId="22">#REF!</definedName>
    <definedName name="Header_QtrRev" localSheetId="23">#REF!</definedName>
    <definedName name="Header_QtrRev" localSheetId="51">#REF!</definedName>
    <definedName name="Header_QtrRev">#REF!</definedName>
    <definedName name="Header_QtrSGP" localSheetId="22">#REF!</definedName>
    <definedName name="Header_QtrSGP" localSheetId="23">#REF!</definedName>
    <definedName name="Header_QtrSGP" localSheetId="51">#REF!</definedName>
    <definedName name="Header_QtrSGP">#REF!</definedName>
    <definedName name="Header_RmapAE" localSheetId="22">#REF!</definedName>
    <definedName name="Header_RmapAE" localSheetId="23">#REF!</definedName>
    <definedName name="Header_RmapAE" localSheetId="51">#REF!</definedName>
    <definedName name="Header_RmapAE">#REF!</definedName>
    <definedName name="Header_SFA_MW_Quarter" localSheetId="22">#REF!</definedName>
    <definedName name="Header_SFA_MW_Quarter" localSheetId="23">#REF!</definedName>
    <definedName name="Header_SFA_MW_Quarter" localSheetId="51">#REF!</definedName>
    <definedName name="Header_SFA_MW_Quarter">#REF!</definedName>
    <definedName name="Header_SFA_Quarter" localSheetId="22">#REF!</definedName>
    <definedName name="Header_SFA_Quarter" localSheetId="23">#REF!</definedName>
    <definedName name="Header_SFA_Quarter" localSheetId="51">#REF!</definedName>
    <definedName name="Header_SFA_Quarter">#REF!</definedName>
    <definedName name="Header_SFA_Year" localSheetId="22">#REF!</definedName>
    <definedName name="Header_SFA_Year" localSheetId="23">#REF!</definedName>
    <definedName name="Header_SFA_Year" localSheetId="51">#REF!</definedName>
    <definedName name="Header_SFA_Year">#REF!</definedName>
    <definedName name="Header_SFUNREP" localSheetId="22">#REF!</definedName>
    <definedName name="Header_SFUNREP" localSheetId="23">#REF!</definedName>
    <definedName name="Header_SFUNREP" localSheetId="51">#REF!</definedName>
    <definedName name="Header_SFUNREP">#REF!</definedName>
    <definedName name="Header_Snapshot" localSheetId="22">#REF!</definedName>
    <definedName name="Header_Snapshot" localSheetId="23">#REF!</definedName>
    <definedName name="Header_Snapshot" localSheetId="51">#REF!</definedName>
    <definedName name="Header_Snapshot">#REF!</definedName>
    <definedName name="Header_Snapshot_Detail" localSheetId="22">#REF!</definedName>
    <definedName name="Header_Snapshot_Detail" localSheetId="23">#REF!</definedName>
    <definedName name="Header_Snapshot_Detail" localSheetId="51">#REF!</definedName>
    <definedName name="Header_Snapshot_Detail">#REF!</definedName>
    <definedName name="Header_Summary" localSheetId="22">#REF!</definedName>
    <definedName name="Header_Summary" localSheetId="23">#REF!</definedName>
    <definedName name="Header_Summary" localSheetId="51">#REF!</definedName>
    <definedName name="Header_Summary">#REF!</definedName>
    <definedName name="Header_WinLoss" localSheetId="22">#REF!</definedName>
    <definedName name="Header_WinLoss" localSheetId="23">#REF!</definedName>
    <definedName name="Header_WinLoss" localSheetId="51">#REF!</definedName>
    <definedName name="Header_WinLoss">#REF!</definedName>
    <definedName name="Header_WinMore2" localSheetId="22">#REF!</definedName>
    <definedName name="Header_WinMore2" localSheetId="23">#REF!</definedName>
    <definedName name="Header_WinMore2" localSheetId="51">#REF!</definedName>
    <definedName name="Header_WinMore2">#REF!</definedName>
    <definedName name="HEADINGS" localSheetId="22">#REF!</definedName>
    <definedName name="HEADINGS" localSheetId="23">#REF!</definedName>
    <definedName name="HEADINGS">#REF!</definedName>
    <definedName name="hfhfhfhfhfhf" localSheetId="22" hidden="1">#REF!</definedName>
    <definedName name="hfhfhfhfhfhf" localSheetId="23" hidden="1">#REF!</definedName>
    <definedName name="hfhfhfhfhfhf" localSheetId="51" hidden="1">#REF!</definedName>
    <definedName name="hfhfhfhfhfhf" hidden="1">#REF!</definedName>
    <definedName name="hgrth" hidden="1">{"orixcsc",#N/A,FALSE,"ORIX CSC";"orixcsc2",#N/A,FALSE,"ORIX CSC"}</definedName>
    <definedName name="hgrth_1" hidden="1">{"orixcsc",#N/A,FALSE,"ORIX CSC";"orixcsc2",#N/A,FALSE,"ORIX CSC"}</definedName>
    <definedName name="hgrth_1_1" hidden="1">{"orixcsc",#N/A,FALSE,"ORIX CSC";"orixcsc2",#N/A,FALSE,"ORIX CSC"}</definedName>
    <definedName name="hh" localSheetId="22">#REF!</definedName>
    <definedName name="hh" localSheetId="23">#REF!</definedName>
    <definedName name="hh">#REF!</definedName>
    <definedName name="hhhh"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hhhhhhhh"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hhhhhhhhhhhhhh" hidden="1">{#N/A,#N/A,FALSE,"Contribution Analysis"}</definedName>
    <definedName name="HighColor" localSheetId="22">#REF!</definedName>
    <definedName name="HighColor" localSheetId="23">#REF!</definedName>
    <definedName name="HighColor" localSheetId="51">#REF!</definedName>
    <definedName name="HighColor">#REF!</definedName>
    <definedName name="HighLower" localSheetId="22">#REF!</definedName>
    <definedName name="HighLower" localSheetId="23">#REF!</definedName>
    <definedName name="HighLower" localSheetId="51">#REF!</definedName>
    <definedName name="HighLower">#REF!</definedName>
    <definedName name="HighUpper" localSheetId="22">#REF!</definedName>
    <definedName name="HighUpper" localSheetId="23">#REF!</definedName>
    <definedName name="HighUpper" localSheetId="51">#REF!</definedName>
    <definedName name="HighUpper">#REF!</definedName>
    <definedName name="hingwai" localSheetId="22">#REF!</definedName>
    <definedName name="hingwai" localSheetId="23">#REF!</definedName>
    <definedName name="hingwai">#REF!</definedName>
    <definedName name="HIRE_1" localSheetId="22">#REF!</definedName>
    <definedName name="HIRE_1" localSheetId="23">#REF!</definedName>
    <definedName name="HIRE_1">#REF!</definedName>
    <definedName name="HIRE_2" localSheetId="22">#REF!</definedName>
    <definedName name="HIRE_2" localSheetId="23">#REF!</definedName>
    <definedName name="HIRE_2">#REF!</definedName>
    <definedName name="HIRE_3" localSheetId="22">#REF!</definedName>
    <definedName name="HIRE_3" localSheetId="23">#REF!</definedName>
    <definedName name="HIRE_3">#REF!</definedName>
    <definedName name="HIRE_4" localSheetId="22">#REF!</definedName>
    <definedName name="HIRE_4" localSheetId="23">#REF!</definedName>
    <definedName name="HIRE_4">#REF!</definedName>
    <definedName name="HIRE_MAIN" localSheetId="22">#REF!</definedName>
    <definedName name="HIRE_MAIN" localSheetId="23">#REF!</definedName>
    <definedName name="HIRE_MAIN">#REF!</definedName>
    <definedName name="hjhjj" hidden="1">{#N/A,#N/A,FALSE,"ORIX CSC"}</definedName>
    <definedName name="hjhjj_1" hidden="1">{#N/A,#N/A,FALSE,"ORIX CSC"}</definedName>
    <definedName name="hjhjj_1_1" hidden="1">{#N/A,#N/A,FALSE,"ORIX CSC"}</definedName>
    <definedName name="hn.ExtDb">FALSE</definedName>
    <definedName name="hn.ModelType">"DEAL"</definedName>
    <definedName name="hn.ModelVersion">1</definedName>
    <definedName name="hn.NoUpload">0</definedName>
    <definedName name="hod" hidden="1">{#N/A,#N/A,FALSE,"TS";#N/A,#N/A,FALSE,"Combo";#N/A,#N/A,FALSE,"FAIR";#N/A,#N/A,FALSE,"RBC";#N/A,#N/A,FALSE,"xxxx";#N/A,#N/A,FALSE,"A_D";#N/A,#N/A,FALSE,"WACC";#N/A,#N/A,FALSE,"DCF";#N/A,#N/A,FALSE,"LBO";#N/A,#N/A,FALSE,"AcqMults";#N/A,#N/A,FALSE,"CompMults"}</definedName>
    <definedName name="hod_1" hidden="1">{#N/A,#N/A,FALSE,"TS";#N/A,#N/A,FALSE,"Combo";#N/A,#N/A,FALSE,"FAIR";#N/A,#N/A,FALSE,"RBC";#N/A,#N/A,FALSE,"xxxx";#N/A,#N/A,FALSE,"A_D";#N/A,#N/A,FALSE,"WACC";#N/A,#N/A,FALSE,"DCF";#N/A,#N/A,FALSE,"LBO";#N/A,#N/A,FALSE,"AcqMults";#N/A,#N/A,FALSE,"CompMults"}</definedName>
    <definedName name="hod_1_1" hidden="1">{#N/A,#N/A,FALSE,"TS";#N/A,#N/A,FALSE,"Combo";#N/A,#N/A,FALSE,"FAIR";#N/A,#N/A,FALSE,"RBC";#N/A,#N/A,FALSE,"xxxx";#N/A,#N/A,FALSE,"A_D";#N/A,#N/A,FALSE,"WACC";#N/A,#N/A,FALSE,"DCF";#N/A,#N/A,FALSE,"LBO";#N/A,#N/A,FALSE,"AcqMults";#N/A,#N/A,FALSE,"CompMults"}</definedName>
    <definedName name="HoldPeriod" localSheetId="22">#REF!</definedName>
    <definedName name="HoldPeriod" localSheetId="23">#REF!</definedName>
    <definedName name="HoldPeriod">#REF!</definedName>
    <definedName name="houy" hidden="1">{#N/A,#N/A,FALSE,"AD_Purchase";#N/A,#N/A,FALSE,"Credit";#N/A,#N/A,FALSE,"PF Acquisition";#N/A,#N/A,FALSE,"PF Offering"}</definedName>
    <definedName name="houy_1" hidden="1">{#N/A,#N/A,FALSE,"AD_Purchase";#N/A,#N/A,FALSE,"Credit";#N/A,#N/A,FALSE,"PF Acquisition";#N/A,#N/A,FALSE,"PF Offering"}</definedName>
    <definedName name="houy_1_1" hidden="1">{#N/A,#N/A,FALSE,"AD_Purchase";#N/A,#N/A,FALSE,"Credit";#N/A,#N/A,FALSE,"PF Acquisition";#N/A,#N/A,FALSE,"PF Offering"}</definedName>
    <definedName name="HP_Config_WS715_List" localSheetId="22">#REF!</definedName>
    <definedName name="HP_Config_WS715_List" localSheetId="23">#REF!</definedName>
    <definedName name="HP_Config_WS715_List" localSheetId="51">#REF!</definedName>
    <definedName name="HP_Config_WS715_List">#REF!</definedName>
    <definedName name="HPEC">"哈尔滨动力设备股份有限公司"</definedName>
    <definedName name="HTJE_2">#N/A</definedName>
    <definedName name="HTJE_3">#N/A</definedName>
    <definedName name="HTJE_5">#N/A</definedName>
    <definedName name="html" hidden="1">{"'Sheet1'!$A$1:$J$57","'Sheet1'!$F$32:$F$35","'Sheet1'!$F$32:$F$36"}</definedName>
    <definedName name="HTML_CodePage" hidden="1">936</definedName>
    <definedName name="HTML_Control" hidden="1">{"'home'!$F$26","'home'!$A$1:$J$25"}</definedName>
    <definedName name="HTML_Control_1" hidden="1">{"'Sheet1'!$A$1:$H$145"}</definedName>
    <definedName name="HTML_Control_1_1" hidden="1">{"'Sheet1'!$A$1:$H$145"}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PathFileMac" hidden="1">"Macintosh HD:HomePageStuff:New_Home_Page:datafile:ctryprem.html"</definedName>
    <definedName name="HTML_Title" hidden="1">"index"</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"[poolprices.xls]Sheet1!$A$3:$F$16"</definedName>
    <definedName name="HTML2_10" hidden="1">"robert.schulten@corporate.ge.com"</definedName>
    <definedName name="HTML2_11" hidden="1">1</definedName>
    <definedName name="HTML2_12" hidden="1">"C:\webpage\poolpri2.htm"</definedName>
    <definedName name="HTML2_2" hidden="1">1</definedName>
    <definedName name="HTML2_3" hidden="1">"Consigned Metals Prices"</definedName>
    <definedName name="HTML2_4" hidden="1">"Consigned Metals Prices"</definedName>
    <definedName name="HTML2_5" hidden="1">"(Cents/Lb.)"</definedName>
    <definedName name="HTML2_6" hidden="1">1</definedName>
    <definedName name="HTML2_7" hidden="1">1</definedName>
    <definedName name="HTML2_8" hidden="1">"3/11/97"</definedName>
    <definedName name="HTML2_9" hidden="1">"Robert M. Schulten"</definedName>
    <definedName name="HTML3_1" hidden="1">"[poolprices.xls]Sheet1!$A$3:$F$17"</definedName>
    <definedName name="HTML3_10" hidden="1">"robert.schulten@corporate.ge.com"</definedName>
    <definedName name="HTML3_11" hidden="1">1</definedName>
    <definedName name="HTML3_12" hidden="1">"C:\webpage\MyHTML.htm"</definedName>
    <definedName name="HTML3_2" hidden="1">1</definedName>
    <definedName name="HTML3_3" hidden="1">"Consigned Metals Prices"</definedName>
    <definedName name="HTML3_4" hidden="1">"Consigned Metals Prices"</definedName>
    <definedName name="HTML3_5" hidden="1">"(Cents/lb)"</definedName>
    <definedName name="HTML3_6" hidden="1">-4146</definedName>
    <definedName name="HTML3_7" hidden="1">-4146</definedName>
    <definedName name="HTML3_8" hidden="1">"3/11/97"</definedName>
    <definedName name="HTML3_9" hidden="1">"Robert M. Schulten"</definedName>
    <definedName name="HTML4_1" hidden="1">"'[$Isrs609.xls]Sheet2'!$A$1:$D$62"</definedName>
    <definedName name="HTML4_10" hidden="1">""</definedName>
    <definedName name="HTML4_11" hidden="1">1</definedName>
    <definedName name="HTML4_12" hidden="1">"C:\Web\MyHTML.htm"</definedName>
    <definedName name="HTML4_2" hidden="1">1</definedName>
    <definedName name="HTML4_3" hidden="1">""</definedName>
    <definedName name="HTML4_4" hidden="1">"RANKING OF I/S ENTITIES"</definedName>
    <definedName name="HTML4_5" hidden="1">"L indicates a Large Operating Entity with Sales &gt; $150 million
M indicates a Medium Operating Entity with Sales &lt; $150 million
S indicates a Small Operating Entity with Sales &lt; $50 million"</definedName>
    <definedName name="HTML4_6" hidden="1">-4146</definedName>
    <definedName name="HTML4_7" hidden="1">-4146</definedName>
    <definedName name="HTML4_8" hidden="1">"11/14/96"</definedName>
    <definedName name="HTML4_9" hidden="1">"Michel Mercier"</definedName>
    <definedName name="HTML5_1" hidden="1">"'[$Isrs609.xls]Sheet2'!$A$1:$D$66"</definedName>
    <definedName name="HTML5_10" hidden="1">""</definedName>
    <definedName name="HTML5_11" hidden="1">1</definedName>
    <definedName name="HTML5_12" hidden="1">"C:\Web\MyHTML.htm"</definedName>
    <definedName name="HTML5_2" hidden="1">1</definedName>
    <definedName name="HTML5_3" hidden="1">"Ranking IS Entities"</definedName>
    <definedName name="HTML5_4" hidden="1">"RANKING OF I/S ENTITIES"</definedName>
    <definedName name="HTML5_5" hidden="1">""</definedName>
    <definedName name="HTML5_6" hidden="1">1</definedName>
    <definedName name="HTML5_7" hidden="1">1</definedName>
    <definedName name="HTML5_8" hidden="1">"11/14/96"</definedName>
    <definedName name="HTML5_9" hidden="1">"Michel Mercier"</definedName>
    <definedName name="HTML6_1" hidden="1">"'[$Isrs609.xls]Sheet2'!$A$1:$D$65"</definedName>
    <definedName name="HTML6_10" hidden="1">""</definedName>
    <definedName name="HTML6_11" hidden="1">1</definedName>
    <definedName name="HTML6_12" hidden="1">"C:\Web\MyHTML.htm"</definedName>
    <definedName name="HTML6_2" hidden="1">1</definedName>
    <definedName name="HTML6_3" hidden="1">"Ranking IS Entities"</definedName>
    <definedName name="HTML6_4" hidden="1">"RANKING OF I/S ENTITIES"</definedName>
    <definedName name="HTML6_5" hidden="1">""</definedName>
    <definedName name="HTML6_6" hidden="1">-4146</definedName>
    <definedName name="HTML6_7" hidden="1">-4146</definedName>
    <definedName name="HTML6_8" hidden="1">"11/14/96"</definedName>
    <definedName name="HTML6_9" hidden="1">"Michel Mercier"</definedName>
    <definedName name="HTMLCount" hidden="1">1</definedName>
    <definedName name="hueoa" hidden="1">{#N/A,#N/A,FALSE,"资产负债表";#N/A,#N/A,FALSE,"资产负债表"}</definedName>
    <definedName name="HUSI" hidden="1">{"'Check Request'!$A$1:$BF$37"}</definedName>
    <definedName name="HWSheet">1</definedName>
    <definedName name="I" localSheetId="22">#REF!</definedName>
    <definedName name="I" localSheetId="23">#REF!</definedName>
    <definedName name="I">#REF!</definedName>
    <definedName name="i_?3" localSheetId="22">#REF!</definedName>
    <definedName name="i_?3" localSheetId="23">#REF!</definedName>
    <definedName name="i_?3">#REF!</definedName>
    <definedName name="i_E__.3" localSheetId="22">#REF!</definedName>
    <definedName name="i_E__.3" localSheetId="23">#REF!</definedName>
    <definedName name="i_E__.3">#REF!</definedName>
    <definedName name="i_E_O" localSheetId="22">#REF!</definedName>
    <definedName name="i_E_O" localSheetId="23">#REF!</definedName>
    <definedName name="i_E_O">#REF!</definedName>
    <definedName name="i_E_O__.3" localSheetId="22">#REF!</definedName>
    <definedName name="i_E_O__.3" localSheetId="23">#REF!</definedName>
    <definedName name="i_E_O__.3">#REF!</definedName>
    <definedName name="idididiididididididididi" localSheetId="22" hidden="1">#REF!</definedName>
    <definedName name="idididiididididididididi" localSheetId="23" hidden="1">#REF!</definedName>
    <definedName name="idididiididididididididi" localSheetId="51" hidden="1">#REF!</definedName>
    <definedName name="idididiididididididididi" hidden="1">#REF!</definedName>
    <definedName name="IE" localSheetId="22">#REF!</definedName>
    <definedName name="IE" localSheetId="23">#REF!</definedName>
    <definedName name="IE">#REF!</definedName>
    <definedName name="IEPeXToEUR" localSheetId="22" hidden="1">1/EUReXToIEP</definedName>
    <definedName name="IEPeXToEUR" localSheetId="23" hidden="1">1/EUReXToIEP</definedName>
    <definedName name="IEPeXToEUR" localSheetId="51" hidden="1">1/EUReXToIEP</definedName>
    <definedName name="IEPeXToEUR" hidden="1">1/EUReXToIEP</definedName>
    <definedName name="IEWORKSHEET" localSheetId="22">#REF!</definedName>
    <definedName name="IEWORKSHEET" localSheetId="23">#REF!</definedName>
    <definedName name="IEWORKSHEET">#REF!</definedName>
    <definedName name="if" localSheetId="22">#REF!</definedName>
    <definedName name="if" localSheetId="23">#REF!</definedName>
    <definedName name="if">#REF!</definedName>
    <definedName name="ikiikikiki" localSheetId="22" hidden="1">#REF!</definedName>
    <definedName name="ikiikikiki" localSheetId="23" hidden="1">#REF!</definedName>
    <definedName name="ikiikikiki" localSheetId="51" hidden="1">#REF!</definedName>
    <definedName name="ikiikikiki" hidden="1">#REF!</definedName>
    <definedName name="ilili" localSheetId="22" hidden="1">#REF!</definedName>
    <definedName name="ilili" localSheetId="23" hidden="1">#REF!</definedName>
    <definedName name="ilili" localSheetId="51" hidden="1">#REF!</definedName>
    <definedName name="ilili" hidden="1">#REF!</definedName>
    <definedName name="ilililili" localSheetId="22" hidden="1">#REF!</definedName>
    <definedName name="ilililili" localSheetId="23" hidden="1">#REF!</definedName>
    <definedName name="ilililili" localSheetId="51" hidden="1">#REF!</definedName>
    <definedName name="ilililili" hidden="1">#REF!</definedName>
    <definedName name="ImportFile">#N/A</definedName>
    <definedName name="Income" localSheetId="22">#REF!</definedName>
    <definedName name="Income" localSheetId="23">#REF!</definedName>
    <definedName name="Income">#REF!</definedName>
    <definedName name="index" localSheetId="22" hidden="1">#REF!</definedName>
    <definedName name="index" localSheetId="23" hidden="1">#REF!</definedName>
    <definedName name="index" localSheetId="51" hidden="1">#REF!</definedName>
    <definedName name="index" hidden="1">#REF!</definedName>
    <definedName name="index2" localSheetId="22" hidden="1">#REF!</definedName>
    <definedName name="index2" localSheetId="23" hidden="1">#REF!</definedName>
    <definedName name="index2" localSheetId="51" hidden="1">#REF!</definedName>
    <definedName name="index2" hidden="1">#REF!</definedName>
    <definedName name="ini_button_Click">#N/A</definedName>
    <definedName name="InputArea" localSheetId="22">#REF!</definedName>
    <definedName name="InputArea" localSheetId="23">#REF!</definedName>
    <definedName name="InputArea">#REF!</definedName>
    <definedName name="InputCap" localSheetId="22">#REF!</definedName>
    <definedName name="InputCap" localSheetId="23">#REF!</definedName>
    <definedName name="InputCap">#REF!</definedName>
    <definedName name="InputPrice" localSheetId="22">#REF!</definedName>
    <definedName name="InputPrice" localSheetId="23">#REF!</definedName>
    <definedName name="InputPrice">#REF!</definedName>
    <definedName name="int_ext_sel">1</definedName>
    <definedName name="Investment1">#N/A</definedName>
    <definedName name="Investment2">#N/A</definedName>
    <definedName name="io"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 hidden="1">"c231"</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O_EST" hidden="1">"c267"</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1" hidden="1">"IQ_EPS_EST_1"</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_EST" hidden="1">"c271"</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URPRISE" hidden="1">"c1635"</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NO_EST" hidden="1">"c276"</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"06/09/2014 06:07:21"</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O_EST" hidden="1">"c263"</definedName>
    <definedName name="IQ_REVENUE_NUM_EST" hidden="1">"c1129"</definedName>
    <definedName name="IQ_REVENUE_NUM_EST_REUT" hidden="1">"c3638"</definedName>
    <definedName name="IQ_REVISION_DATE_" hidden="1">39622.4818981482</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COMPSE5" localSheetId="22" hidden="1">#REF!</definedName>
    <definedName name="IQRCOMPSE5" localSheetId="23" hidden="1">#REF!</definedName>
    <definedName name="IQRCOMPSE5" localSheetId="51" hidden="1">#REF!</definedName>
    <definedName name="IQRCOMPSE5" hidden="1">#REF!</definedName>
    <definedName name="IRR_20percentdiscount" localSheetId="22">#REF!</definedName>
    <definedName name="IRR_20percentdiscount" localSheetId="23">#REF!</definedName>
    <definedName name="IRR_20percentdiscount">#REF!</definedName>
    <definedName name="IRR_30percentdiscount" localSheetId="22">#REF!</definedName>
    <definedName name="IRR_30percentdiscount" localSheetId="23">#REF!</definedName>
    <definedName name="IRR_30percentdiscount">#REF!</definedName>
    <definedName name="IRR_30percentiscount" localSheetId="22">#REF!</definedName>
    <definedName name="IRR_30percentiscount" localSheetId="23">#REF!</definedName>
    <definedName name="IRR_30percentiscount">#REF!</definedName>
    <definedName name="IRR_35percentdiscount" localSheetId="22">#REF!</definedName>
    <definedName name="IRR_35percentdiscount" localSheetId="23">#REF!</definedName>
    <definedName name="IRR_35percentdiscount">#REF!</definedName>
    <definedName name="IRR_40percentdiscount" localSheetId="22">#REF!</definedName>
    <definedName name="IRR_40percentdiscount" localSheetId="23">#REF!</definedName>
    <definedName name="IRR_40percentdiscount">#REF!</definedName>
    <definedName name="IRR_Nodiscount" localSheetId="22">#REF!</definedName>
    <definedName name="IRR_Nodiscount" localSheetId="23">#REF!</definedName>
    <definedName name="IRR_Nodiscount">#REF!</definedName>
    <definedName name="IsColHidden">FALSE</definedName>
    <definedName name="IsLTMColHidden">FALSE</definedName>
    <definedName name="ITLeXToEUR" localSheetId="22" hidden="1">1/EUReXToITL</definedName>
    <definedName name="ITLeXToEUR" localSheetId="23" hidden="1">1/EUReXToITL</definedName>
    <definedName name="ITLeXToEUR" localSheetId="51" hidden="1">1/EUReXToITL</definedName>
    <definedName name="ITLeXToEUR" hidden="1">1/EUReXToITL</definedName>
    <definedName name="IU" hidden="1">{"'Check Request'!$A$1:$BF$37"}</definedName>
    <definedName name="j" hidden="1">{"summary1",#N/A,FALSE,"Summary of Values";"summary2",#N/A,FALSE,"Summary of Values"}</definedName>
    <definedName name="j_1" hidden="1">{"summary1",#N/A,FALSE,"Summary of Values";"summary2",#N/A,FALSE,"Summary of Values"}</definedName>
    <definedName name="j_1_1" hidden="1">{"summary1",#N/A,FALSE,"Summary of Values";"summary2",#N/A,FALSE,"Summary of Values"}</definedName>
    <definedName name="January" localSheetId="22">#REF!</definedName>
    <definedName name="January" localSheetId="23">#REF!</definedName>
    <definedName name="January">#REF!</definedName>
    <definedName name="jhgjhgjghj" hidden="1">{"mgmt forecast",#N/A,FALSE,"Mgmt Forecast";"dcf table",#N/A,FALSE,"Mgmt Forecast";"sensitivity",#N/A,FALSE,"Mgmt Forecast";"table inputs",#N/A,FALSE,"Mgmt Forecast";"calculations",#N/A,FALSE,"Mgmt Forecast"}</definedName>
    <definedName name="jhgjhgjghj_1" hidden="1">{"mgmt forecast",#N/A,FALSE,"Mgmt Forecast";"dcf table",#N/A,FALSE,"Mgmt Forecast";"sensitivity",#N/A,FALSE,"Mgmt Forecast";"table inputs",#N/A,FALSE,"Mgmt Forecast";"calculations",#N/A,FALSE,"Mgmt Forecast"}</definedName>
    <definedName name="jhgjhgjghj_1_1" hidden="1">{"mgmt forecast",#N/A,FALSE,"Mgmt Forecast";"dcf table",#N/A,FALSE,"Mgmt Forecast";"sensitivity",#N/A,FALSE,"Mgmt Forecast";"table inputs",#N/A,FALSE,"Mgmt Forecast";"calculations",#N/A,FALSE,"Mgmt Forecast"}</definedName>
    <definedName name="jhkkjk" hidden="1">{"mgmt forecast",#N/A,FALSE,"Mgmt Forecast";"dcf table",#N/A,FALSE,"Mgmt Forecast";"sensitivity",#N/A,FALSE,"Mgmt Forecast";"table inputs",#N/A,FALSE,"Mgmt Forecast";"calculations",#N/A,FALSE,"Mgmt Forecast"}</definedName>
    <definedName name="jhkkjk_1" hidden="1">{"mgmt forecast",#N/A,FALSE,"Mgmt Forecast";"dcf table",#N/A,FALSE,"Mgmt Forecast";"sensitivity",#N/A,FALSE,"Mgmt Forecast";"table inputs",#N/A,FALSE,"Mgmt Forecast";"calculations",#N/A,FALSE,"Mgmt Forecast"}</definedName>
    <definedName name="jhkkjk_1_1" hidden="1">{"mgmt forecast",#N/A,FALSE,"Mgmt Forecast";"dcf table",#N/A,FALSE,"Mgmt Forecast";"sensitivity",#N/A,FALSE,"Mgmt Forecast";"table inputs",#N/A,FALSE,"Mgmt Forecast";"calculations",#N/A,FALSE,"Mgmt Forecast"}</definedName>
    <definedName name="jierwt" localSheetId="22">#REF!</definedName>
    <definedName name="jierwt" localSheetId="23">#REF!</definedName>
    <definedName name="jierwt">#REF!</definedName>
    <definedName name="jj" hidden="1">{"developed valuation",#N/A,FALSE,"Valuation Analysis";"developed income statement",#N/A,FALSE,"Abbreviated Income Statement";"inprocess valuation",#N/A,FALSE,"Valuation Analysis";"inprocess income statement",#N/A,FALSE,"Abbreviated Income Statement"}</definedName>
    <definedName name="jj_1" hidden="1">{"developed valuation",#N/A,FALSE,"Valuation Analysis";"developed income statement",#N/A,FALSE,"Abbreviated Income Statement";"inprocess valuation",#N/A,FALSE,"Valuation Analysis";"inprocess income statement",#N/A,FALSE,"Abbreviated Income Statement"}</definedName>
    <definedName name="jj_1_1" hidden="1">{"developed valuation",#N/A,FALSE,"Valuation Analysis";"developed income statement",#N/A,FALSE,"Abbreviated Income Statement";"inprocess valuation",#N/A,FALSE,"Valuation Analysis";"inprocess income statement",#N/A,FALSE,"Abbreviated Income Statement"}</definedName>
    <definedName name="jjj" hidden="1">{"CSheet",#N/A,FALSE,"C";"SmCap",#N/A,FALSE,"VAL1";"GulfCoast",#N/A,FALSE,"VAL1";"nav",#N/A,FALSE,"NAV";"Summary",#N/A,FALSE,"NAV"}</definedName>
    <definedName name="jjj_1" hidden="1">{"CSheet",#N/A,FALSE,"C";"SmCap",#N/A,FALSE,"VAL1";"GulfCoast",#N/A,FALSE,"VAL1";"nav",#N/A,FALSE,"NAV";"Summary",#N/A,FALSE,"NAV"}</definedName>
    <definedName name="jjj_1_1" hidden="1">{"CSheet",#N/A,FALSE,"C";"SmCap",#N/A,FALSE,"VAL1";"GulfCoast",#N/A,FALSE,"VAL1";"nav",#N/A,FALSE,"NAV";"Summary",#N/A,FALSE,"NAV"}</definedName>
    <definedName name="jjjj" hidden="1">{"Total",#N/A,FALSE,"Total Proved";"PDP",#N/A,FALSE,"Total Proved";"PNP",#N/A,FALSE,"Total Proved";"PUD",#N/A,FALSE,"Total Proved"}</definedName>
    <definedName name="jjjj_1" hidden="1">{"Total",#N/A,FALSE,"Total Proved";"PDP",#N/A,FALSE,"Total Proved";"PNP",#N/A,FALSE,"Total Proved";"PUD",#N/A,FALSE,"Total Proved"}</definedName>
    <definedName name="jjjj_1_1" hidden="1">{"Total",#N/A,FALSE,"Total Proved";"PDP",#N/A,FALSE,"Total Proved";"PNP",#N/A,FALSE,"Total Proved";"PUD",#N/A,FALSE,"Total Proved"}</definedName>
    <definedName name="jjjjj" hidden="1">{"Total",#N/A,FALSE,"Total Proved + Probable";"PDP",#N/A,FALSE,"Total Proved + Probable";"PNP",#N/A,FALSE,"Total Proved + Probable";"PUD",#N/A,FALSE,"Total Proved + Probable";"Prob",#N/A,FALSE,"Total Proved + Probable"}</definedName>
    <definedName name="jjjjj_1" hidden="1">{"Total",#N/A,FALSE,"Total Proved + Probable";"PDP",#N/A,FALSE,"Total Proved + Probable";"PNP",#N/A,FALSE,"Total Proved + Probable";"PUD",#N/A,FALSE,"Total Proved + Probable";"Prob",#N/A,FALSE,"Total Proved + Probable"}</definedName>
    <definedName name="jjjjj_1_1" hidden="1">{"Total",#N/A,FALSE,"Total Proved + Probable";"PDP",#N/A,FALSE,"Total Proved + Probable";"PNP",#N/A,FALSE,"Total Proved + Probable";"PUD",#N/A,FALSE,"Total Proved + Probable";"Prob",#N/A,FALSE,"Total Proved + Probable"}</definedName>
    <definedName name="jjjjjj" hidden="1">{"trademark1",#N/A,FALSE,"Trademark(s) and Trade Name(s)"}</definedName>
    <definedName name="jjjjjj_1" hidden="1">{"trademark1",#N/A,FALSE,"Trademark(s) and Trade Name(s)"}</definedName>
    <definedName name="jjjjjj_1_1" hidden="1">{"trademark1",#N/A,FALSE,"Trademark(s) and Trade Name(s)"}</definedName>
    <definedName name="jjjjjjj" hidden="1">{"histincome",#N/A,FALSE,"hyfins";"closing balance",#N/A,FALSE,"hyfins"}</definedName>
    <definedName name="jjjjjjj_1" hidden="1">{"histincome",#N/A,FALSE,"hyfins";"closing balance",#N/A,FALSE,"hyfins"}</definedName>
    <definedName name="jjjjjjj_1_1" hidden="1">{"histincome",#N/A,FALSE,"hyfins";"closing balance",#N/A,FALSE,"hyfins"}</definedName>
    <definedName name="jjl" hidden="1">{"VIEW ACTUALS 1",#N/A,TRUE,"Report1";"VIEW ACTUALS 2",#N/A,TRUE,"Report1";"SCALE COMPARISON",#N/A,TRUE,"Report1"}</definedName>
    <definedName name="jkfghkjfhfg" localSheetId="22" hidden="1">#REF!</definedName>
    <definedName name="jkfghkjfhfg" localSheetId="23" hidden="1">#REF!</definedName>
    <definedName name="jkfghkjfhfg" localSheetId="51" hidden="1">#REF!</definedName>
    <definedName name="jkfghkjfhfg" hidden="1">#REF!</definedName>
    <definedName name="Jully" localSheetId="22">#REF!</definedName>
    <definedName name="Jully" localSheetId="23">#REF!</definedName>
    <definedName name="Jully">#REF!</definedName>
    <definedName name="July" localSheetId="22">#REF!</definedName>
    <definedName name="July" localSheetId="23">#REF!</definedName>
    <definedName name="July">#REF!</definedName>
    <definedName name="June" hidden="1">{"'Check Request'!$A$1:$BF$37"}</definedName>
    <definedName name="k" hidden="1">{"Total",#N/A,FALSE,"Six Fields";"PDP",#N/A,FALSE,"Six Fields";"PNP",#N/A,FALSE,"Six Fields";"PUD",#N/A,FALSE,"Six Fields";"Prob",#N/A,FALSE,"Six Fields"}</definedName>
    <definedName name="k_1" hidden="1">{"Total",#N/A,FALSE,"Six Fields";"PDP",#N/A,FALSE,"Six Fields";"PNP",#N/A,FALSE,"Six Fields";"PUD",#N/A,FALSE,"Six Fields";"Prob",#N/A,FALSE,"Six Fields"}</definedName>
    <definedName name="k_1_1" hidden="1">{"Total",#N/A,FALSE,"Six Fields";"PDP",#N/A,FALSE,"Six Fields";"PNP",#N/A,FALSE,"Six Fields";"PUD",#N/A,FALSE,"Six Fields";"Prob",#N/A,FALSE,"Six Fields"}</definedName>
    <definedName name="kdasjfhkaldshfkljahsdlfhjkldsjkhlajkhl" localSheetId="22" hidden="1">#REF!</definedName>
    <definedName name="kdasjfhkaldshfkljahsdlfhjkldsjkhlajkhl" localSheetId="23" hidden="1">#REF!</definedName>
    <definedName name="kdasjfhkaldshfkljahsdlfhjkldsjkhlajkhl" localSheetId="51" hidden="1">#REF!</definedName>
    <definedName name="kdasjfhkaldshfkljahsdlfhjkldsjkhlajkhl" hidden="1">#REF!</definedName>
    <definedName name="kekke" localSheetId="22" hidden="1">#REF!</definedName>
    <definedName name="kekke" localSheetId="23" hidden="1">#REF!</definedName>
    <definedName name="kekke" localSheetId="51" hidden="1">#REF!</definedName>
    <definedName name="kekke" hidden="1">#REF!</definedName>
    <definedName name="KEYY" localSheetId="22" hidden="1">#REF!</definedName>
    <definedName name="KEYY" localSheetId="23" hidden="1">#REF!</definedName>
    <definedName name="KEYY" localSheetId="51" hidden="1">#REF!</definedName>
    <definedName name="KEYY" hidden="1">#REF!</definedName>
    <definedName name="kjdfhkjsafhadshjfjasdhfkjlads" localSheetId="22" hidden="1">#REF!</definedName>
    <definedName name="kjdfhkjsafhadshjfjasdhfkjlads" localSheetId="23" hidden="1">#REF!</definedName>
    <definedName name="kjdfhkjsafhadshjfjasdhfkjlads" localSheetId="51" hidden="1">#REF!</definedName>
    <definedName name="kjdfhkjsafhadshjfjasdhfkjlads" hidden="1">#REF!</definedName>
    <definedName name="kjlsadhfdsjahfjkdshfakjlds" localSheetId="22" hidden="1">#REF!</definedName>
    <definedName name="kjlsadhfdsjahfjkdshfakjlds" localSheetId="23" hidden="1">#REF!</definedName>
    <definedName name="kjlsadhfdsjahfjkdshfakjlds" localSheetId="51" hidden="1">#REF!</definedName>
    <definedName name="kjlsadhfdsjahfjkdshfakjlds" hidden="1">#REF!</definedName>
    <definedName name="kk" hidden="1">{"Sum1",#N/A,FALSE,"Reserve Report";"Sum2",#N/A,FALSE,"Reserve Report";"Sum3",#N/A,FALSE,"Reserve Report";"Sum4",#N/A,FALSE,"Reserve Report"}</definedName>
    <definedName name="kk_1" hidden="1">{"Sum1",#N/A,FALSE,"Reserve Report";"Sum2",#N/A,FALSE,"Reserve Report";"Sum3",#N/A,FALSE,"Reserve Report";"Sum4",#N/A,FALSE,"Reserve Report"}</definedName>
    <definedName name="kk_1_1" hidden="1">{"Sum1",#N/A,FALSE,"Reserve Report";"Sum2",#N/A,FALSE,"Reserve Report";"Sum3",#N/A,FALSE,"Reserve Report";"Sum4",#N/A,FALSE,"Reserve Report"}</definedName>
    <definedName name="kkkkk" hidden="1">{#N/A,#N/A,FALSE,"Report Data";#N/A,#N/A,FALSE,"COMP POOL";#N/A,#N/A,FALSE,"COMP POOL NB95";#N/A,#N/A,FALSE,"COMP POOL NB94"}</definedName>
    <definedName name="kkkkk_1" hidden="1">{#N/A,#N/A,FALSE,"Report Data";#N/A,#N/A,FALSE,"COMP POOL";#N/A,#N/A,FALSE,"COMP POOL NB95";#N/A,#N/A,FALSE,"COMP POOL NB94"}</definedName>
    <definedName name="kkkkk_1_1" hidden="1">{#N/A,#N/A,FALSE,"Report Data";#N/A,#N/A,FALSE,"COMP POOL";#N/A,#N/A,FALSE,"COMP POOL NB95";#N/A,#N/A,FALSE,"COMP POOL NB94"}</definedName>
    <definedName name="km" localSheetId="22">#REF!</definedName>
    <definedName name="km" localSheetId="23">#REF!</definedName>
    <definedName name="km" localSheetId="51">#REF!</definedName>
    <definedName name="km">#REF!</definedName>
    <definedName name="KMB" localSheetId="22">#REF!</definedName>
    <definedName name="KMB" localSheetId="23">#REF!</definedName>
    <definedName name="KMB" localSheetId="51">#REF!</definedName>
    <definedName name="KMB">#REF!</definedName>
    <definedName name="KPMG_2" localSheetId="22">#REF!</definedName>
    <definedName name="KPMG_2" localSheetId="23">#REF!</definedName>
    <definedName name="KPMG_2">#REF!</definedName>
    <definedName name="l" hidden="1">{#N/A,#N/A,TRUE,"Acquirer_Cases_Input";#N/A,#N/A,TRUE,"Acquirer_Input";#N/A,#N/A,TRUE,"Acquirer"}</definedName>
    <definedName name="l_1" hidden="1">{#N/A,#N/A,TRUE,"Acquirer_Cases_Input";#N/A,#N/A,TRUE,"Acquirer_Input";#N/A,#N/A,TRUE,"Acquirer"}</definedName>
    <definedName name="l_1_1" hidden="1">{#N/A,#N/A,TRUE,"Acquirer_Cases_Input";#N/A,#N/A,TRUE,"Acquirer_Input";#N/A,#N/A,TRUE,"Acquirer"}</definedName>
    <definedName name="land" localSheetId="22">#REF!</definedName>
    <definedName name="land" localSheetId="23">#REF!</definedName>
    <definedName name="land">#REF!</definedName>
    <definedName name="landareasqm" localSheetId="22">#REF!</definedName>
    <definedName name="landareasqm" localSheetId="23">#REF!</definedName>
    <definedName name="landareasqm">#REF!</definedName>
    <definedName name="LandRent_fr2019" localSheetId="22">#REF!</definedName>
    <definedName name="LandRent_fr2019" localSheetId="23">#REF!</definedName>
    <definedName name="LandRent_fr2019">#REF!</definedName>
    <definedName name="LandRent_till2019" localSheetId="22">#REF!</definedName>
    <definedName name="LandRent_till2019" localSheetId="23">#REF!</definedName>
    <definedName name="LandRent_till2019">#REF!</definedName>
    <definedName name="leadsheet" localSheetId="22">#REF!</definedName>
    <definedName name="leadsheet" localSheetId="23">#REF!</definedName>
    <definedName name="leadsheet">#REF!</definedName>
    <definedName name="LEVERQ" localSheetId="22">#REF!</definedName>
    <definedName name="LEVERQ" localSheetId="23">#REF!</definedName>
    <definedName name="LEVERQ">#REF!</definedName>
    <definedName name="lf" localSheetId="22" hidden="1">#REF!</definedName>
    <definedName name="lf" localSheetId="23" hidden="1">#REF!</definedName>
    <definedName name="lf" localSheetId="51" hidden="1">#REF!</definedName>
    <definedName name="lf" hidden="1">#REF!</definedName>
    <definedName name="liloki" localSheetId="22" hidden="1">#REF!</definedName>
    <definedName name="liloki" localSheetId="23" hidden="1">#REF!</definedName>
    <definedName name="liloki" localSheetId="51" hidden="1">#REF!</definedName>
    <definedName name="liloki" hidden="1">#REF!</definedName>
    <definedName name="limcount" hidden="1">1</definedName>
    <definedName name="list_ht" localSheetId="22">#REF!</definedName>
    <definedName name="list_ht" localSheetId="23">#REF!</definedName>
    <definedName name="list_ht">#REF!</definedName>
    <definedName name="ListOffset" hidden="1">2</definedName>
    <definedName name="ListSheetsMacroButton" localSheetId="22">#REF!</definedName>
    <definedName name="ListSheetsMacroButton" localSheetId="23">#REF!</definedName>
    <definedName name="ListSheetsMacroButton">#REF!</definedName>
    <definedName name="lkjhg" localSheetId="22" hidden="1">#REF!</definedName>
    <definedName name="lkjhg" localSheetId="23" hidden="1">#REF!</definedName>
    <definedName name="lkjhg" localSheetId="51" hidden="1">#REF!</definedName>
    <definedName name="lkjhg" hidden="1">#REF!</definedName>
    <definedName name="lkjhgfds" localSheetId="22" hidden="1">#REF!</definedName>
    <definedName name="lkjhgfds" localSheetId="23" hidden="1">#REF!</definedName>
    <definedName name="lkjhgfds" localSheetId="51" hidden="1">#REF!</definedName>
    <definedName name="lkjhgfds" hidden="1">#REF!</definedName>
    <definedName name="ll" hidden="1">{"graph",#N/A,FALSE,"WWJU";"graph",#N/A,FALSE,"WWSEM";"graph",#N/A,FALSE,"GOMJU";"graph",#N/A,FALSE,"GOMSEM";"graph",#N/A,FALSE,"NSJU";"graph",#N/A,FALSE,"NSSEM";"graph",#N/A,FALSE,"WAJU";"graph",#N/A,FALSE,"STOCKPRI";"graph",#N/A,FALSE,"CFTEV";"graph",#N/A,FALSE,"NAV-RCV";"graph",#N/A,FALSE,"CRUDEWW"}</definedName>
    <definedName name="ll_1" hidden="1">{"graph",#N/A,FALSE,"WWJU";"graph",#N/A,FALSE,"WWSEM";"graph",#N/A,FALSE,"GOMJU";"graph",#N/A,FALSE,"GOMSEM";"graph",#N/A,FALSE,"NSJU";"graph",#N/A,FALSE,"NSSEM";"graph",#N/A,FALSE,"WAJU";"graph",#N/A,FALSE,"STOCKPRI";"graph",#N/A,FALSE,"CFTEV";"graph",#N/A,FALSE,"NAV-RCV";"graph",#N/A,FALSE,"CRUDEWW"}</definedName>
    <definedName name="ll_1_1" hidden="1">{"graph",#N/A,FALSE,"WWJU";"graph",#N/A,FALSE,"WWSEM";"graph",#N/A,FALSE,"GOMJU";"graph",#N/A,FALSE,"GOMSEM";"graph",#N/A,FALSE,"NSJU";"graph",#N/A,FALSE,"NSSEM";"graph",#N/A,FALSE,"WAJU";"graph",#N/A,FALSE,"STOCKPRI";"graph",#N/A,FALSE,"CFTEV";"graph",#N/A,FALSE,"NAV-RCV";"graph",#N/A,FALSE,"CRUDEWW"}</definedName>
    <definedName name="lll"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l" hidden="1">{"cred comp",#N/A,FALSE,"Comparable Credit Analysis";"IS",#N/A,FALSE,"IS";"Sensitivity",#N/A,FALSE,"Sensitivity";"BS",#N/A,FALSE,"BS";"Bond Summary",#N/A,FALSE,"B Summary";"AD",#N/A,FALSE,"Accretion";"NAV",#N/A,FALSE,"NAV";"SU",#N/A,FALSE,"S&amp;U";"acq. study",#N/A,FALSE,"Acq. Study";"F Charges",#N/A,FALSE,"Fixed Charges"}</definedName>
    <definedName name="llll_1" hidden="1">{"cred comp",#N/A,FALSE,"Comparable Credit Analysis";"IS",#N/A,FALSE,"IS";"Sensitivity",#N/A,FALSE,"Sensitivity";"BS",#N/A,FALSE,"BS";"Bond Summary",#N/A,FALSE,"B Summary";"AD",#N/A,FALSE,"Accretion";"NAV",#N/A,FALSE,"NAV";"SU",#N/A,FALSE,"S&amp;U";"acq. study",#N/A,FALSE,"Acq. Study";"F Charges",#N/A,FALSE,"Fixed Charges"}</definedName>
    <definedName name="llll_1_1" hidden="1">{"cred comp",#N/A,FALSE,"Comparable Credit Analysis";"IS",#N/A,FALSE,"IS";"Sensitivity",#N/A,FALSE,"Sensitivity";"BS",#N/A,FALSE,"BS";"Bond Summary",#N/A,FALSE,"B Summary";"AD",#N/A,FALSE,"Accretion";"NAV",#N/A,FALSE,"NAV";"SU",#N/A,FALSE,"S&amp;U";"acq. study",#N/A,FALSE,"Acq. Study";"F Charges",#N/A,FALSE,"Fixed Charges"}</definedName>
    <definedName name="lllll" hidden="1">{#N/A,#N/A,FALSE,"SUM";#N/A,#N/A,FALSE,"Holding Cost ";#N/A,#N/A,FALSE,"2000 &amp; C3D";#N/A,#N/A,FALSE,"Disposal Costs";#N/A,#N/A,FALSE,"WIP";#N/A,#N/A,FALSE,"Fin Goods"}</definedName>
    <definedName name="lllll_1" hidden="1">{#N/A,#N/A,FALSE,"SUM";#N/A,#N/A,FALSE,"Holding Cost ";#N/A,#N/A,FALSE,"2000 &amp; C3D";#N/A,#N/A,FALSE,"Disposal Costs";#N/A,#N/A,FALSE,"WIP";#N/A,#N/A,FALSE,"Fin Goods"}</definedName>
    <definedName name="lllll_1_1" hidden="1">{#N/A,#N/A,FALSE,"SUM";#N/A,#N/A,FALSE,"Holding Cost ";#N/A,#N/A,FALSE,"2000 &amp; C3D";#N/A,#N/A,FALSE,"Disposal Costs";#N/A,#N/A,FALSE,"WIP";#N/A,#N/A,FALSE,"Fin Goods"}</definedName>
    <definedName name="llllll" hidden="1">{"revenue detail 1",#N/A,FALSE,"Revenue Detail";"revenue detail 2",#N/A,FALSE,"Revenue Detail";"revenue detail 3",#N/A,FALSE,"Revenue Detail";"revenue detail 4",#N/A,FALSE,"Revenue Detail"}</definedName>
    <definedName name="llllll_1" hidden="1">{"revenue detail 1",#N/A,FALSE,"Revenue Detail";"revenue detail 2",#N/A,FALSE,"Revenue Detail";"revenue detail 3",#N/A,FALSE,"Revenue Detail";"revenue detail 4",#N/A,FALSE,"Revenue Detail"}</definedName>
    <definedName name="llllll_1_1" hidden="1">{"revenue detail 1",#N/A,FALSE,"Revenue Detail";"revenue detail 2",#N/A,FALSE,"Revenue Detail";"revenue detail 3",#N/A,FALSE,"Revenue Detail";"revenue detail 4",#N/A,FALSE,"Revenue Detail"}</definedName>
    <definedName name="lllllll" hidden="1">{"revenue graph",#N/A,FALSE,"Revenue Graph"}</definedName>
    <definedName name="lllllll_1" hidden="1">{"revenue graph",#N/A,FALSE,"Revenue Graph"}</definedName>
    <definedName name="lllllll_1_1" hidden="1">{"revenue graph",#N/A,FALSE,"Revenue Graph"}</definedName>
    <definedName name="lo" localSheetId="22" hidden="1">#REF!</definedName>
    <definedName name="lo" localSheetId="23" hidden="1">#REF!</definedName>
    <definedName name="lo" localSheetId="51" hidden="1">#REF!</definedName>
    <definedName name="lo" hidden="1">#REF!</definedName>
    <definedName name="LOAD_FILES" localSheetId="22">#REF!</definedName>
    <definedName name="LOAD_FILES" localSheetId="23">#REF!</definedName>
    <definedName name="LOAD_FILES" localSheetId="51">#REF!</definedName>
    <definedName name="LOAD_FILES">#REF!</definedName>
    <definedName name="LOC">#N/A</definedName>
    <definedName name="LoginName" localSheetId="22">#REF!</definedName>
    <definedName name="LoginName" localSheetId="23">#REF!</definedName>
    <definedName name="LoginName" localSheetId="51">#REF!</definedName>
    <definedName name="LoginName">#REF!</definedName>
    <definedName name="LOOP" localSheetId="22">#REF!</definedName>
    <definedName name="LOOP" localSheetId="23">#REF!</definedName>
    <definedName name="LOOP" localSheetId="51">#REF!</definedName>
    <definedName name="LOOP">#REF!</definedName>
    <definedName name="LowColor" localSheetId="22">#REF!</definedName>
    <definedName name="LowColor" localSheetId="23">#REF!</definedName>
    <definedName name="LowColor" localSheetId="51">#REF!</definedName>
    <definedName name="LowColor">#REF!</definedName>
    <definedName name="LowLower" localSheetId="22">#REF!</definedName>
    <definedName name="LowLower" localSheetId="23">#REF!</definedName>
    <definedName name="LowLower" localSheetId="51">#REF!</definedName>
    <definedName name="LowLower">#REF!</definedName>
    <definedName name="LowUpper" localSheetId="22">#REF!</definedName>
    <definedName name="LowUpper" localSheetId="23">#REF!</definedName>
    <definedName name="LowUpper" localSheetId="51">#REF!</definedName>
    <definedName name="LowUpper">#REF!</definedName>
    <definedName name="LUFeXToEUR" localSheetId="22" hidden="1">1/EUReXToLUF</definedName>
    <definedName name="LUFeXToEUR" localSheetId="23" hidden="1">1/EUReXToLUF</definedName>
    <definedName name="LUFeXToEUR" localSheetId="51" hidden="1">1/EUReXToLUF</definedName>
    <definedName name="LUFeXToEUR" hidden="1">1/EUReXToLUF</definedName>
    <definedName name="m" hidden="1">{"contributory1",#N/A,FALSE,"Contributory Assets Detail";"contributory2",#N/A,FALSE,"Contributory Assets Detail"}</definedName>
    <definedName name="m_1" hidden="1">{"contributory1",#N/A,FALSE,"Contributory Assets Detail";"contributory2",#N/A,FALSE,"Contributory Assets Detail"}</definedName>
    <definedName name="m_1_1" hidden="1">{"contributory1",#N/A,FALSE,"Contributory Assets Detail";"contributory2",#N/A,FALSE,"Contributory Assets Detail"}</definedName>
    <definedName name="M_PlaceofPath">"\\SNYCEQT0100\HOME\LZURLO\DATA\TELMEX\Models\tmx_vdf.xls"</definedName>
    <definedName name="MACROS" localSheetId="22">#REF!</definedName>
    <definedName name="MACROS" localSheetId="23">#REF!</definedName>
    <definedName name="MACROS" localSheetId="51">#REF!</definedName>
    <definedName name="MACROS">#REF!</definedName>
    <definedName name="main" localSheetId="22">#REF!</definedName>
    <definedName name="main" localSheetId="23">#REF!</definedName>
    <definedName name="main">#REF!</definedName>
    <definedName name="ManCapGoal" localSheetId="22">#REF!</definedName>
    <definedName name="ManCapGoal" localSheetId="23">#REF!</definedName>
    <definedName name="ManCapGoal">#REF!</definedName>
    <definedName name="March"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ET" localSheetId="22">#REF!</definedName>
    <definedName name="MARKET" localSheetId="23">#REF!</definedName>
    <definedName name="MARKET">#REF!</definedName>
    <definedName name="MARKETPREMIUM" localSheetId="22">#REF!</definedName>
    <definedName name="MARKETPREMIUM" localSheetId="23">#REF!</definedName>
    <definedName name="MARKETPREMIUM">#REF!</definedName>
    <definedName name="May" localSheetId="22">#REF!</definedName>
    <definedName name="May" localSheetId="23">#REF!</definedName>
    <definedName name="May">#REF!</definedName>
    <definedName name="may.191" hidden="1">{"'Check Request'!$A$1:$BF$37"}</definedName>
    <definedName name="mdmdmdmdmdmdmdm" localSheetId="22" hidden="1">#REF!</definedName>
    <definedName name="mdmdmdmdmdmdmdm" localSheetId="23" hidden="1">#REF!</definedName>
    <definedName name="mdmdmdmdmdmdmdm" localSheetId="51" hidden="1">#REF!</definedName>
    <definedName name="mdmdmdmdmdmdmdm" hidden="1">#REF!</definedName>
    <definedName name="MediumColor" localSheetId="22">#REF!</definedName>
    <definedName name="MediumColor" localSheetId="23">#REF!</definedName>
    <definedName name="MediumColor" localSheetId="51">#REF!</definedName>
    <definedName name="MediumColor">#REF!</definedName>
    <definedName name="MediumLower" localSheetId="22">#REF!</definedName>
    <definedName name="MediumLower" localSheetId="23">#REF!</definedName>
    <definedName name="MediumLower" localSheetId="51">#REF!</definedName>
    <definedName name="MediumLower">#REF!</definedName>
    <definedName name="MediumUpper" localSheetId="22">#REF!</definedName>
    <definedName name="MediumUpper" localSheetId="23">#REF!</definedName>
    <definedName name="MediumUpper" localSheetId="51">#REF!</definedName>
    <definedName name="MediumUpper">#REF!</definedName>
    <definedName name="meivy" hidden="1">{#N/A,#N/A,FALSE,"Aging Summary";#N/A,#N/A,FALSE,"Ratio Analysis";#N/A,#N/A,FALSE,"Test 120 Day Accts";#N/A,#N/A,FALSE,"Tickmarks"}</definedName>
    <definedName name="menu_button_Click">#N/A</definedName>
    <definedName name="MEperiod" localSheetId="22">#REF!</definedName>
    <definedName name="MEperiod" localSheetId="23">#REF!</definedName>
    <definedName name="MEperiod">#REF!</definedName>
    <definedName name="mf" localSheetId="22">#REF!</definedName>
    <definedName name="mf" localSheetId="23">#REF!</definedName>
    <definedName name="mf">#REF!</definedName>
    <definedName name="MISC1" localSheetId="22">#REF!</definedName>
    <definedName name="MISC1" localSheetId="23">#REF!</definedName>
    <definedName name="MISC1">#REF!</definedName>
    <definedName name="MISC2" localSheetId="22">#REF!</definedName>
    <definedName name="MISC2" localSheetId="23">#REF!</definedName>
    <definedName name="MISC2">#REF!</definedName>
    <definedName name="MLVColor" localSheetId="22">#REF!</definedName>
    <definedName name="MLVColor" localSheetId="23">#REF!</definedName>
    <definedName name="MLVColor" localSheetId="51">#REF!</definedName>
    <definedName name="MLVColor">#REF!</definedName>
    <definedName name="MLVTotalDetail" localSheetId="22">#REF!</definedName>
    <definedName name="MLVTotalDetail" localSheetId="23">#REF!</definedName>
    <definedName name="MLVTotalDetail" localSheetId="51">#REF!</definedName>
    <definedName name="MLVTotalDetail">#REF!</definedName>
    <definedName name="mm" hidden="1">{"ReportTop",#N/A,FALSE,"report top"}</definedName>
    <definedName name="mm_1" hidden="1">{"ReportTop",#N/A,FALSE,"report top"}</definedName>
    <definedName name="mm_1_1" hidden="1">{"ReportTop",#N/A,FALSE,"report top"}</definedName>
    <definedName name="mmm" hidden="1">{"documentation1",#N/A,FALSE,"Documentation";"documentation2",#N/A,FALSE,"Documentation"}</definedName>
    <definedName name="mmm_1" hidden="1">{"documentation1",#N/A,FALSE,"Documentation";"documentation2",#N/A,FALSE,"Documentation"}</definedName>
    <definedName name="mmm_1_1" hidden="1">{"documentation1",#N/A,FALSE,"Documentation";"documentation2",#N/A,FALSE,"Documentation"}</definedName>
    <definedName name="mmmm"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m" hidden="1">{#N/A,#N/A,TRUE,"Fiber_Optic_Cable_Input ";#N/A,#N/A,TRUE,"Specialty_Fiber_Devices_Input";#N/A,#N/A,TRUE,"Optical_Fiber_Apparatus_Input"}</definedName>
    <definedName name="mmmmm_1" hidden="1">{#N/A,#N/A,TRUE,"Fiber_Optic_Cable_Input ";#N/A,#N/A,TRUE,"Specialty_Fiber_Devices_Input";#N/A,#N/A,TRUE,"Optical_Fiber_Apparatus_Input"}</definedName>
    <definedName name="mmmmm_1_1" hidden="1">{#N/A,#N/A,TRUE,"Fiber_Optic_Cable_Input ";#N/A,#N/A,TRUE,"Specialty_Fiber_Devices_Input";#N/A,#N/A,TRUE,"Optical_Fiber_Apparatus_Input"}</definedName>
    <definedName name="mmmmmm" hidden="1">{#N/A,#N/A,TRUE,"Falcons_Standalone";#N/A,#N/A,TRUE,"Target_Input";#N/A,#N/A,TRUE,"Target_Calendarized"}</definedName>
    <definedName name="mmmmmm_1" hidden="1">{#N/A,#N/A,TRUE,"Falcons_Standalone";#N/A,#N/A,TRUE,"Target_Input";#N/A,#N/A,TRUE,"Target_Calendarized"}</definedName>
    <definedName name="mmmmmm_1_1" hidden="1">{#N/A,#N/A,TRUE,"Falcons_Standalone";#N/A,#N/A,TRUE,"Target_Input";#N/A,#N/A,TRUE,"Target_Calendarized"}</definedName>
    <definedName name="mmmmmmm" hidden="1">{#N/A,#N/A,TRUE,"FOC_Product_Assumptions"}</definedName>
    <definedName name="mmmmmmm_1" hidden="1">{#N/A,#N/A,TRUE,"FOC_Product_Assumptions"}</definedName>
    <definedName name="mmmmmmm_1_1" hidden="1">{#N/A,#N/A,TRUE,"FOC_Product_Assumptions"}</definedName>
    <definedName name="mmmmmmmhm" hidden="1">{"mgmt forecast",#N/A,FALSE,"Mgmt Forecast";"dcf table",#N/A,FALSE,"Mgmt Forecast";"sensitivity",#N/A,FALSE,"Mgmt Forecast";"table inputs",#N/A,FALSE,"Mgmt Forecast";"calculations",#N/A,FALSE,"Mgmt Forecast"}</definedName>
    <definedName name="mmmmmmmhm_1" hidden="1">{"mgmt forecast",#N/A,FALSE,"Mgmt Forecast";"dcf table",#N/A,FALSE,"Mgmt Forecast";"sensitivity",#N/A,FALSE,"Mgmt Forecast";"table inputs",#N/A,FALSE,"Mgmt Forecast";"calculations",#N/A,FALSE,"Mgmt Forecast"}</definedName>
    <definedName name="mmmmmmmhm_1_1" hidden="1">{"mgmt forecast",#N/A,FALSE,"Mgmt Forecast";"dcf table",#N/A,FALSE,"Mgmt Forecast";"sensitivity",#N/A,FALSE,"Mgmt Forecast";"table inputs",#N/A,FALSE,"Mgmt Forecast";"calculations",#N/A,FALSE,"Mgmt Forecast"}</definedName>
    <definedName name="mmmmmmmm" hidden="1">{#N/A,#N/A,FALSE,"Consolidated Shipley";#N/A,#N/A,FALSE,"Consolidated PWB";#N/A,#N/A,FALSE,"Consolidated Micro"}</definedName>
    <definedName name="mmmmmmmm_1" hidden="1">{#N/A,#N/A,FALSE,"Consolidated Shipley";#N/A,#N/A,FALSE,"Consolidated PWB";#N/A,#N/A,FALSE,"Consolidated Micro"}</definedName>
    <definedName name="mmmmmmmm_1_1" hidden="1">{#N/A,#N/A,FALSE,"Consolidated Shipley";#N/A,#N/A,FALSE,"Consolidated PWB";#N/A,#N/A,FALSE,"Consolidated Micro"}</definedName>
    <definedName name="mo" hidden="1">{#N/A,#N/A,TRUE,"KEY DATA";#N/A,#N/A,TRUE,"KEY DATA Base Case";#N/A,#N/A,TRUE,"JULY";#N/A,#N/A,TRUE,"AUG";#N/A,#N/A,TRUE,"SEPT";#N/A,#N/A,TRUE,"3Q"}</definedName>
    <definedName name="mo_1" hidden="1">{#N/A,#N/A,TRUE,"KEY DATA";#N/A,#N/A,TRUE,"KEY DATA Base Case";#N/A,#N/A,TRUE,"JULY";#N/A,#N/A,TRUE,"AUG";#N/A,#N/A,TRUE,"SEPT";#N/A,#N/A,TRUE,"3Q"}</definedName>
    <definedName name="mo_1_1" hidden="1">{#N/A,#N/A,TRUE,"KEY DATA";#N/A,#N/A,TRUE,"KEY DATA Base Case";#N/A,#N/A,TRUE,"JULY";#N/A,#N/A,TRUE,"AUG";#N/A,#N/A,TRUE,"SEPT";#N/A,#N/A,TRUE,"3Q"}</definedName>
    <definedName name="MOD" localSheetId="22">#REF!</definedName>
    <definedName name="MOD" localSheetId="23">#REF!</definedName>
    <definedName name="MOD">#REF!</definedName>
    <definedName name="month" localSheetId="22">#REF!</definedName>
    <definedName name="month" localSheetId="23">#REF!</definedName>
    <definedName name="month">#REF!</definedName>
    <definedName name="MONTH_B99" localSheetId="22">#REF!</definedName>
    <definedName name="MONTH_B99" localSheetId="23">#REF!</definedName>
    <definedName name="MONTH_B99">#REF!</definedName>
    <definedName name="MONTHLY_DATA" localSheetId="22">#REF!</definedName>
    <definedName name="MONTHLY_DATA" localSheetId="23">#REF!</definedName>
    <definedName name="MONTHLY_DATA">#REF!</definedName>
    <definedName name="MONTHLY_DATA_B99" localSheetId="22">#REF!</definedName>
    <definedName name="MONTHLY_DATA_B99" localSheetId="23">#REF!</definedName>
    <definedName name="MONTHLY_DATA_B99">#REF!</definedName>
    <definedName name="Months">2</definedName>
    <definedName name="Mth" localSheetId="22">#REF!</definedName>
    <definedName name="Mth" localSheetId="23">#REF!</definedName>
    <definedName name="Mth">#REF!</definedName>
    <definedName name="MustWinColor" localSheetId="22">#REF!</definedName>
    <definedName name="MustWinColor" localSheetId="23">#REF!</definedName>
    <definedName name="MustWinColor" localSheetId="51">#REF!</definedName>
    <definedName name="MustWinColor">#REF!</definedName>
    <definedName name="MustWinTotalDetail" localSheetId="22">#REF!</definedName>
    <definedName name="MustWinTotalDetail" localSheetId="23">#REF!</definedName>
    <definedName name="MustWinTotalDetail" localSheetId="51">#REF!</definedName>
    <definedName name="MustWinTotalDetail">#REF!</definedName>
    <definedName name="mux" localSheetId="22">#REF!</definedName>
    <definedName name="mux" localSheetId="23">#REF!</definedName>
    <definedName name="mux" localSheetId="51">#REF!</definedName>
    <definedName name="mux">#REF!</definedName>
    <definedName name="n" hidden="1">{#N/A,#N/A,FALSE,"Consolidated Shipley";#N/A,#N/A,FALSE,"Consolidated PWB";#N/A,#N/A,FALSE,"Consolidated Micro"}</definedName>
    <definedName name="n\" hidden="1">{#N/A,#N/A,FALSE,"Projections";#N/A,#N/A,FALSE,"Multiples Valuation";#N/A,#N/A,FALSE,"LBO";#N/A,#N/A,FALSE,"Multiples_Sensitivity";#N/A,#N/A,FALSE,"Summary"}</definedName>
    <definedName name="n\_1" hidden="1">{#N/A,#N/A,FALSE,"Projections";#N/A,#N/A,FALSE,"Multiples Valuation";#N/A,#N/A,FALSE,"LBO";#N/A,#N/A,FALSE,"Multiples_Sensitivity";#N/A,#N/A,FALSE,"Summary"}</definedName>
    <definedName name="n\_1_1" hidden="1">{#N/A,#N/A,FALSE,"Projections";#N/A,#N/A,FALSE,"Multiples Valuation";#N/A,#N/A,FALSE,"LBO";#N/A,#N/A,FALSE,"Multiples_Sensitivity";#N/A,#N/A,FALSE,"Summary"}</definedName>
    <definedName name="n_1" hidden="1">{#N/A,#N/A,FALSE,"Consolidated Shipley";#N/A,#N/A,FALSE,"Consolidated PWB";#N/A,#N/A,FALSE,"Consolidated Micro"}</definedName>
    <definedName name="n_1_1" hidden="1">{#N/A,#N/A,FALSE,"Consolidated Shipley";#N/A,#N/A,FALSE,"Consolidated PWB";#N/A,#N/A,FALSE,"Consolidated Micro"}</definedName>
    <definedName name="N0" localSheetId="22">#REF!</definedName>
    <definedName name="N0" localSheetId="23">#REF!</definedName>
    <definedName name="N0">#REF!</definedName>
    <definedName name="NAME_OF_PROPERTY_项目__嘉信茂广场·雨花亭" localSheetId="22">#REF!</definedName>
    <definedName name="NAME_OF_PROPERTY_项目__嘉信茂广场·雨花亭" localSheetId="23">#REF!</definedName>
    <definedName name="NAME_OF_PROPERTY_项目__嘉信茂广场·雨花亭">#REF!</definedName>
    <definedName name="nay" localSheetId="22">#REF!</definedName>
    <definedName name="nay" localSheetId="23">#REF!</definedName>
    <definedName name="nay">#REF!</definedName>
    <definedName name="nera" localSheetId="22" hidden="1">#REF!</definedName>
    <definedName name="nera" localSheetId="23" hidden="1">#REF!</definedName>
    <definedName name="nera" hidden="1">#REF!</definedName>
    <definedName name="NEW"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ew_Maint" localSheetId="22">#REF!</definedName>
    <definedName name="New_Maint" localSheetId="23">#REF!</definedName>
    <definedName name="New_Maint">#REF!</definedName>
    <definedName name="NewFiMat" localSheetId="22">#REF!</definedName>
    <definedName name="NewFiMat" localSheetId="23">#REF!</definedName>
    <definedName name="NewFiMat">#REF!</definedName>
    <definedName name="NewFiOPB" localSheetId="22">#REF!</definedName>
    <definedName name="NewFiOPB" localSheetId="23">#REF!</definedName>
    <definedName name="NewFiOPB">#REF!</definedName>
    <definedName name="NewFiOption" localSheetId="22">#REF!</definedName>
    <definedName name="NewFiOption" localSheetId="23">#REF!</definedName>
    <definedName name="NewFiOption">#REF!</definedName>
    <definedName name="NewFiOrig" localSheetId="22">#REF!</definedName>
    <definedName name="NewFiOrig" localSheetId="23">#REF!</definedName>
    <definedName name="NewFiOrig">#REF!</definedName>
    <definedName name="NewFiRate" localSheetId="22">#REF!</definedName>
    <definedName name="NewFiRate" localSheetId="23">#REF!</definedName>
    <definedName name="NewFiRate">#REF!</definedName>
    <definedName name="NewFiRateA" localSheetId="22">#REF!</definedName>
    <definedName name="NewFiRateA" localSheetId="23">#REF!</definedName>
    <definedName name="NewFiRateA">#REF!</definedName>
    <definedName name="NextYrNOI" localSheetId="22">#REF!</definedName>
    <definedName name="NextYrNOI" localSheetId="23">#REF!</definedName>
    <definedName name="NextYrNOI">#REF!</definedName>
    <definedName name="ngngfnfgndfg" localSheetId="22" hidden="1">#REF!</definedName>
    <definedName name="ngngfnfgndfg" localSheetId="23" hidden="1">#REF!</definedName>
    <definedName name="ngngfnfgndfg" localSheetId="51" hidden="1">#REF!</definedName>
    <definedName name="ngngfnfgndfg" hidden="1">#REF!</definedName>
    <definedName name="NLGeXToEUR" localSheetId="22" hidden="1">1/EUReXToNLG</definedName>
    <definedName name="NLGeXToEUR" localSheetId="23" hidden="1">1/EUReXToNLG</definedName>
    <definedName name="NLGeXToEUR" localSheetId="51" hidden="1">1/EUReXToNLG</definedName>
    <definedName name="NLGeXToEUR" hidden="1">1/EUReXToNLG</definedName>
    <definedName name="NN" hidden="1">{"revenue detail 1",#N/A,FALSE,"Revenue Detail";"revenue detail 2",#N/A,FALSE,"Revenue Detail";"revenue detail 3",#N/A,FALSE,"Revenue Detail";"revenue detail 4",#N/A,FALSE,"Revenue Detail"}</definedName>
    <definedName name="NN_1" hidden="1">{"revenue detail 1",#N/A,FALSE,"Revenue Detail";"revenue detail 2",#N/A,FALSE,"Revenue Detail";"revenue detail 3",#N/A,FALSE,"Revenue Detail";"revenue detail 4",#N/A,FALSE,"Revenue Detail"}</definedName>
    <definedName name="NN_1_1" hidden="1">{"revenue detail 1",#N/A,FALSE,"Revenue Detail";"revenue detail 2",#N/A,FALSE,"Revenue Detail";"revenue detail 3",#N/A,FALSE,"Revenue Detail";"revenue detail 4",#N/A,FALSE,"Revenue Detail"}</definedName>
    <definedName name="nnn" hidden="1">{#N/A,#N/A,FALSE,"Consolidated Shipley";#N/A,#N/A,FALSE,"Consolidated PWB";#N/A,#N/A,FALSE,"Consolidated Micro"}</definedName>
    <definedName name="nnn_1" hidden="1">{#N/A,#N/A,FALSE,"Consolidated Shipley";#N/A,#N/A,FALSE,"Consolidated PWB";#N/A,#N/A,FALSE,"Consolidated Micro"}</definedName>
    <definedName name="nnn_1_1" hidden="1">{#N/A,#N/A,FALSE,"Consolidated Shipley";#N/A,#N/A,FALSE,"Consolidated PWB";#N/A,#N/A,FALSE,"Consolidated Micro"}</definedName>
    <definedName name="nnnn" hidden="1">{#N/A,#N/A,FALSE,"Consolidated Shipley";#N/A,#N/A,FALSE,"Consolidated PWB";#N/A,#N/A,FALSE,"Consolidated Micro"}</definedName>
    <definedName name="nnnn_1" hidden="1">{#N/A,#N/A,FALSE,"Consolidated Shipley";#N/A,#N/A,FALSE,"Consolidated PWB";#N/A,#N/A,FALSE,"Consolidated Micro"}</definedName>
    <definedName name="nnnn_1_1" hidden="1">{#N/A,#N/A,FALSE,"Consolidated Shipley";#N/A,#N/A,FALSE,"Consolidated PWB";#N/A,#N/A,FALSE,"Consolidated Micro"}</definedName>
    <definedName name="nnnnn" hidden="1">{"gross_margin1",#N/A,FALSE,"Gross Margin Detail";"gross_margin2",#N/A,FALSE,"Gross Margin Detail"}</definedName>
    <definedName name="nnnnn_1" hidden="1">{"gross_margin1",#N/A,FALSE,"Gross Margin Detail";"gross_margin2",#N/A,FALSE,"Gross Margin Detail"}</definedName>
    <definedName name="nnnnn_1_1" hidden="1">{"gross_margin1",#N/A,FALSE,"Gross Margin Detail";"gross_margin2",#N/A,FALSE,"Gross Margin Detail"}</definedName>
    <definedName name="nnnnnn" hidden="1">{"historical acquirer",#N/A,FALSE,"Historical Performance";"historical target",#N/A,FALSE,"Historical Performance"}</definedName>
    <definedName name="nnnnnn_1" hidden="1">{"historical acquirer",#N/A,FALSE,"Historical Performance";"historical target",#N/A,FALSE,"Historical Performance"}</definedName>
    <definedName name="nnnnnn_1_1" hidden="1">{"historical acquirer",#N/A,FALSE,"Historical Performance";"historical target",#N/A,FALSE,"Historical Performance"}</definedName>
    <definedName name="no" localSheetId="22">#REF!</definedName>
    <definedName name="no" localSheetId="23">#REF!</definedName>
    <definedName name="no">#REF!</definedName>
    <definedName name="NO_FILE" localSheetId="22">#REF!</definedName>
    <definedName name="NO_FILE" localSheetId="23">#REF!</definedName>
    <definedName name="NO_FILE" localSheetId="51">#REF!</definedName>
    <definedName name="NO_FILE">#REF!</definedName>
    <definedName name="None" localSheetId="22">Main.SAPF4Help()</definedName>
    <definedName name="None" localSheetId="23">Main.SAPF4Help()</definedName>
    <definedName name="None" localSheetId="51">Main.SAPF4Help()</definedName>
    <definedName name="None">Main.SAPF4Help()</definedName>
    <definedName name="None1" localSheetId="22">Main.SAPF4Help()</definedName>
    <definedName name="None1" localSheetId="23">Main.SAPF4Help()</definedName>
    <definedName name="None1" localSheetId="51">Main.SAPF4Help()</definedName>
    <definedName name="None1">Main.SAPF4Help()</definedName>
    <definedName name="none10" localSheetId="22">Main.SAPF4Help()</definedName>
    <definedName name="none10" localSheetId="23">Main.SAPF4Help()</definedName>
    <definedName name="none10" localSheetId="51">Main.SAPF4Help()</definedName>
    <definedName name="none10">Main.SAPF4Help()</definedName>
    <definedName name="None2" localSheetId="22">Main.SAPF4Help()</definedName>
    <definedName name="None2" localSheetId="23">Main.SAPF4Help()</definedName>
    <definedName name="None2" localSheetId="51">Main.SAPF4Help()</definedName>
    <definedName name="None2">Main.SAPF4Help()</definedName>
    <definedName name="none3" localSheetId="22">Main.SAPF4Help()</definedName>
    <definedName name="none3" localSheetId="23">Main.SAPF4Help()</definedName>
    <definedName name="none3" localSheetId="51">Main.SAPF4Help()</definedName>
    <definedName name="none3">Main.SAPF4Help()</definedName>
    <definedName name="none5" localSheetId="22">Main.SAPF4Help()</definedName>
    <definedName name="none5" localSheetId="23">Main.SAPF4Help()</definedName>
    <definedName name="none5" localSheetId="51">Main.SAPF4Help()</definedName>
    <definedName name="none5">Main.SAPF4Help()</definedName>
    <definedName name="NOTES" localSheetId="22">#REF!</definedName>
    <definedName name="NOTES" localSheetId="23">#REF!</definedName>
    <definedName name="NOTES">#REF!</definedName>
    <definedName name="November" localSheetId="22">#REF!</definedName>
    <definedName name="November" localSheetId="23">#REF!</definedName>
    <definedName name="November">#REF!</definedName>
    <definedName name="ntntnttn" localSheetId="22" hidden="1">#REF!</definedName>
    <definedName name="ntntnttn" localSheetId="23" hidden="1">#REF!</definedName>
    <definedName name="ntntnttn" localSheetId="51" hidden="1">#REF!</definedName>
    <definedName name="ntntnttn" hidden="1">#REF!</definedName>
    <definedName name="NumYears" localSheetId="22">#REF!</definedName>
    <definedName name="NumYears" localSheetId="23">#REF!</definedName>
    <definedName name="NumYears" localSheetId="51">#REF!</definedName>
    <definedName name="NumYears">#REF!</definedName>
    <definedName name="O_EBITDAP" localSheetId="22">#REF!</definedName>
    <definedName name="O_EBITDAP" localSheetId="23">#REF!</definedName>
    <definedName name="O_EBITDAP">#REF!</definedName>
    <definedName name="O_EBITDAT" localSheetId="22">#REF!</definedName>
    <definedName name="O_EBITDAT" localSheetId="23">#REF!</definedName>
    <definedName name="O_EBITDAT">#REF!</definedName>
    <definedName name="O_REOEA" localSheetId="22">#REF!</definedName>
    <definedName name="O_REOEA" localSheetId="23">#REF!</definedName>
    <definedName name="O_REOEA">#REF!</definedName>
    <definedName name="O_REOEA_DEP" localSheetId="22">#REF!</definedName>
    <definedName name="O_REOEA_DEP" localSheetId="23">#REF!</definedName>
    <definedName name="O_REOEA_DEP">#REF!</definedName>
    <definedName name="O_REORA" localSheetId="22">#REF!</definedName>
    <definedName name="O_REORA" localSheetId="23">#REF!</definedName>
    <definedName name="O_REORA">#REF!</definedName>
    <definedName name="O_ROERA_NODEP" localSheetId="22">#REF!</definedName>
    <definedName name="O_ROERA_NODEP" localSheetId="23">#REF!</definedName>
    <definedName name="O_ROERA_NODEP">#REF!</definedName>
    <definedName name="O_ROERNA" localSheetId="22">#REF!</definedName>
    <definedName name="O_ROERNA" localSheetId="23">#REF!</definedName>
    <definedName name="O_ROERNA">#REF!</definedName>
    <definedName name="O_ROERNA_DEP" localSheetId="22">#REF!</definedName>
    <definedName name="O_ROERNA_DEP" localSheetId="23">#REF!</definedName>
    <definedName name="O_ROERNA_DEP">#REF!</definedName>
    <definedName name="O_ROERNA_NODEP" localSheetId="22">#REF!</definedName>
    <definedName name="O_ROERNA_NODEP" localSheetId="23">#REF!</definedName>
    <definedName name="O_ROERNA_NODEP">#REF!</definedName>
    <definedName name="Oasda" hidden="1">{"Operating Data",#N/A,TRUE,"Sheet1";"Valuation Matrix",#N/A,TRUE,"Sheet1";"Sales Analysis",#N/A,TRUE,"Sheet1";"Closed Remodelled New",#N/A,TRUE,"Sheet1";"Competitive and FSP",#N/A,TRUE,"Sheet1";"Working Capital and Capex",#N/A,TRUE,"Sheet1";"depreciation",#N/A,TRUE,"Sheet1"}</definedName>
    <definedName name="Oasda_1" hidden="1">{"Operating Data",#N/A,TRUE,"Sheet1";"Valuation Matrix",#N/A,TRUE,"Sheet1";"Sales Analysis",#N/A,TRUE,"Sheet1";"Closed Remodelled New",#N/A,TRUE,"Sheet1";"Competitive and FSP",#N/A,TRUE,"Sheet1";"Working Capital and Capex",#N/A,TRUE,"Sheet1";"depreciation",#N/A,TRUE,"Sheet1"}</definedName>
    <definedName name="Oasda_1_1" hidden="1">{"Operating Data",#N/A,TRUE,"Sheet1";"Valuation Matrix",#N/A,TRUE,"Sheet1";"Sales Analysis",#N/A,TRUE,"Sheet1";"Closed Remodelled New",#N/A,TRUE,"Sheet1";"Competitive and FSP",#N/A,TRUE,"Sheet1";"Working Capital and Capex",#N/A,TRUE,"Sheet1";"depreciation",#N/A,TRUE,"Sheet1"}</definedName>
    <definedName name="Occupancy" localSheetId="22">#REF!</definedName>
    <definedName name="Occupancy" localSheetId="23">#REF!</definedName>
    <definedName name="Occupancy">#REF!</definedName>
    <definedName name="October" localSheetId="22">#REF!</definedName>
    <definedName name="October" localSheetId="23">#REF!</definedName>
    <definedName name="October">#REF!</definedName>
    <definedName name="ododododooddododo" localSheetId="22" hidden="1">#REF!</definedName>
    <definedName name="ododododooddododo" localSheetId="23" hidden="1">#REF!</definedName>
    <definedName name="ododododooddododo" localSheetId="51" hidden="1">#REF!</definedName>
    <definedName name="ododododooddododo" hidden="1">#REF!</definedName>
    <definedName name="Office_Px_Rate" localSheetId="22">#REF!</definedName>
    <definedName name="Office_Px_Rate" localSheetId="23">#REF!</definedName>
    <definedName name="Office_Px_Rate">#REF!</definedName>
    <definedName name="OfficeRentalGrowth_evy2yr" localSheetId="22">#REF!</definedName>
    <definedName name="OfficeRentalGrowth_evy2yr" localSheetId="23">#REF!</definedName>
    <definedName name="OfficeRentalGrowth_evy2yr">#REF!</definedName>
    <definedName name="ohih" hidden="1">{"toptrial",#N/A,TRUE,"toptrial";"adjustment",#N/A,TRUE,"toptrial";"voucher",#N/A,TRUE,"toptrial"}</definedName>
    <definedName name="OK_FILE" localSheetId="22">#REF!</definedName>
    <definedName name="OK_FILE" localSheetId="23">#REF!</definedName>
    <definedName name="OK_FILE" localSheetId="51">#REF!</definedName>
    <definedName name="OK_FILE">#REF!</definedName>
    <definedName name="OK_MSG" localSheetId="22">#REF!</definedName>
    <definedName name="OK_MSG" localSheetId="23">#REF!</definedName>
    <definedName name="OK_MSG" localSheetId="51">#REF!</definedName>
    <definedName name="OK_MSG">#REF!</definedName>
    <definedName name="olikikuku" localSheetId="22" hidden="1">#REF!</definedName>
    <definedName name="olikikuku" localSheetId="23" hidden="1">#REF!</definedName>
    <definedName name="olikikuku" localSheetId="51" hidden="1">#REF!</definedName>
    <definedName name="olikikuku" hidden="1">#REF!</definedName>
    <definedName name="ololollo" localSheetId="22" hidden="1">#REF!</definedName>
    <definedName name="ololollo" localSheetId="23" hidden="1">#REF!</definedName>
    <definedName name="ololollo" localSheetId="51" hidden="1">#REF!</definedName>
    <definedName name="ololollo" hidden="1">#REF!</definedName>
    <definedName name="oltukituk" localSheetId="22" hidden="1">#REF!</definedName>
    <definedName name="oltukituk" localSheetId="23" hidden="1">#REF!</definedName>
    <definedName name="oltukituk" localSheetId="51" hidden="1">#REF!</definedName>
    <definedName name="oltukituk" hidden="1">#REF!</definedName>
    <definedName name="op" localSheetId="22">#REF!</definedName>
    <definedName name="op" localSheetId="23">#REF!</definedName>
    <definedName name="op">#REF!</definedName>
    <definedName name="OP2FAS" localSheetId="22">#REF!</definedName>
    <definedName name="OP2FAS" localSheetId="23">#REF!</definedName>
    <definedName name="OP2FAS">#REF!</definedName>
    <definedName name="OP2LOCAL" localSheetId="22">#REF!</definedName>
    <definedName name="OP2LOCAL" localSheetId="23">#REF!</definedName>
    <definedName name="OP2LOCAL">#REF!</definedName>
    <definedName name="OP2STAT" localSheetId="22">#REF!</definedName>
    <definedName name="OP2STAT" localSheetId="23">#REF!</definedName>
    <definedName name="OP2STAT">#REF!</definedName>
    <definedName name="Opex_Growth" localSheetId="22">#REF!</definedName>
    <definedName name="Opex_Growth" localSheetId="23">#REF!</definedName>
    <definedName name="Opex_Growth">#REF!</definedName>
    <definedName name="OpptyFontSize" localSheetId="22">#REF!</definedName>
    <definedName name="OpptyFontSize" localSheetId="23">#REF!</definedName>
    <definedName name="OpptyFontSize" localSheetId="51">#REF!</definedName>
    <definedName name="OpptyFontSize">#REF!</definedName>
    <definedName name="OpptyHeight" localSheetId="22">#REF!</definedName>
    <definedName name="OpptyHeight" localSheetId="23">#REF!</definedName>
    <definedName name="OpptyHeight" localSheetId="51">#REF!</definedName>
    <definedName name="OpptyHeight">#REF!</definedName>
    <definedName name="OpptyWidth" localSheetId="22">#REF!</definedName>
    <definedName name="OpptyWidth" localSheetId="23">#REF!</definedName>
    <definedName name="OpptyWidth" localSheetId="51">#REF!</definedName>
    <definedName name="OpptyWidth">#REF!</definedName>
    <definedName name="OptionButton21_Click">#N/A</definedName>
    <definedName name="Oracle" hidden="1">{"'Check Request'!$A$1:$BF$37"}</definedName>
    <definedName name="ORCHARD_POINT" localSheetId="22">#REF!</definedName>
    <definedName name="ORCHARD_POINT" localSheetId="23">#REF!</definedName>
    <definedName name="ORCHARD_POINT">#REF!</definedName>
    <definedName name="Other_Income_Growth" localSheetId="22">#REF!</definedName>
    <definedName name="Other_Income_Growth" localSheetId="23">#REF!</definedName>
    <definedName name="Other_Income_Growth">#REF!</definedName>
    <definedName name="Other2007" hidden="1">{"'Check Request'!$A$1:$BF$37"}</definedName>
    <definedName name="othrev" localSheetId="22">#REF!</definedName>
    <definedName name="othrev" localSheetId="23">#REF!</definedName>
    <definedName name="othrev">#REF!</definedName>
    <definedName name="OutlookColor" localSheetId="22">#REF!</definedName>
    <definedName name="OutlookColor" localSheetId="23">#REF!</definedName>
    <definedName name="OutlookColor" localSheetId="51">#REF!</definedName>
    <definedName name="OutlookColor">#REF!</definedName>
    <definedName name="OutlookTotal" localSheetId="22">#REF!</definedName>
    <definedName name="OutlookTotal" localSheetId="23">#REF!</definedName>
    <definedName name="OutlookTotal" localSheetId="51">#REF!</definedName>
    <definedName name="OutlookTotal">#REF!</definedName>
    <definedName name="OutlookTotalWeighted" localSheetId="22">#REF!</definedName>
    <definedName name="OutlookTotalWeighted" localSheetId="23">#REF!</definedName>
    <definedName name="OutlookTotalWeighted" localSheetId="51">#REF!</definedName>
    <definedName name="OutlookTotalWeighted">#REF!</definedName>
    <definedName name="OvalRatio" localSheetId="22">#REF!</definedName>
    <definedName name="OvalRatio" localSheetId="23">#REF!</definedName>
    <definedName name="OvalRatio" localSheetId="51">#REF!</definedName>
    <definedName name="OvalRatio">#REF!</definedName>
    <definedName name="p"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EBITDAP" localSheetId="22">#REF!</definedName>
    <definedName name="P_EBITDAP" localSheetId="23">#REF!</definedName>
    <definedName name="P_EBITDAP">#REF!</definedName>
    <definedName name="P_EBITDAT" localSheetId="22">#REF!</definedName>
    <definedName name="P_EBITDAT" localSheetId="23">#REF!</definedName>
    <definedName name="P_EBITDAT">#REF!</definedName>
    <definedName name="P_L" localSheetId="22">#REF!</definedName>
    <definedName name="P_L" localSheetId="23">#REF!</definedName>
    <definedName name="P_L">#REF!</definedName>
    <definedName name="P_ROERA" localSheetId="22">#REF!</definedName>
    <definedName name="P_ROERA" localSheetId="23">#REF!</definedName>
    <definedName name="P_ROERA">#REF!</definedName>
    <definedName name="P_ROERA_DEP" localSheetId="22">#REF!</definedName>
    <definedName name="P_ROERA_DEP" localSheetId="23">#REF!</definedName>
    <definedName name="P_ROERA_DEP">#REF!</definedName>
    <definedName name="P_ROERA_NODEP" localSheetId="22">#REF!</definedName>
    <definedName name="P_ROERA_NODEP" localSheetId="23">#REF!</definedName>
    <definedName name="P_ROERA_NODEP">#REF!</definedName>
    <definedName name="P_ROERNA" localSheetId="22">#REF!</definedName>
    <definedName name="P_ROERNA" localSheetId="23">#REF!</definedName>
    <definedName name="P_ROERNA">#REF!</definedName>
    <definedName name="P_ROERNA_DEP" localSheetId="22">#REF!</definedName>
    <definedName name="P_ROERNA_DEP" localSheetId="23">#REF!</definedName>
    <definedName name="P_ROERNA_DEP">#REF!</definedName>
    <definedName name="P_ROERNA_NODEP" localSheetId="22">#REF!</definedName>
    <definedName name="P_ROERNA_NODEP" localSheetId="23">#REF!</definedName>
    <definedName name="P_ROERNA_NODEP">#REF!</definedName>
    <definedName name="P1_" localSheetId="22">#REF!</definedName>
    <definedName name="P1_" localSheetId="23">#REF!</definedName>
    <definedName name="P1_">#REF!</definedName>
    <definedName name="p1_villas" localSheetId="22">#REF!</definedName>
    <definedName name="p1_villas" localSheetId="23">#REF!</definedName>
    <definedName name="p1_villas">#REF!</definedName>
    <definedName name="P2_" localSheetId="22">#REF!</definedName>
    <definedName name="P2_" localSheetId="23">#REF!</definedName>
    <definedName name="P2_">#REF!</definedName>
    <definedName name="PA" localSheetId="22">#REF!</definedName>
    <definedName name="PA" localSheetId="23">#REF!</definedName>
    <definedName name="PA" localSheetId="51">#REF!</definedName>
    <definedName name="PA">#REF!</definedName>
    <definedName name="pa____________or">"Retail Rental Growth+Sheet1!$F$21"</definedName>
    <definedName name="page_10" localSheetId="22">#REF!</definedName>
    <definedName name="page_10" localSheetId="23">#REF!</definedName>
    <definedName name="page_10">#REF!</definedName>
    <definedName name="page_11" localSheetId="22">#REF!</definedName>
    <definedName name="page_11" localSheetId="23">#REF!</definedName>
    <definedName name="page_11">#REF!</definedName>
    <definedName name="page_12" localSheetId="22">#REF!</definedName>
    <definedName name="page_12" localSheetId="23">#REF!</definedName>
    <definedName name="page_12">#REF!</definedName>
    <definedName name="page_13" localSheetId="22">#REF!</definedName>
    <definedName name="page_13" localSheetId="23">#REF!</definedName>
    <definedName name="page_13">#REF!</definedName>
    <definedName name="page_14" localSheetId="22">#REF!</definedName>
    <definedName name="page_14" localSheetId="23">#REF!</definedName>
    <definedName name="page_14">#REF!</definedName>
    <definedName name="page_7" localSheetId="22">#REF!</definedName>
    <definedName name="page_7" localSheetId="23">#REF!</definedName>
    <definedName name="page_7">#REF!</definedName>
    <definedName name="page_8" localSheetId="22">#REF!</definedName>
    <definedName name="page_8" localSheetId="23">#REF!</definedName>
    <definedName name="page_8">#REF!</definedName>
    <definedName name="page_9" localSheetId="22">#REF!</definedName>
    <definedName name="page_9" localSheetId="23">#REF!</definedName>
    <definedName name="page_9">#REF!</definedName>
    <definedName name="papapapapapa" localSheetId="22" hidden="1">#REF!</definedName>
    <definedName name="papapapapapa" localSheetId="23" hidden="1">#REF!</definedName>
    <definedName name="papapapapapa" localSheetId="51" hidden="1">#REF!</definedName>
    <definedName name="papapapapapa" hidden="1">#REF!</definedName>
    <definedName name="payable2" localSheetId="22" hidden="1">#REF!</definedName>
    <definedName name="payable2" localSheetId="23" hidden="1">#REF!</definedName>
    <definedName name="payable2" localSheetId="51" hidden="1">#REF!</definedName>
    <definedName name="payable2" hidden="1">#REF!</definedName>
    <definedName name="PB" localSheetId="22">#REF!</definedName>
    <definedName name="PB" localSheetId="23">#REF!</definedName>
    <definedName name="PB" localSheetId="51">#REF!</definedName>
    <definedName name="PB">#REF!</definedName>
    <definedName name="pbPrinterFormat">"\\nhkgc040pps1\PHKG00311 on Ne03:"</definedName>
    <definedName name="PC" localSheetId="22">#REF!</definedName>
    <definedName name="PC" localSheetId="23">#REF!</definedName>
    <definedName name="PC" localSheetId="51">#REF!</definedName>
    <definedName name="PC">#REF!</definedName>
    <definedName name="PD" localSheetId="22">#REF!</definedName>
    <definedName name="PD" localSheetId="23">#REF!</definedName>
    <definedName name="PD" localSheetId="51">#REF!</definedName>
    <definedName name="PD">#REF!</definedName>
    <definedName name="pdpdpdpdppdpdpdpdpd" localSheetId="22" hidden="1">#REF!</definedName>
    <definedName name="pdpdpdpdppdpdpdpdpd" localSheetId="23" hidden="1">#REF!</definedName>
    <definedName name="pdpdpdpdppdpdpdpdpd" localSheetId="51" hidden="1">#REF!</definedName>
    <definedName name="pdpdpdpdppdpdpdpdpd" hidden="1">#REF!</definedName>
    <definedName name="PE" localSheetId="22">#REF!</definedName>
    <definedName name="PE" localSheetId="23">#REF!</definedName>
    <definedName name="PE" localSheetId="51">#REF!</definedName>
    <definedName name="PE">#REF!</definedName>
    <definedName name="PERANAKAN_PLACE" localSheetId="22">#REF!</definedName>
    <definedName name="PERANAKAN_PLACE" localSheetId="23">#REF!</definedName>
    <definedName name="PERANAKAN_PLACE">#REF!</definedName>
    <definedName name="period" localSheetId="22">#REF!</definedName>
    <definedName name="period" localSheetId="23">#REF!</definedName>
    <definedName name="period">#REF!</definedName>
    <definedName name="PERIODS" localSheetId="22">#REF!</definedName>
    <definedName name="PERIODS" localSheetId="23">#REF!</definedName>
    <definedName name="PERIODS">#REF!</definedName>
    <definedName name="PeriodsInYear" localSheetId="22">#REF!</definedName>
    <definedName name="PeriodsInYear" localSheetId="23">#REF!</definedName>
    <definedName name="PeriodsInYear" localSheetId="51">#REF!</definedName>
    <definedName name="PeriodsInYear">#REF!</definedName>
    <definedName name="PF" localSheetId="22">#REF!</definedName>
    <definedName name="PF" localSheetId="23">#REF!</definedName>
    <definedName name="PF" localSheetId="51">#REF!</definedName>
    <definedName name="PF">#REF!</definedName>
    <definedName name="pfkfdjf" localSheetId="22" hidden="1">#REF!</definedName>
    <definedName name="pfkfdjf" localSheetId="23" hidden="1">#REF!</definedName>
    <definedName name="pfkfdjf" localSheetId="51" hidden="1">#REF!</definedName>
    <definedName name="pfkfdjf" hidden="1">#REF!</definedName>
    <definedName name="PG" localSheetId="22">#REF!</definedName>
    <definedName name="PG" localSheetId="23">#REF!</definedName>
    <definedName name="PG" localSheetId="51">#REF!</definedName>
    <definedName name="PG">#REF!</definedName>
    <definedName name="PH" localSheetId="22">#REF!</definedName>
    <definedName name="PH" localSheetId="23">#REF!</definedName>
    <definedName name="PH" localSheetId="51">#REF!</definedName>
    <definedName name="PH">#REF!</definedName>
    <definedName name="PI" localSheetId="22">#REF!</definedName>
    <definedName name="PI" localSheetId="23">#REF!</definedName>
    <definedName name="PI" localSheetId="51">#REF!</definedName>
    <definedName name="PI">#REF!</definedName>
    <definedName name="PJ" localSheetId="22">#REF!</definedName>
    <definedName name="PJ" localSheetId="23">#REF!</definedName>
    <definedName name="PJ" localSheetId="51">#REF!</definedName>
    <definedName name="PJ">#REF!</definedName>
    <definedName name="PK" localSheetId="22">#REF!</definedName>
    <definedName name="PK" localSheetId="23">#REF!</definedName>
    <definedName name="PK" localSheetId="51">#REF!</definedName>
    <definedName name="PK">#REF!</definedName>
    <definedName name="pkiojkijj" localSheetId="22" hidden="1">#REF!</definedName>
    <definedName name="pkiojkijj" localSheetId="23" hidden="1">#REF!</definedName>
    <definedName name="pkiojkijj" localSheetId="51" hidden="1">#REF!</definedName>
    <definedName name="pkiojkijj" hidden="1">#REF!</definedName>
    <definedName name="P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olololo" localSheetId="22" hidden="1">#REF!</definedName>
    <definedName name="plolololo" localSheetId="23" hidden="1">#REF!</definedName>
    <definedName name="plolololo" localSheetId="51" hidden="1">#REF!</definedName>
    <definedName name="plolololo" hidden="1">#REF!</definedName>
    <definedName name="pl건설" localSheetId="22">#REF!</definedName>
    <definedName name="pl건설" localSheetId="23">#REF!</definedName>
    <definedName name="pl건설">#REF!</definedName>
    <definedName name="pl양재" localSheetId="22">#REF!</definedName>
    <definedName name="pl양재" localSheetId="23">#REF!</definedName>
    <definedName name="pl양재">#REF!</definedName>
    <definedName name="PM" localSheetId="22">#REF!</definedName>
    <definedName name="PM" localSheetId="23">#REF!</definedName>
    <definedName name="PM" localSheetId="51">#REF!</definedName>
    <definedName name="PM">#REF!</definedName>
    <definedName name="PM_Order_Output_New" localSheetId="22">#REF!</definedName>
    <definedName name="PM_Order_Output_New" localSheetId="23">#REF!</definedName>
    <definedName name="PM_Order_Output_New" localSheetId="51">#REF!</definedName>
    <definedName name="PM_Order_Output_New">#REF!</definedName>
    <definedName name="PMem" localSheetId="22">#REF!</definedName>
    <definedName name="PMem" localSheetId="23">#REF!</definedName>
    <definedName name="PMem">#REF!</definedName>
    <definedName name="PMgt" localSheetId="22">#REF!</definedName>
    <definedName name="PMgt" localSheetId="23">#REF!</definedName>
    <definedName name="PMgt">#REF!</definedName>
    <definedName name="PMISFEE" localSheetId="22">#REF!</definedName>
    <definedName name="PMISFEE" localSheetId="23">#REF!</definedName>
    <definedName name="PMISFEE">#REF!</definedName>
    <definedName name="PNL" localSheetId="22" hidden="1">#REF!</definedName>
    <definedName name="PNL" localSheetId="23" hidden="1">#REF!</definedName>
    <definedName name="PNL" hidden="1">#REF!</definedName>
    <definedName name="po" localSheetId="22">#REF!</definedName>
    <definedName name="po" localSheetId="23">#REF!</definedName>
    <definedName name="po">#REF!</definedName>
    <definedName name="Position" localSheetId="22">#REF!</definedName>
    <definedName name="Position" localSheetId="23">#REF!</definedName>
    <definedName name="Position" localSheetId="51">#REF!</definedName>
    <definedName name="Position">#REF!</definedName>
    <definedName name="pp" localSheetId="22" hidden="1">#REF!</definedName>
    <definedName name="pp" localSheetId="23" hidden="1">#REF!</definedName>
    <definedName name="pp" localSheetId="51" hidden="1">#REF!</definedName>
    <definedName name="pp" hidden="1">#REF!</definedName>
    <definedName name="ppms" localSheetId="22">#REF!</definedName>
    <definedName name="ppms" localSheetId="23">#REF!</definedName>
    <definedName name="ppms">#REF!</definedName>
    <definedName name="PRE" localSheetId="22">#REF!</definedName>
    <definedName name="PRE" localSheetId="23">#REF!</definedName>
    <definedName name="PRE">#REF!</definedName>
    <definedName name="PRent" localSheetId="22">#REF!</definedName>
    <definedName name="PRent" localSheetId="23">#REF!</definedName>
    <definedName name="PRent">#REF!</definedName>
    <definedName name="Presentation_Lay_out_Budget" localSheetId="22">#REF!</definedName>
    <definedName name="Presentation_Lay_out_Budget" localSheetId="23">#REF!</definedName>
    <definedName name="Presentation_Lay_out_Budget">#REF!</definedName>
    <definedName name="Presentation_Lay_out_Prev_Yr" localSheetId="22">#REF!</definedName>
    <definedName name="Presentation_Lay_out_Prev_Yr" localSheetId="23">#REF!</definedName>
    <definedName name="Presentation_Lay_out_Prev_Yr">#REF!</definedName>
    <definedName name="PRICE" localSheetId="22">#REF!</definedName>
    <definedName name="PRICE" localSheetId="23">#REF!</definedName>
    <definedName name="PRICE" localSheetId="51">#REF!</definedName>
    <definedName name="PRICE">#REF!</definedName>
    <definedName name="Print" localSheetId="22">#REF!</definedName>
    <definedName name="Print" localSheetId="23">#REF!</definedName>
    <definedName name="Print">#REF!</definedName>
    <definedName name="_xlnm.Print_Area" localSheetId="8">估价师及机构信息!$A$1:$F$29</definedName>
    <definedName name="_xlnm.Print_Area" localSheetId="22">#REF!</definedName>
    <definedName name="_xlnm.Print_Area" localSheetId="23">#REF!</definedName>
    <definedName name="_xlnm.Print_Area" localSheetId="30">'收益法 (元)'!$A$1:$AK$69</definedName>
    <definedName name="_xlnm.Print_Area" localSheetId="29">'收益法（办公）'!$A$1:$AK$69</definedName>
    <definedName name="_xlnm.Print_Area" localSheetId="34">'收益法（车位）'!$A$1:$AK$69</definedName>
    <definedName name="_xlnm.Print_Area" localSheetId="33">'收益法（商业）'!$A$1:$AK$69</definedName>
    <definedName name="_xlnm.Print_Area" localSheetId="14">'数据-汇总表'!$A$1:$P$32</definedName>
    <definedName name="_xlnm.Print_Area" localSheetId="51">现金流预测审核报告!$A$1:$R$77</definedName>
    <definedName name="_xlnm.Print_Area">#REF!</definedName>
    <definedName name="Print_Area_MI" localSheetId="22">#REF!</definedName>
    <definedName name="Print_Area_MI" localSheetId="23">#REF!</definedName>
    <definedName name="Print_Area_MI" localSheetId="51">#REF!</definedName>
    <definedName name="Print_Area_MI">#REF!</definedName>
    <definedName name="PRINT_AREA_MI1" localSheetId="22">#REF!</definedName>
    <definedName name="PRINT_AREA_MI1" localSheetId="23">#REF!</definedName>
    <definedName name="PRINT_AREA_MI1">#REF!</definedName>
    <definedName name="Print_Titl0es" localSheetId="22">#REF!</definedName>
    <definedName name="Print_Titl0es" localSheetId="23">#REF!</definedName>
    <definedName name="Print_Titl0es" localSheetId="51">#REF!</definedName>
    <definedName name="Print_Titl0es">#REF!</definedName>
    <definedName name="print_title" localSheetId="22">#REF!</definedName>
    <definedName name="print_title" localSheetId="23">#REF!</definedName>
    <definedName name="print_title">#REF!</definedName>
    <definedName name="_xlnm.Print_Titles" localSheetId="22">#REF!</definedName>
    <definedName name="_xlnm.Print_Titles" localSheetId="23">#REF!</definedName>
    <definedName name="_xlnm.Print_Titles">#REF!</definedName>
    <definedName name="PRINT_TITLES_MI" localSheetId="22">#REF!</definedName>
    <definedName name="PRINT_TITLES_MI" localSheetId="23">#REF!</definedName>
    <definedName name="PRINT_TITLES_MI">#REF!</definedName>
    <definedName name="PRINT_TITLES_MI1" localSheetId="22">#REF!</definedName>
    <definedName name="PRINT_TITLES_MI1" localSheetId="23">#REF!</definedName>
    <definedName name="PRINT_TITLES_MI1">#REF!</definedName>
    <definedName name="PrintArea" localSheetId="22">#REF!</definedName>
    <definedName name="PrintArea" localSheetId="23">#REF!</definedName>
    <definedName name="PrintArea">#REF!</definedName>
    <definedName name="printarea1" localSheetId="22">#REF!</definedName>
    <definedName name="printarea1" localSheetId="23">#REF!</definedName>
    <definedName name="printarea1">#REF!</definedName>
    <definedName name="PrintManagerQuery" localSheetId="22">#REF!</definedName>
    <definedName name="PrintManagerQuery" localSheetId="23">#REF!</definedName>
    <definedName name="PrintManagerQuery">#REF!</definedName>
    <definedName name="PrintSelectedSheetsMacroButton" localSheetId="22">#REF!</definedName>
    <definedName name="PrintSelectedSheetsMacroButton" localSheetId="23">#REF!</definedName>
    <definedName name="PrintSelectedSheetsMacroButton">#REF!</definedName>
    <definedName name="PROBG_Contracted" localSheetId="22">#REF!</definedName>
    <definedName name="PROBG_Contracted" localSheetId="23">#REF!</definedName>
    <definedName name="PROBG_Contracted" localSheetId="51">#REF!</definedName>
    <definedName name="PROBG_Contracted">#REF!</definedName>
    <definedName name="PROBG_High" localSheetId="22">#REF!</definedName>
    <definedName name="PROBG_High" localSheetId="23">#REF!</definedName>
    <definedName name="PROBG_High" localSheetId="51">#REF!</definedName>
    <definedName name="PROBG_High">#REF!</definedName>
    <definedName name="PROBG_Low" localSheetId="22">#REF!</definedName>
    <definedName name="PROBG_Low" localSheetId="23">#REF!</definedName>
    <definedName name="PROBG_Low" localSheetId="51">#REF!</definedName>
    <definedName name="PROBG_Low">#REF!</definedName>
    <definedName name="PROBG_Medium" localSheetId="22">#REF!</definedName>
    <definedName name="PROBG_Medium" localSheetId="23">#REF!</definedName>
    <definedName name="PROBG_Medium" localSheetId="51">#REF!</definedName>
    <definedName name="PROBG_Medium">#REF!</definedName>
    <definedName name="PROF3A" localSheetId="22">#REF!</definedName>
    <definedName name="PROF3A" localSheetId="23">#REF!</definedName>
    <definedName name="PROF3A">#REF!</definedName>
    <definedName name="PROF3B" localSheetId="22">#REF!</definedName>
    <definedName name="PROF3B" localSheetId="23">#REF!</definedName>
    <definedName name="PROF3B">#REF!</definedName>
    <definedName name="PROFILE1" localSheetId="22">#REF!</definedName>
    <definedName name="PROFILE1" localSheetId="23">#REF!</definedName>
    <definedName name="PROFILE1">#REF!</definedName>
    <definedName name="PROFILE2" localSheetId="22">#REF!</definedName>
    <definedName name="PROFILE2" localSheetId="23">#REF!</definedName>
    <definedName name="PROFILE2">#REF!</definedName>
    <definedName name="ProImportExport.ImportFile">#N/A</definedName>
    <definedName name="ProImportExport.SaveNewFile">#N/A</definedName>
    <definedName name="ProjectName">{"Client Name or Project Name"}</definedName>
    <definedName name="ProposedBid" localSheetId="22">#REF!</definedName>
    <definedName name="ProposedBid" localSheetId="23">#REF!</definedName>
    <definedName name="ProposedBid">#REF!</definedName>
    <definedName name="protection" localSheetId="22">#REF!</definedName>
    <definedName name="protection" localSheetId="23">#REF!</definedName>
    <definedName name="protection" localSheetId="51">#REF!</definedName>
    <definedName name="protection">#REF!</definedName>
    <definedName name="protectiong" localSheetId="22">#REF!</definedName>
    <definedName name="protectiong" localSheetId="23">#REF!</definedName>
    <definedName name="protectiong" localSheetId="51">#REF!</definedName>
    <definedName name="protectiong">#REF!</definedName>
    <definedName name="protectionh" localSheetId="22">#REF!</definedName>
    <definedName name="protectionh" localSheetId="23">#REF!</definedName>
    <definedName name="protectionh" localSheetId="51">#REF!</definedName>
    <definedName name="protectionh">#REF!</definedName>
    <definedName name="protectioni" localSheetId="22">#REF!</definedName>
    <definedName name="protectioni" localSheetId="23">#REF!</definedName>
    <definedName name="protectioni" localSheetId="51">#REF!</definedName>
    <definedName name="protectioni">#REF!</definedName>
    <definedName name="protectionj" localSheetId="22">#REF!</definedName>
    <definedName name="protectionj" localSheetId="23">#REF!</definedName>
    <definedName name="protectionj" localSheetId="51">#REF!</definedName>
    <definedName name="protectionj">#REF!</definedName>
    <definedName name="protectionk" localSheetId="22">#REF!</definedName>
    <definedName name="protectionk" localSheetId="23">#REF!</definedName>
    <definedName name="protectionk" localSheetId="51">#REF!</definedName>
    <definedName name="protectionk">#REF!</definedName>
    <definedName name="protectionl" localSheetId="22">#REF!</definedName>
    <definedName name="protectionl" localSheetId="23">#REF!</definedName>
    <definedName name="protectionl" localSheetId="51">#REF!</definedName>
    <definedName name="protectionl">#REF!</definedName>
    <definedName name="PRT_REP" localSheetId="22">#REF!</definedName>
    <definedName name="PRT_REP" localSheetId="23">#REF!</definedName>
    <definedName name="PRT_REP" localSheetId="51">#REF!</definedName>
    <definedName name="PRT_REP">#REF!</definedName>
    <definedName name="PRYR01" localSheetId="22">#REF!</definedName>
    <definedName name="PRYR01" localSheetId="23">#REF!</definedName>
    <definedName name="PRYR01">#REF!</definedName>
    <definedName name="PRYR02" localSheetId="22">#REF!</definedName>
    <definedName name="PRYR02" localSheetId="23">#REF!</definedName>
    <definedName name="PRYR02">#REF!</definedName>
    <definedName name="PRYR03" localSheetId="22">#REF!</definedName>
    <definedName name="PRYR03" localSheetId="23">#REF!</definedName>
    <definedName name="PRYR03">#REF!</definedName>
    <definedName name="PRYR04" localSheetId="22">#REF!</definedName>
    <definedName name="PRYR04" localSheetId="23">#REF!</definedName>
    <definedName name="PRYR04">#REF!</definedName>
    <definedName name="PRYR05" localSheetId="22">#REF!</definedName>
    <definedName name="PRYR05" localSheetId="23">#REF!</definedName>
    <definedName name="PRYR05">#REF!</definedName>
    <definedName name="PRYRBDGT" localSheetId="22">#REF!</definedName>
    <definedName name="PRYRBDGT" localSheetId="23">#REF!</definedName>
    <definedName name="PRYRBDGT">#REF!</definedName>
    <definedName name="PRYRFAS1" localSheetId="22">#REF!</definedName>
    <definedName name="PRYRFAS1" localSheetId="23">#REF!</definedName>
    <definedName name="PRYRFAS1">#REF!</definedName>
    <definedName name="PRYRFAS2" localSheetId="22">#REF!</definedName>
    <definedName name="PRYRFAS2" localSheetId="23">#REF!</definedName>
    <definedName name="PRYRFAS2">#REF!</definedName>
    <definedName name="PRYRFAS3" localSheetId="22">#REF!</definedName>
    <definedName name="PRYRFAS3" localSheetId="23">#REF!</definedName>
    <definedName name="PRYRFAS3">#REF!</definedName>
    <definedName name="PRYRFAS4" localSheetId="22">#REF!</definedName>
    <definedName name="PRYRFAS4" localSheetId="23">#REF!</definedName>
    <definedName name="PRYRFAS4">#REF!</definedName>
    <definedName name="PRYRFAS5" localSheetId="22">#REF!</definedName>
    <definedName name="PRYRFAS5" localSheetId="23">#REF!</definedName>
    <definedName name="PRYRFAS5">#REF!</definedName>
    <definedName name="PRYRSTAT" localSheetId="22">#REF!</definedName>
    <definedName name="PRYRSTAT" localSheetId="23">#REF!</definedName>
    <definedName name="PRYRSTAT">#REF!</definedName>
    <definedName name="ps" localSheetId="22">#REF!</definedName>
    <definedName name="ps" localSheetId="23">#REF!</definedName>
    <definedName name="ps">#REF!</definedName>
    <definedName name="PSMMod" localSheetId="22">#REF!</definedName>
    <definedName name="PSMMod" localSheetId="23">#REF!</definedName>
    <definedName name="PSMMod">#REF!</definedName>
    <definedName name="PT" localSheetId="22">#REF!</definedName>
    <definedName name="PT" localSheetId="23">#REF!</definedName>
    <definedName name="PT">#REF!</definedName>
    <definedName name="PTEeXToEUR" localSheetId="22" hidden="1">1/EUReXToPTE</definedName>
    <definedName name="PTEeXToEUR" localSheetId="23" hidden="1">1/EUReXToPTE</definedName>
    <definedName name="PTEeXToEUR" localSheetId="51" hidden="1">1/EUReXToPTE</definedName>
    <definedName name="PTEeXToEUR" hidden="1">1/EUReXToPTE</definedName>
    <definedName name="PUB_FileID" hidden="1">"L10003787.xls"</definedName>
    <definedName name="PUB_UserID" hidden="1">"MAYERX"</definedName>
    <definedName name="Purchase_Price" localSheetId="22">#REF!</definedName>
    <definedName name="Purchase_Price" localSheetId="23">#REF!</definedName>
    <definedName name="Purchase_Price">#REF!</definedName>
    <definedName name="PurchasePrice" localSheetId="22">#REF!</definedName>
    <definedName name="PurchasePrice" localSheetId="23">#REF!</definedName>
    <definedName name="PurchasePrice">#REF!</definedName>
    <definedName name="PurchaseStrategy" localSheetId="22">#REF!</definedName>
    <definedName name="PurchaseStrategy" localSheetId="23">#REF!</definedName>
    <definedName name="PurchaseStrategy">#REF!</definedName>
    <definedName name="pxpxpxpxpxppx" localSheetId="22" hidden="1">#REF!</definedName>
    <definedName name="pxpxpxpxpxppx" localSheetId="23" hidden="1">#REF!</definedName>
    <definedName name="pxpxpxpxpxppx" localSheetId="51" hidden="1">#REF!</definedName>
    <definedName name="pxpxpxpxpxppx" hidden="1">#REF!</definedName>
    <definedName name="PY" localSheetId="22">#REF!</definedName>
    <definedName name="PY" localSheetId="23">#REF!</definedName>
    <definedName name="PY" localSheetId="51">#REF!</definedName>
    <definedName name="PY">#REF!</definedName>
    <definedName name="pykygukuygkgjh" localSheetId="22" hidden="1">#REF!</definedName>
    <definedName name="pykygukuygkgjh" localSheetId="23" hidden="1">#REF!</definedName>
    <definedName name="pykygukuygkgjh" localSheetId="51" hidden="1">#REF!</definedName>
    <definedName name="pykygukuygkgjh" hidden="1">#REF!</definedName>
    <definedName name="PZ" localSheetId="22">#REF!</definedName>
    <definedName name="PZ" localSheetId="23">#REF!</definedName>
    <definedName name="PZ" localSheetId="51">#REF!</definedName>
    <definedName name="PZ">#REF!</definedName>
    <definedName name="q" hidden="1">{"CSheet",#N/A,FALSE,"C";"SmCap",#N/A,FALSE,"VAL1";"GulfCoast",#N/A,FALSE,"VAL1";"nav",#N/A,FALSE,"NAV";"Summary",#N/A,FALSE,"NAV"}</definedName>
    <definedName name="q_1" hidden="1">{"CSheet",#N/A,FALSE,"C";"SmCap",#N/A,FALSE,"VAL1";"GulfCoast",#N/A,FALSE,"VAL1";"nav",#N/A,FALSE,"NAV";"Summary",#N/A,FALSE,"NAV"}</definedName>
    <definedName name="q_1_1" hidden="1">{"CSheet",#N/A,FALSE,"C";"SmCap",#N/A,FALSE,"VAL1";"GulfCoast",#N/A,FALSE,"VAL1";"nav",#N/A,FALSE,"NAV";"Summary",#N/A,FALSE,"NAV"}</definedName>
    <definedName name="Q_실적2" localSheetId="22">#REF!</definedName>
    <definedName name="Q_실적2" localSheetId="23">#REF!</definedName>
    <definedName name="Q_실적2">#REF!</definedName>
    <definedName name="QDRQ_2">#N/A</definedName>
    <definedName name="QDRQ_3">#N/A</definedName>
    <definedName name="QDRQ_5">#N/A</definedName>
    <definedName name="qeqw" localSheetId="22" hidden="1">#REF!</definedName>
    <definedName name="qeqw" localSheetId="23" hidden="1">#REF!</definedName>
    <definedName name="qeqw" localSheetId="51" hidden="1">#REF!</definedName>
    <definedName name="qeqw" hidden="1">#REF!</definedName>
    <definedName name="qer" hidden="1">{"mgmt forecast",#N/A,FALSE,"Mgmt Forecast";"dcf table",#N/A,FALSE,"Mgmt Forecast";"sensitivity",#N/A,FALSE,"Mgmt Forecast";"table inputs",#N/A,FALSE,"Mgmt Forecast";"calculations",#N/A,FALSE,"Mgmt Forecast"}</definedName>
    <definedName name="qer_1" hidden="1">{"mgmt forecast",#N/A,FALSE,"Mgmt Forecast";"dcf table",#N/A,FALSE,"Mgmt Forecast";"sensitivity",#N/A,FALSE,"Mgmt Forecast";"table inputs",#N/A,FALSE,"Mgmt Forecast";"calculations",#N/A,FALSE,"Mgmt Forecast"}</definedName>
    <definedName name="qer_1_1" hidden="1">{"mgmt forecast",#N/A,FALSE,"Mgmt Forecast";"dcf table",#N/A,FALSE,"Mgmt Forecast";"sensitivity",#N/A,FALSE,"Mgmt Forecast";"table inputs",#N/A,FALSE,"Mgmt Forecast";"calculations",#N/A,FALSE,"Mgmt Forecast"}</definedName>
    <definedName name="qqq" localSheetId="22">#REF!</definedName>
    <definedName name="qqq" localSheetId="23">#REF!</definedName>
    <definedName name="qqq">#REF!</definedName>
    <definedName name="qqqqq" localSheetId="22" hidden="1">#REF!</definedName>
    <definedName name="qqqqq" localSheetId="23" hidden="1">#REF!</definedName>
    <definedName name="qqqqq" localSheetId="51" hidden="1">#REF!</definedName>
    <definedName name="qqqqq" hidden="1">#REF!</definedName>
    <definedName name="qqqqqqq" localSheetId="22">#REF!</definedName>
    <definedName name="qqqqqqq" localSheetId="23">#REF!</definedName>
    <definedName name="qqqqqqq">#REF!</definedName>
    <definedName name="qqqqqqqqqqqqqqq"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qqqqqqqqqqqqqqqq" hidden="1">{"'home'!$F$26","'home'!$A$1:$J$25"}</definedName>
    <definedName name="qrqrqrqrrqra" localSheetId="22" hidden="1">#REF!</definedName>
    <definedName name="qrqrqrqrrqra" localSheetId="23" hidden="1">#REF!</definedName>
    <definedName name="qrqrqrqrrqra" localSheetId="51" hidden="1">#REF!</definedName>
    <definedName name="qrqrqrqrrqra" hidden="1">#REF!</definedName>
    <definedName name="QTD" hidden="1">{"'Check Request'!$A$1:$BF$37"}</definedName>
    <definedName name="QtrActualTotal" localSheetId="22">#REF!</definedName>
    <definedName name="QtrActualTotal" localSheetId="23">#REF!</definedName>
    <definedName name="QtrActualTotal" localSheetId="51">#REF!</definedName>
    <definedName name="QtrActualTotal">#REF!</definedName>
    <definedName name="QtrActualTotalDetail" localSheetId="22">#REF!</definedName>
    <definedName name="QtrActualTotalDetail" localSheetId="23">#REF!</definedName>
    <definedName name="QtrActualTotalDetail" localSheetId="51">#REF!</definedName>
    <definedName name="QtrActualTotalDetail">#REF!</definedName>
    <definedName name="QtrCAOTotal" localSheetId="22">#REF!</definedName>
    <definedName name="QtrCAOTotal" localSheetId="23">#REF!</definedName>
    <definedName name="QtrCAOTotal" localSheetId="51">#REF!</definedName>
    <definedName name="QtrCAOTotal">#REF!</definedName>
    <definedName name="QtrCAOTotalDetail" localSheetId="22">#REF!</definedName>
    <definedName name="QtrCAOTotalDetail" localSheetId="23">#REF!</definedName>
    <definedName name="QtrCAOTotalDetail" localSheetId="51">#REF!</definedName>
    <definedName name="QtrCAOTotalDetail">#REF!</definedName>
    <definedName name="QtrCWVTotal" localSheetId="22">#REF!</definedName>
    <definedName name="QtrCWVTotal" localSheetId="23">#REF!</definedName>
    <definedName name="QtrCWVTotal" localSheetId="51">#REF!</definedName>
    <definedName name="QtrCWVTotal">#REF!</definedName>
    <definedName name="QtrCWVTotalDetail" localSheetId="22">#REF!</definedName>
    <definedName name="QtrCWVTotalDetail" localSheetId="23">#REF!</definedName>
    <definedName name="QtrCWVTotalDetail" localSheetId="51">#REF!</definedName>
    <definedName name="QtrCWVTotalDetail">#REF!</definedName>
    <definedName name="QtrFunnelTotalDetail" localSheetId="22">#REF!</definedName>
    <definedName name="QtrFunnelTotalDetail" localSheetId="23">#REF!</definedName>
    <definedName name="QtrFunnelTotalDetail" localSheetId="51">#REF!</definedName>
    <definedName name="QtrFunnelTotalDetail">#REF!</definedName>
    <definedName name="QtrMLVTotalDetail" localSheetId="22">#REF!</definedName>
    <definedName name="QtrMLVTotalDetail" localSheetId="23">#REF!</definedName>
    <definedName name="QtrMLVTotalDetail" localSheetId="51">#REF!</definedName>
    <definedName name="QtrMLVTotalDetail">#REF!</definedName>
    <definedName name="QtrMustWinTotalDetail" localSheetId="22">#REF!</definedName>
    <definedName name="QtrMustWinTotalDetail" localSheetId="23">#REF!</definedName>
    <definedName name="QtrMustWinTotalDetail" localSheetId="51">#REF!</definedName>
    <definedName name="QtrMustWinTotalDetail">#REF!</definedName>
    <definedName name="QtrOutlookTotal" localSheetId="22">#REF!</definedName>
    <definedName name="QtrOutlookTotal" localSheetId="23">#REF!</definedName>
    <definedName name="QtrOutlookTotal" localSheetId="51">#REF!</definedName>
    <definedName name="QtrOutlookTotal">#REF!</definedName>
    <definedName name="QtrRange" localSheetId="22">#REF!</definedName>
    <definedName name="QtrRange" localSheetId="23">#REF!</definedName>
    <definedName name="QtrRange" localSheetId="51">#REF!</definedName>
    <definedName name="QtrRange">#REF!</definedName>
    <definedName name="Query1" localSheetId="22">#REF!</definedName>
    <definedName name="Query1" localSheetId="23">#REF!</definedName>
    <definedName name="Query1">#REF!</definedName>
    <definedName name="Question3" localSheetId="22">#REF!</definedName>
    <definedName name="Question3" localSheetId="23">#REF!</definedName>
    <definedName name="Question3" localSheetId="51">#REF!</definedName>
    <definedName name="Question3">#REF!</definedName>
    <definedName name="quit_button_Click">#N/A</definedName>
    <definedName name="qwe" localSheetId="22">#REF!</definedName>
    <definedName name="qwe" localSheetId="23">#REF!</definedName>
    <definedName name="qwe">#REF!</definedName>
    <definedName name="qwerqew" hidden="1">{"mgmt forecast",#N/A,FALSE,"Mgmt Forecast";"dcf table",#N/A,FALSE,"Mgmt Forecast";"sensitivity",#N/A,FALSE,"Mgmt Forecast";"table inputs",#N/A,FALSE,"Mgmt Forecast";"calculations",#N/A,FALSE,"Mgmt Forecast"}</definedName>
    <definedName name="qwerqew_1" hidden="1">{"mgmt forecast",#N/A,FALSE,"Mgmt Forecast";"dcf table",#N/A,FALSE,"Mgmt Forecast";"sensitivity",#N/A,FALSE,"Mgmt Forecast";"table inputs",#N/A,FALSE,"Mgmt Forecast";"calculations",#N/A,FALSE,"Mgmt Forecast"}</definedName>
    <definedName name="qwerqew_1_1" hidden="1">{"mgmt forecast",#N/A,FALSE,"Mgmt Forecast";"dcf table",#N/A,FALSE,"Mgmt Forecast";"sensitivity",#N/A,FALSE,"Mgmt Forecast";"table inputs",#N/A,FALSE,"Mgmt Forecast";"calculations",#N/A,FALSE,"Mgmt Forecast"}</definedName>
    <definedName name="qwerqwerqwe" hidden="1">{"orixcsc",#N/A,FALSE,"ORIX CSC";"orixcsc2",#N/A,FALSE,"ORIX CSC"}</definedName>
    <definedName name="qwerqwerqwe_1" hidden="1">{"orixcsc",#N/A,FALSE,"ORIX CSC";"orixcsc2",#N/A,FALSE,"ORIX CSC"}</definedName>
    <definedName name="qwerqwerqwe_1_1" hidden="1">{"orixcsc",#N/A,FALSE,"ORIX CSC";"orixcsc2",#N/A,FALSE,"ORIX CSC"}</definedName>
    <definedName name="qwerty" hidden="1">{#N/A,#N/A,TRUE,"FOC_Product_Assumptions"}</definedName>
    <definedName name="qwerty_1" hidden="1">{#N/A,#N/A,TRUE,"FOC_Product_Assumptions"}</definedName>
    <definedName name="qwerty_1_1" hidden="1">{#N/A,#N/A,TRUE,"FOC_Product_Assumptions"}</definedName>
    <definedName name="rack" localSheetId="22">#REF!</definedName>
    <definedName name="rack" localSheetId="23">#REF!</definedName>
    <definedName name="rack" localSheetId="51">#REF!</definedName>
    <definedName name="rack">#REF!</definedName>
    <definedName name="RATE1" localSheetId="22">#REF!</definedName>
    <definedName name="RATE1" localSheetId="23">#REF!</definedName>
    <definedName name="RATE1">#REF!</definedName>
    <definedName name="RATE2" localSheetId="22">#REF!</definedName>
    <definedName name="RATE2" localSheetId="23">#REF!</definedName>
    <definedName name="RATE2">#REF!</definedName>
    <definedName name="RATE3" localSheetId="22">#REF!</definedName>
    <definedName name="RATE3" localSheetId="23">#REF!</definedName>
    <definedName name="RATE3">#REF!</definedName>
    <definedName name="RATE4" localSheetId="22">#REF!</definedName>
    <definedName name="RATE4" localSheetId="23">#REF!</definedName>
    <definedName name="RATE4">#REF!</definedName>
    <definedName name="RATE6" localSheetId="22">#REF!</definedName>
    <definedName name="RATE6" localSheetId="23">#REF!</definedName>
    <definedName name="RATE6">#REF!</definedName>
    <definedName name="RATE7" localSheetId="22">#REF!</definedName>
    <definedName name="RATE7" localSheetId="23">#REF!</definedName>
    <definedName name="RATE7">#REF!</definedName>
    <definedName name="RATE9" localSheetId="22">#REF!</definedName>
    <definedName name="RATE9" localSheetId="23">#REF!</definedName>
    <definedName name="RATE9">#REF!</definedName>
    <definedName name="RATEA" localSheetId="22">#REF!</definedName>
    <definedName name="RATEA" localSheetId="23">#REF!</definedName>
    <definedName name="RATEA">#REF!</definedName>
    <definedName name="re" localSheetId="22" hidden="1">#REF!</definedName>
    <definedName name="re" localSheetId="23" hidden="1">#REF!</definedName>
    <definedName name="re" hidden="1">#REF!</definedName>
    <definedName name="redo" hidden="1">{#N/A,#N/A,FALSE,"ACQ_GRAPHS";#N/A,#N/A,FALSE,"T_1 GRAPHS";#N/A,#N/A,FALSE,"T_2 GRAPHS";#N/A,#N/A,FALSE,"COMB_GRAPHS"}</definedName>
    <definedName name="redo_1" hidden="1">{#N/A,#N/A,FALSE,"ACQ_GRAPHS";#N/A,#N/A,FALSE,"T_1 GRAPHS";#N/A,#N/A,FALSE,"T_2 GRAPHS";#N/A,#N/A,FALSE,"COMB_GRAPHS"}</definedName>
    <definedName name="redo_1_1" hidden="1">{#N/A,#N/A,FALSE,"ACQ_GRAPHS";#N/A,#N/A,FALSE,"T_1 GRAPHS";#N/A,#N/A,FALSE,"T_2 GRAPHS";#N/A,#N/A,FALSE,"COMB_GRAPHS"}</definedName>
    <definedName name="Ref_1" localSheetId="22">#REF!</definedName>
    <definedName name="Ref_1" localSheetId="23">#REF!</definedName>
    <definedName name="Ref_1">#REF!</definedName>
    <definedName name="Ref_10" localSheetId="22">#REF!</definedName>
    <definedName name="Ref_10" localSheetId="23">#REF!</definedName>
    <definedName name="Ref_10">#REF!</definedName>
    <definedName name="Ref_11" localSheetId="22">#REF!</definedName>
    <definedName name="Ref_11" localSheetId="23">#REF!</definedName>
    <definedName name="Ref_11">#REF!</definedName>
    <definedName name="Ref_12" localSheetId="22">#REF!</definedName>
    <definedName name="Ref_12" localSheetId="23">#REF!</definedName>
    <definedName name="Ref_12">#REF!</definedName>
    <definedName name="Ref_13" localSheetId="22">#REF!</definedName>
    <definedName name="Ref_13" localSheetId="23">#REF!</definedName>
    <definedName name="Ref_13">#REF!</definedName>
    <definedName name="Ref_14" localSheetId="22">#REF!</definedName>
    <definedName name="Ref_14" localSheetId="23">#REF!</definedName>
    <definedName name="Ref_14">#REF!</definedName>
    <definedName name="Ref_15" localSheetId="22">#REF!</definedName>
    <definedName name="Ref_15" localSheetId="23">#REF!</definedName>
    <definedName name="Ref_15">#REF!</definedName>
    <definedName name="Ref_2" localSheetId="22">#REF!</definedName>
    <definedName name="Ref_2" localSheetId="23">#REF!</definedName>
    <definedName name="Ref_2">#REF!</definedName>
    <definedName name="Ref_3" localSheetId="22">#REF!</definedName>
    <definedName name="Ref_3" localSheetId="23">#REF!</definedName>
    <definedName name="Ref_3">#REF!</definedName>
    <definedName name="Ref_4" localSheetId="22">#REF!</definedName>
    <definedName name="Ref_4" localSheetId="23">#REF!</definedName>
    <definedName name="Ref_4">#REF!</definedName>
    <definedName name="Ref_5" localSheetId="22">#REF!</definedName>
    <definedName name="Ref_5" localSheetId="23">#REF!</definedName>
    <definedName name="Ref_5">#REF!</definedName>
    <definedName name="Ref_6" localSheetId="22">#REF!</definedName>
    <definedName name="Ref_6" localSheetId="23">#REF!</definedName>
    <definedName name="Ref_6">#REF!</definedName>
    <definedName name="Ref_7" localSheetId="22">#REF!</definedName>
    <definedName name="Ref_7" localSheetId="23">#REF!</definedName>
    <definedName name="Ref_7">#REF!</definedName>
    <definedName name="Ref_8" localSheetId="22">#REF!</definedName>
    <definedName name="Ref_8" localSheetId="23">#REF!</definedName>
    <definedName name="Ref_8">#REF!</definedName>
    <definedName name="Ref_9" localSheetId="22">#REF!</definedName>
    <definedName name="Ref_9" localSheetId="23">#REF!</definedName>
    <definedName name="Ref_9">#REF!</definedName>
    <definedName name="ReFiDate" localSheetId="22">#REF!</definedName>
    <definedName name="ReFiDate" localSheetId="23">#REF!</definedName>
    <definedName name="ReFiDate">#REF!</definedName>
    <definedName name="ReFiExist" localSheetId="22">#REF!</definedName>
    <definedName name="ReFiExist" localSheetId="23">#REF!</definedName>
    <definedName name="ReFiExist">#REF!</definedName>
    <definedName name="ReFiOption" localSheetId="22">#REF!</definedName>
    <definedName name="ReFiOption" localSheetId="23">#REF!</definedName>
    <definedName name="ReFiOption">#REF!</definedName>
    <definedName name="RefNOI" localSheetId="22">#REF!</definedName>
    <definedName name="RefNOI" localSheetId="23">#REF!</definedName>
    <definedName name="RefNOI">#REF!</definedName>
    <definedName name="RefYear" localSheetId="22">#REF!</definedName>
    <definedName name="RefYear" localSheetId="23">#REF!</definedName>
    <definedName name="RefYear">#REF!</definedName>
    <definedName name="rel" localSheetId="22">#REF!</definedName>
    <definedName name="rel" localSheetId="23">#REF!</definedName>
    <definedName name="rel" localSheetId="51">#REF!</definedName>
    <definedName name="rel">#REF!</definedName>
    <definedName name="rent" localSheetId="22">#REF!</definedName>
    <definedName name="rent" localSheetId="23">#REF!</definedName>
    <definedName name="rent">#REF!</definedName>
    <definedName name="Rent_Roll" localSheetId="22">#REF!</definedName>
    <definedName name="Rent_Roll" localSheetId="23">#REF!</definedName>
    <definedName name="Rent_Roll">#REF!</definedName>
    <definedName name="Report" localSheetId="22">#REF!</definedName>
    <definedName name="Report" localSheetId="23">#REF!</definedName>
    <definedName name="Report">#REF!</definedName>
    <definedName name="REPORT1" localSheetId="22">#REF!</definedName>
    <definedName name="REPORT1" localSheetId="23">#REF!</definedName>
    <definedName name="REPORT1">#REF!</definedName>
    <definedName name="REPORT2" localSheetId="22">#REF!</definedName>
    <definedName name="REPORT2" localSheetId="23">#REF!</definedName>
    <definedName name="REPORT2">#REF!</definedName>
    <definedName name="ReportCreated">TRUE</definedName>
    <definedName name="ReportFooter1" localSheetId="22">#REF!</definedName>
    <definedName name="ReportFooter1" localSheetId="23">#REF!</definedName>
    <definedName name="ReportFooter1" localSheetId="51">#REF!</definedName>
    <definedName name="ReportFooter1">#REF!</definedName>
    <definedName name="ReportFooter2" localSheetId="22">#REF!</definedName>
    <definedName name="ReportFooter2" localSheetId="23">#REF!</definedName>
    <definedName name="ReportFooter2" localSheetId="51">#REF!</definedName>
    <definedName name="ReportFooter2">#REF!</definedName>
    <definedName name="ReportFooter3" localSheetId="22">#REF!</definedName>
    <definedName name="ReportFooter3" localSheetId="23">#REF!</definedName>
    <definedName name="ReportFooter3" localSheetId="51">#REF!</definedName>
    <definedName name="ReportFooter3">#REF!</definedName>
    <definedName name="ReportGroup" hidden="1">0</definedName>
    <definedName name="reportPl">#N/A</definedName>
    <definedName name="rere" hidden="1">{#N/A,#N/A,FALSE,"ORIX CSC"}</definedName>
    <definedName name="rere_1" hidden="1">{#N/A,#N/A,FALSE,"ORIX CSC"}</definedName>
    <definedName name="rere_1_1" hidden="1">{#N/A,#N/A,FALSE,"ORIX CSC"}</definedName>
    <definedName name="rerere" hidden="1">{"mgmt forecast",#N/A,FALSE,"Mgmt Forecast";"dcf table",#N/A,FALSE,"Mgmt Forecast";"sensitivity",#N/A,FALSE,"Mgmt Forecast";"table inputs",#N/A,FALSE,"Mgmt Forecast";"calculations",#N/A,FALSE,"Mgmt Forecast"}</definedName>
    <definedName name="rerere_1" hidden="1">{"mgmt forecast",#N/A,FALSE,"Mgmt Forecast";"dcf table",#N/A,FALSE,"Mgmt Forecast";"sensitivity",#N/A,FALSE,"Mgmt Forecast";"table inputs",#N/A,FALSE,"Mgmt Forecast";"calculations",#N/A,FALSE,"Mgmt Forecast"}</definedName>
    <definedName name="rerere_1_1" hidden="1">{"mgmt forecast",#N/A,FALSE,"Mgmt Forecast";"dcf table",#N/A,FALSE,"Mgmt Forecast";"sensitivity",#N/A,FALSE,"Mgmt Forecast";"table inputs",#N/A,FALSE,"Mgmt Forecast";"calculations",#N/A,FALSE,"Mgmt Forecast"}</definedName>
    <definedName name="Residual1">#N/A</definedName>
    <definedName name="residual2">#N/A</definedName>
    <definedName name="RetailRentalGrowth_evy3yr" localSheetId="22">#REF!</definedName>
    <definedName name="RetailRentalGrowth_evy3yr" localSheetId="23">#REF!</definedName>
    <definedName name="RetailRentalGrowth_evy3yr">#REF!</definedName>
    <definedName name="RevDCurSuffix" localSheetId="22">#REF!</definedName>
    <definedName name="RevDCurSuffix" localSheetId="23">#REF!</definedName>
    <definedName name="RevDCurSuffix" localSheetId="51">#REF!</definedName>
    <definedName name="RevDCurSuffix">#REF!</definedName>
    <definedName name="RevDCurSym" localSheetId="22">#REF!</definedName>
    <definedName name="RevDCurSym" localSheetId="23">#REF!</definedName>
    <definedName name="RevDCurSym" localSheetId="51">#REF!</definedName>
    <definedName name="RevDCurSym">#REF!</definedName>
    <definedName name="RevDSuffix" localSheetId="22">#REF!</definedName>
    <definedName name="RevDSuffix" localSheetId="23">#REF!</definedName>
    <definedName name="RevDSuffix" localSheetId="51">#REF!</definedName>
    <definedName name="RevDSuffix">#REF!</definedName>
    <definedName name="RevDSym" localSheetId="22">#REF!</definedName>
    <definedName name="RevDSym" localSheetId="23">#REF!</definedName>
    <definedName name="RevDSym" localSheetId="51">#REF!</definedName>
    <definedName name="RevDSym">#REF!</definedName>
    <definedName name="Revenue" hidden="1">{"mgmt forecast",#N/A,FALSE,"Mgmt Forecast";"dcf table",#N/A,FALSE,"Mgmt Forecast";"sensitivity",#N/A,FALSE,"Mgmt Forecast";"table inputs",#N/A,FALSE,"Mgmt Forecast";"calculations",#N/A,FALSE,"Mgmt Forecast"}</definedName>
    <definedName name="RevenueDenominator" localSheetId="22">#REF!</definedName>
    <definedName name="RevenueDenominator" localSheetId="23">#REF!</definedName>
    <definedName name="RevenueDenominator" localSheetId="51">#REF!</definedName>
    <definedName name="RevenueDenominator">#REF!</definedName>
    <definedName name="RevenueLimit" localSheetId="22">#REF!</definedName>
    <definedName name="RevenueLimit" localSheetId="23">#REF!</definedName>
    <definedName name="RevenueLimit" localSheetId="51">#REF!</definedName>
    <definedName name="RevenueLimit">#REF!</definedName>
    <definedName name="RevenueLimitHeading" localSheetId="22">#REF!</definedName>
    <definedName name="RevenueLimitHeading" localSheetId="23">#REF!</definedName>
    <definedName name="RevenueLimitHeading" localSheetId="51">#REF!</definedName>
    <definedName name="RevenueLimitHeading">#REF!</definedName>
    <definedName name="Revision" localSheetId="22">#REF!</definedName>
    <definedName name="Revision" localSheetId="23">#REF!</definedName>
    <definedName name="Revision" localSheetId="51">#REF!</definedName>
    <definedName name="Revision">#REF!</definedName>
    <definedName name="rgbrbwsd" localSheetId="22" hidden="1">#REF!</definedName>
    <definedName name="rgbrbwsd" localSheetId="23" hidden="1">#REF!</definedName>
    <definedName name="rgbrbwsd" localSheetId="51" hidden="1">#REF!</definedName>
    <definedName name="rgbrbwsd" hidden="1">#REF!</definedName>
    <definedName name="rhs" hidden="1">{#N/A,#N/A,TRUE,"KEY DATA";#N/A,#N/A,TRUE,"KEY DATA Base Case";#N/A,#N/A,TRUE,"JULY";#N/A,#N/A,TRUE,"AUG";#N/A,#N/A,TRUE,"SEPT";#N/A,#N/A,TRUE,"3Q"}</definedName>
    <definedName name="rhs_1" hidden="1">{#N/A,#N/A,TRUE,"KEY DATA";#N/A,#N/A,TRUE,"KEY DATA Base Case";#N/A,#N/A,TRUE,"JULY";#N/A,#N/A,TRUE,"AUG";#N/A,#N/A,TRUE,"SEPT";#N/A,#N/A,TRUE,"3Q"}</definedName>
    <definedName name="rhs_1_1" hidden="1">{#N/A,#N/A,TRUE,"KEY DATA";#N/A,#N/A,TRUE,"KEY DATA Base Case";#N/A,#N/A,TRUE,"JULY";#N/A,#N/A,TRUE,"AUG";#N/A,#N/A,TRUE,"SEPT";#N/A,#N/A,TRUE,"3Q"}</definedName>
    <definedName name="Riacove" localSheetId="22">#REF!</definedName>
    <definedName name="Riacove" localSheetId="23">#REF!</definedName>
    <definedName name="Riacove">#REF!</definedName>
    <definedName name="Rights_Issue_Price_for_IMM" localSheetId="22">#REF!</definedName>
    <definedName name="Rights_Issue_Price_for_IMM" localSheetId="23">#REF!</definedName>
    <definedName name="Rights_Issue_Price_for_IMM">#REF!</definedName>
    <definedName name="Rights_Issue_Price_Per_Unit_for_IMM" localSheetId="22">#REF!</definedName>
    <definedName name="Rights_Issue_Price_Per_Unit_for_IMM" localSheetId="23">#REF!</definedName>
    <definedName name="Rights_Issue_Price_Per_Unit_for_IMM">#REF!</definedName>
    <definedName name="RightsPrice" localSheetId="22">#REF!</definedName>
    <definedName name="RightsPrice" localSheetId="23">#REF!</definedName>
    <definedName name="RightsPrice">#REF!</definedName>
    <definedName name="RightsPx" localSheetId="22">#REF!</definedName>
    <definedName name="RightsPx" localSheetId="23">#REF!</definedName>
    <definedName name="RightsPx">#REF!</definedName>
    <definedName name="RISKFREERATE" localSheetId="22">#REF!</definedName>
    <definedName name="RISKFREERATE" localSheetId="23">#REF!</definedName>
    <definedName name="RISKFREERATE">#REF!</definedName>
    <definedName name="RK" localSheetId="22">BlankMacro1</definedName>
    <definedName name="RK" localSheetId="23">BlankMacro1</definedName>
    <definedName name="RK">BlankMacro1</definedName>
    <definedName name="RmapAE_CTWINN" localSheetId="22">#REF!</definedName>
    <definedName name="RmapAE_CTWINN" localSheetId="23">#REF!</definedName>
    <definedName name="RmapAE_CTWINN" localSheetId="51">#REF!</definedName>
    <definedName name="RmapAE_CTWINN">#REF!</definedName>
    <definedName name="RmapAE_DROLFE" localSheetId="22">#REF!</definedName>
    <definedName name="RmapAE_DROLFE" localSheetId="23">#REF!</definedName>
    <definedName name="RmapAE_DROLFE" localSheetId="51">#REF!</definedName>
    <definedName name="RmapAE_DROLFE">#REF!</definedName>
    <definedName name="RmapAE_DUDLEYJOHNSON" localSheetId="22">#REF!</definedName>
    <definedName name="RmapAE_DUDLEYJOHNSON" localSheetId="23">#REF!</definedName>
    <definedName name="RmapAE_DUDLEYJOHNSON" localSheetId="51">#REF!</definedName>
    <definedName name="RmapAE_DUDLEYJOHNSON">#REF!</definedName>
    <definedName name="RmapAE_JIMDWYER" localSheetId="22">#REF!</definedName>
    <definedName name="RmapAE_JIMDWYER" localSheetId="23">#REF!</definedName>
    <definedName name="RmapAE_JIMDWYER" localSheetId="51">#REF!</definedName>
    <definedName name="RmapAE_JIMDWYER">#REF!</definedName>
    <definedName name="RmapAE_MVODONOGHUE" localSheetId="22">#REF!</definedName>
    <definedName name="RmapAE_MVODONOGHUE" localSheetId="23">#REF!</definedName>
    <definedName name="RmapAE_MVODONOGHUE" localSheetId="51">#REF!</definedName>
    <definedName name="RmapAE_MVODONOGHUE">#REF!</definedName>
    <definedName name="RmapAE_PASCOE" localSheetId="22">#REF!</definedName>
    <definedName name="RmapAE_PASCOE" localSheetId="23">#REF!</definedName>
    <definedName name="RmapAE_PASCOE" localSheetId="51">#REF!</definedName>
    <definedName name="RmapAE_PASCOE">#REF!</definedName>
    <definedName name="RmapAE_RSPALDING" localSheetId="22">#REF!</definedName>
    <definedName name="RmapAE_RSPALDING" localSheetId="23">#REF!</definedName>
    <definedName name="RmapAE_RSPALDING" localSheetId="51">#REF!</definedName>
    <definedName name="RmapAE_RSPALDING">#REF!</definedName>
    <definedName name="RmapAE_THIRU" localSheetId="22">#REF!</definedName>
    <definedName name="RmapAE_THIRU" localSheetId="23">#REF!</definedName>
    <definedName name="RmapAE_THIRU" localSheetId="51">#REF!</definedName>
    <definedName name="RmapAE_THIRU">#REF!</definedName>
    <definedName name="RMCOptions">"*100000000000000"</definedName>
    <definedName name="RND" localSheetId="22">#REF!</definedName>
    <definedName name="RND" localSheetId="23">#REF!</definedName>
    <definedName name="RND">#REF!</definedName>
    <definedName name="round">1</definedName>
    <definedName name="rr" localSheetId="22" hidden="1">#REF!</definedName>
    <definedName name="rr" localSheetId="23" hidden="1">#REF!</definedName>
    <definedName name="rr" localSheetId="51" hidden="1">#REF!</definedName>
    <definedName name="rr" hidden="1">#REF!</definedName>
    <definedName name="rs" localSheetId="22">#REF!</definedName>
    <definedName name="rs" localSheetId="23">#REF!</definedName>
    <definedName name="rs">#REF!</definedName>
    <definedName name="RunDate" localSheetId="22">#REF!</definedName>
    <definedName name="RunDate" localSheetId="23">#REF!</definedName>
    <definedName name="RunDate" localSheetId="51">#REF!</definedName>
    <definedName name="RunDate">#REF!</definedName>
    <definedName name="RunHorzHeader" localSheetId="22">#REF!</definedName>
    <definedName name="RunHorzHeader" localSheetId="23">#REF!</definedName>
    <definedName name="RunHorzHeader">#REF!</definedName>
    <definedName name="RunResults" localSheetId="22">#REF!</definedName>
    <definedName name="RunResults" localSheetId="23">#REF!</definedName>
    <definedName name="RunResults">#REF!</definedName>
    <definedName name="RunVertHeader" localSheetId="22">#REF!</definedName>
    <definedName name="RunVertHeader" localSheetId="23">#REF!</definedName>
    <definedName name="RunVertHeader">#REF!</definedName>
    <definedName name="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2GFA" localSheetId="22">#REF!</definedName>
    <definedName name="S2GFA" localSheetId="23">#REF!</definedName>
    <definedName name="S2GFA">#REF!</definedName>
    <definedName name="S2P" localSheetId="22">#REF!</definedName>
    <definedName name="S2P" localSheetId="23">#REF!</definedName>
    <definedName name="S2P">#REF!</definedName>
    <definedName name="sadf" hidden="1">{"mgmt forecast",#N/A,FALSE,"Mgmt Forecast";"dcf table",#N/A,FALSE,"Mgmt Forecast";"sensitivity",#N/A,FALSE,"Mgmt Forecast";"table inputs",#N/A,FALSE,"Mgmt Forecast";"calculations",#N/A,FALSE,"Mgmt Forecast"}</definedName>
    <definedName name="sadf_1" hidden="1">{"mgmt forecast",#N/A,FALSE,"Mgmt Forecast";"dcf table",#N/A,FALSE,"Mgmt Forecast";"sensitivity",#N/A,FALSE,"Mgmt Forecast";"table inputs",#N/A,FALSE,"Mgmt Forecast";"calculations",#N/A,FALSE,"Mgmt Forecast"}</definedName>
    <definedName name="sadf_1_1" hidden="1">{"mgmt forecast",#N/A,FALSE,"Mgmt Forecast";"dcf table",#N/A,FALSE,"Mgmt Forecast";"sensitivity",#N/A,FALSE,"Mgmt Forecast";"table inputs",#N/A,FALSE,"Mgmt Forecast";"calculations",#N/A,FALSE,"Mgmt Forecast"}</definedName>
    <definedName name="sadfasd" hidden="1">{"HOMEPAGE",#N/A,FALSE,"HOME";"Report1_Q1",#N/A,FALSE,"REPORT1"}</definedName>
    <definedName name="Sale" localSheetId="22">#REF!</definedName>
    <definedName name="Sale" localSheetId="23">#REF!</definedName>
    <definedName name="Sale">#REF!</definedName>
    <definedName name="SaleCap" localSheetId="22">#REF!</definedName>
    <definedName name="SaleCap" localSheetId="23">#REF!</definedName>
    <definedName name="SaleCap">#REF!</definedName>
    <definedName name="Sales_Stage_01_Color" localSheetId="22">#REF!</definedName>
    <definedName name="Sales_Stage_01_Color" localSheetId="23">#REF!</definedName>
    <definedName name="Sales_Stage_01_Color" localSheetId="51">#REF!</definedName>
    <definedName name="Sales_Stage_01_Color">#REF!</definedName>
    <definedName name="Sales_Stage_02_Color" localSheetId="22">#REF!</definedName>
    <definedName name="Sales_Stage_02_Color" localSheetId="23">#REF!</definedName>
    <definedName name="Sales_Stage_02_Color" localSheetId="51">#REF!</definedName>
    <definedName name="Sales_Stage_02_Color">#REF!</definedName>
    <definedName name="Sales_Stage_03_Color" localSheetId="22">#REF!</definedName>
    <definedName name="Sales_Stage_03_Color" localSheetId="23">#REF!</definedName>
    <definedName name="Sales_Stage_03_Color" localSheetId="51">#REF!</definedName>
    <definedName name="Sales_Stage_03_Color">#REF!</definedName>
    <definedName name="Sales_Stage_04_Color" localSheetId="22">#REF!</definedName>
    <definedName name="Sales_Stage_04_Color" localSheetId="23">#REF!</definedName>
    <definedName name="Sales_Stage_04_Color" localSheetId="51">#REF!</definedName>
    <definedName name="Sales_Stage_04_Color">#REF!</definedName>
    <definedName name="Sales_Stage_05_Color" localSheetId="22">#REF!</definedName>
    <definedName name="Sales_Stage_05_Color" localSheetId="23">#REF!</definedName>
    <definedName name="Sales_Stage_05_Color" localSheetId="51">#REF!</definedName>
    <definedName name="Sales_Stage_05_Color">#REF!</definedName>
    <definedName name="Sales_Stage_06_Color" localSheetId="22">#REF!</definedName>
    <definedName name="Sales_Stage_06_Color" localSheetId="23">#REF!</definedName>
    <definedName name="Sales_Stage_06_Color" localSheetId="51">#REF!</definedName>
    <definedName name="Sales_Stage_06_Color">#REF!</definedName>
    <definedName name="Sales_Stage_07_Color" localSheetId="22">#REF!</definedName>
    <definedName name="Sales_Stage_07_Color" localSheetId="23">#REF!</definedName>
    <definedName name="Sales_Stage_07_Color" localSheetId="51">#REF!</definedName>
    <definedName name="Sales_Stage_07_Color">#REF!</definedName>
    <definedName name="SalesFunnelIndirectKey" localSheetId="22">#REF!</definedName>
    <definedName name="SalesFunnelIndirectKey" localSheetId="23">#REF!</definedName>
    <definedName name="SalesFunnelIndirectKey" localSheetId="51">#REF!</definedName>
    <definedName name="SalesFunnelIndirectKey">#REF!</definedName>
    <definedName name="SAM" localSheetId="22">#REF!</definedName>
    <definedName name="SAM" localSheetId="23">#REF!</definedName>
    <definedName name="SAM">#REF!</definedName>
    <definedName name="SAMPLES" localSheetId="22">#REF!</definedName>
    <definedName name="SAMPLES" localSheetId="23">#REF!</definedName>
    <definedName name="SAMPLES">#REF!</definedName>
    <definedName name="SAPBEXbbsBack" hidden="1">"xSAPtemp8096.xls"</definedName>
    <definedName name="SAPBEXdnldView" hidden="1">"4CHD85AIUJ4JIFNGMXM0I9XKV"</definedName>
    <definedName name="SAPBEXhrIndnt" hidden="1">"Wide"</definedName>
    <definedName name="SAPBEXrevision" hidden="1">1</definedName>
    <definedName name="SAPBEXREVISIONN" hidden="1">25</definedName>
    <definedName name="SAPBEXsysID" hidden="1">"CLP"</definedName>
    <definedName name="SAPBEXwbID" hidden="1">"3TLMCL3K8CE7SEIWN3CTUICEL"</definedName>
    <definedName name="SAPFuncF4Help" localSheetId="22">Main.SAPF4Help()</definedName>
    <definedName name="SAPFuncF4Help" localSheetId="23">Main.SAPF4Help()</definedName>
    <definedName name="SAPFuncF4Help" localSheetId="51">Main.SAPF4Help()</definedName>
    <definedName name="SAPFuncF4Help">Main.SAPF4Help()</definedName>
    <definedName name="SAPsysID" hidden="1">"708C5W7SBKP804JT78WJ0JNKI"</definedName>
    <definedName name="SAPwbID" hidden="1">"ARS"</definedName>
    <definedName name="SaveNewFile">#N/A</definedName>
    <definedName name="SCA" localSheetId="22">#REF!</definedName>
    <definedName name="SCA" localSheetId="23">#REF!</definedName>
    <definedName name="SCA" localSheetId="51">#REF!</definedName>
    <definedName name="SCA">#REF!</definedName>
    <definedName name="SCHED" localSheetId="22">#REF!</definedName>
    <definedName name="SCHED" localSheetId="23">#REF!</definedName>
    <definedName name="SCHED" localSheetId="51">#REF!</definedName>
    <definedName name="SCHED">#REF!</definedName>
    <definedName name="SChonsei" localSheetId="22">#REF!</definedName>
    <definedName name="SChonsei" localSheetId="23">#REF!</definedName>
    <definedName name="SChonsei">#REF!</definedName>
    <definedName name="SCREEN_OFF" localSheetId="22">#REF!</definedName>
    <definedName name="SCREEN_OFF" localSheetId="23">#REF!</definedName>
    <definedName name="SCREEN_OFF" localSheetId="51">#REF!</definedName>
    <definedName name="SCREEN_OFF">#REF!</definedName>
    <definedName name="SCREEN_ON" localSheetId="22">#REF!</definedName>
    <definedName name="SCREEN_ON" localSheetId="23">#REF!</definedName>
    <definedName name="SCREEN_ON" localSheetId="51">#REF!</definedName>
    <definedName name="SCREEN_ON">#REF!</definedName>
    <definedName name="sd"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sda" hidden="1">{#N/A,#N/A,FALSE,"TS";#N/A,#N/A,FALSE,"Combo";#N/A,#N/A,FALSE,"FAIR";#N/A,#N/A,FALSE,"RBC";#N/A,#N/A,FALSE,"xxxx";#N/A,#N/A,FALSE,"A_D";#N/A,#N/A,FALSE,"WACC";#N/A,#N/A,FALSE,"DCF";#N/A,#N/A,FALSE,"LBO";#N/A,#N/A,FALSE,"AcqMults";#N/A,#N/A,FALSE,"CompMults"}</definedName>
    <definedName name="sda_1" hidden="1">{#N/A,#N/A,FALSE,"TS";#N/A,#N/A,FALSE,"Combo";#N/A,#N/A,FALSE,"FAIR";#N/A,#N/A,FALSE,"RBC";#N/A,#N/A,FALSE,"xxxx";#N/A,#N/A,FALSE,"A_D";#N/A,#N/A,FALSE,"WACC";#N/A,#N/A,FALSE,"DCF";#N/A,#N/A,FALSE,"LBO";#N/A,#N/A,FALSE,"AcqMults";#N/A,#N/A,FALSE,"CompMults"}</definedName>
    <definedName name="sda_1_1" hidden="1">{#N/A,#N/A,FALSE,"TS";#N/A,#N/A,FALSE,"Combo";#N/A,#N/A,FALSE,"FAIR";#N/A,#N/A,FALSE,"RBC";#N/A,#N/A,FALSE,"xxxx";#N/A,#N/A,FALSE,"A_D";#N/A,#N/A,FALSE,"WACC";#N/A,#N/A,FALSE,"DCF";#N/A,#N/A,FALSE,"LBO";#N/A,#N/A,FALSE,"AcqMults";#N/A,#N/A,FALSE,"CompMults"}</definedName>
    <definedName name="sdasdsad" hidden="1">{#N/A,#N/A,TRUE,"Falcons_Standalone";#N/A,#N/A,TRUE,"Target_Input";#N/A,#N/A,TRUE,"Target_Calendarized"}</definedName>
    <definedName name="sdasdsad_1" hidden="1">{#N/A,#N/A,TRUE,"Falcons_Standalone";#N/A,#N/A,TRUE,"Target_Input";#N/A,#N/A,TRUE,"Target_Calendarized"}</definedName>
    <definedName name="sdasdsad_1_1" hidden="1">{#N/A,#N/A,TRUE,"Falcons_Standalone";#N/A,#N/A,TRUE,"Target_Input";#N/A,#N/A,TRUE,"Target_Calendarized"}</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1_1" hidden="1">{#N/A,#N/A,FALSE,"Aging Summary";#N/A,#N/A,FALSE,"Ratio Analysis";#N/A,#N/A,FALSE,"Test 120 Day Accts";#N/A,#N/A,FALSE,"Tickmarks"}</definedName>
    <definedName name="sdfsdf" hidden="1">{#N/A,#N/A,TRUE,"Acquirer_Cases_Input";#N/A,#N/A,TRUE,"Acquirer_Input";#N/A,#N/A,TRUE,"Acquirer"}</definedName>
    <definedName name="sdfsdf_1" hidden="1">{#N/A,#N/A,TRUE,"Acquirer_Cases_Input";#N/A,#N/A,TRUE,"Acquirer_Input";#N/A,#N/A,TRUE,"Acquirer"}</definedName>
    <definedName name="sdfsdf_1_1" hidden="1">{#N/A,#N/A,TRUE,"Acquirer_Cases_Input";#N/A,#N/A,TRUE,"Acquirer_Input";#N/A,#N/A,TRUE,"Acquirer"}</definedName>
    <definedName name="SecondYear" localSheetId="22">#REF!</definedName>
    <definedName name="SecondYear" localSheetId="23">#REF!</definedName>
    <definedName name="SecondYear" localSheetId="51">#REF!</definedName>
    <definedName name="SecondYear">#REF!</definedName>
    <definedName name="SelectedYear" localSheetId="22">#REF!</definedName>
    <definedName name="SelectedYear" localSheetId="23">#REF!</definedName>
    <definedName name="SelectedYear" localSheetId="51">#REF!</definedName>
    <definedName name="SelectedYear">#REF!</definedName>
    <definedName name="Sell_price" localSheetId="22">#REF!</definedName>
    <definedName name="Sell_price" localSheetId="23">#REF!</definedName>
    <definedName name="Sell_price">#REF!</definedName>
    <definedName name="sencount" hidden="1">1</definedName>
    <definedName name="September" localSheetId="22">#REF!</definedName>
    <definedName name="September" localSheetId="23">#REF!</definedName>
    <definedName name="September">#REF!</definedName>
    <definedName name="SetCategory" localSheetId="22">#REF!</definedName>
    <definedName name="SetCategory" localSheetId="23">#REF!</definedName>
    <definedName name="SetCategory">#REF!</definedName>
    <definedName name="sfgsdfg" hidden="1">{"VIEW ACTUALS 1",#N/A,TRUE,"Report1";"VIEW ACTUALS 2",#N/A,TRUE,"Report1";"SCALE COMPARISON",#N/A,TRUE,"Report1"}</definedName>
    <definedName name="sfgsfdg" hidden="1">{"VIEW ACTUALS 1",#N/A,TRUE,"Report1";"VIEW ACTUALS 2",#N/A,TRUE,"Report1";"SCALE COMPARISON",#N/A,TRUE,"Report1"}</definedName>
    <definedName name="sfgsfg" hidden="1">{"HOMEPAGE",#N/A,FALSE,"HOME";"Report1_Q1",#N/A,FALSE,"REPORT1"}</definedName>
    <definedName name="sgp" hidden="1">{"'0103'!$A$455:$O$585"}</definedName>
    <definedName name="SHARED_FORMULA_0">#N/A</definedName>
    <definedName name="Sheet1" localSheetId="22">#REF!</definedName>
    <definedName name="Sheet1" localSheetId="23">#REF!</definedName>
    <definedName name="Sheet1" localSheetId="51">#REF!</definedName>
    <definedName name="Sheet1">#REF!</definedName>
    <definedName name="Sheet12" localSheetId="22">#REF!</definedName>
    <definedName name="Sheet12" localSheetId="23">#REF!</definedName>
    <definedName name="Sheet12" localSheetId="51">#REF!</definedName>
    <definedName name="Sheet12">#REF!</definedName>
    <definedName name="Sheet13" localSheetId="22">#REF!</definedName>
    <definedName name="Sheet13" localSheetId="23">#REF!</definedName>
    <definedName name="Sheet13" localSheetId="51">#REF!</definedName>
    <definedName name="Sheet13">#REF!</definedName>
    <definedName name="SheetHeaderRowCount" localSheetId="22">#REF!</definedName>
    <definedName name="SheetHeaderRowCount" localSheetId="23">#REF!</definedName>
    <definedName name="SheetHeaderRowCount" localSheetId="51">#REF!</definedName>
    <definedName name="SheetHeaderRowCount">#REF!</definedName>
    <definedName name="SheetName" localSheetId="22">#REF!</definedName>
    <definedName name="SheetName" localSheetId="23">#REF!</definedName>
    <definedName name="SheetName" localSheetId="51">#REF!</definedName>
    <definedName name="SheetName">#REF!</definedName>
    <definedName name="SheetRightmostCol" localSheetId="22">#REF!</definedName>
    <definedName name="SheetRightmostCol" localSheetId="23">#REF!</definedName>
    <definedName name="SheetRightmostCol" localSheetId="51">#REF!</definedName>
    <definedName name="SheetRightmostCol">#REF!</definedName>
    <definedName name="SHOA" hidden="1">{#N/A,#N/A,FALSE,"Virgin Flightdeck"}</definedName>
    <definedName name="SHOA_1" hidden="1">{#N/A,#N/A,FALSE,"Virgin Flightdeck"}</definedName>
    <definedName name="SHOA_1_1" hidden="1">{#N/A,#N/A,FALSE,"Virgin Flightdeck"}</definedName>
    <definedName name="SleepmasterIncome" hidden="1">{#N/A,#N/A,FALSE,"TS";#N/A,#N/A,FALSE,"Combo";#N/A,#N/A,FALSE,"FAIR";#N/A,#N/A,FALSE,"RBC";#N/A,#N/A,FALSE,"xxxx";#N/A,#N/A,FALSE,"A_D";#N/A,#N/A,FALSE,"WACC";#N/A,#N/A,FALSE,"DCF";#N/A,#N/A,FALSE,"LBO";#N/A,#N/A,FALSE,"AcqMults";#N/A,#N/A,FALSE,"CompMults"}</definedName>
    <definedName name="SleepmasterIncome_1" hidden="1">{#N/A,#N/A,FALSE,"TS";#N/A,#N/A,FALSE,"Combo";#N/A,#N/A,FALSE,"FAIR";#N/A,#N/A,FALSE,"RBC";#N/A,#N/A,FALSE,"xxxx";#N/A,#N/A,FALSE,"A_D";#N/A,#N/A,FALSE,"WACC";#N/A,#N/A,FALSE,"DCF";#N/A,#N/A,FALSE,"LBO";#N/A,#N/A,FALSE,"AcqMults";#N/A,#N/A,FALSE,"CompMults"}</definedName>
    <definedName name="SleepmasterIncome_1_1" hidden="1">{#N/A,#N/A,FALSE,"TS";#N/A,#N/A,FALSE,"Combo";#N/A,#N/A,FALSE,"FAIR";#N/A,#N/A,FALSE,"RBC";#N/A,#N/A,FALSE,"xxxx";#N/A,#N/A,FALSE,"A_D";#N/A,#N/A,FALSE,"WACC";#N/A,#N/A,FALSE,"DCF";#N/A,#N/A,FALSE,"LBO";#N/A,#N/A,FALSE,"AcqMults";#N/A,#N/A,FALSE,"CompMults"}</definedName>
    <definedName name="SMA_HOUSE" localSheetId="22">#REF!</definedName>
    <definedName name="SMA_HOUSE" localSheetId="23">#REF!</definedName>
    <definedName name="SMA_HOUSE">#REF!</definedName>
    <definedName name="small_ch" localSheetId="22">#REF!</definedName>
    <definedName name="small_ch" localSheetId="23">#REF!</definedName>
    <definedName name="small_ch">#REF!</definedName>
    <definedName name="SMC_overview" localSheetId="22">#REF!</definedName>
    <definedName name="SMC_overview" localSheetId="23">#REF!</definedName>
    <definedName name="SMC_overview" localSheetId="51">#REF!</definedName>
    <definedName name="SMC_overview">#REF!</definedName>
    <definedName name="SnapshotChartData" localSheetId="22">#REF!</definedName>
    <definedName name="SnapshotChartData" localSheetId="23">#REF!</definedName>
    <definedName name="SnapshotChartData" localSheetId="51">#REF!</definedName>
    <definedName name="SnapshotChartData">#REF!</definedName>
    <definedName name="SnapshotChartData_Weighted" localSheetId="22">#REF!</definedName>
    <definedName name="SnapshotChartData_Weighted" localSheetId="23">#REF!</definedName>
    <definedName name="SnapshotChartData_Weighted" localSheetId="51">#REF!</definedName>
    <definedName name="SnapshotChartData_Weighted">#REF!</definedName>
    <definedName name="SnapshotChartDataDetail" localSheetId="22">#REF!</definedName>
    <definedName name="SnapshotChartDataDetail" localSheetId="23">#REF!</definedName>
    <definedName name="SnapshotChartDataDetail" localSheetId="51">#REF!</definedName>
    <definedName name="SnapshotChartDataDetail">#REF!</definedName>
    <definedName name="SnapshotChartQtrData" localSheetId="22">#REF!</definedName>
    <definedName name="SnapshotChartQtrData" localSheetId="23">#REF!</definedName>
    <definedName name="SnapshotChartQtrData" localSheetId="51">#REF!</definedName>
    <definedName name="SnapshotChartQtrData">#REF!</definedName>
    <definedName name="SnapshotChartQtrDataDetail" localSheetId="22">#REF!</definedName>
    <definedName name="SnapshotChartQtrDataDetail" localSheetId="23">#REF!</definedName>
    <definedName name="SnapshotChartQtrDataDetail" localSheetId="51">#REF!</definedName>
    <definedName name="SnapshotChartQtrDataDetail">#REF!</definedName>
    <definedName name="SnapshotQuarterChartDataDetail" localSheetId="22">#REF!</definedName>
    <definedName name="SnapshotQuarterChartDataDetail" localSheetId="23">#REF!</definedName>
    <definedName name="SnapshotQuarterChartDataDetail" localSheetId="51">#REF!</definedName>
    <definedName name="SnapshotQuarterChartDataDetail">#REF!</definedName>
    <definedName name="Snow" hidden="1">{#N/A,#N/A,FALSE,"Virgin Flightdeck"}</definedName>
    <definedName name="Snow_1" hidden="1">{#N/A,#N/A,FALSE,"Virgin Flightdeck"}</definedName>
    <definedName name="Snow_1_1" hidden="1">{#N/A,#N/A,FALSE,"Virgin Flightdeck"}</definedName>
    <definedName name="solver_adj" localSheetId="22" hidden="1">#REF!</definedName>
    <definedName name="solver_adj" localSheetId="23" hidden="1">#REF!</definedName>
    <definedName name="solver_adj" localSheetId="51" hidden="1">#REF!</definedName>
    <definedName name="solver_adj" hidden="1">#REF!</definedName>
    <definedName name="solver_cvg" hidden="1">0.0001</definedName>
    <definedName name="solver_drv" hidden="1">1</definedName>
    <definedName name="solver_est" hidden="1">1</definedName>
    <definedName name="solver_itr" hidden="1">100</definedName>
    <definedName name="solver_lhs1" localSheetId="22" hidden="1">#REF!</definedName>
    <definedName name="solver_lhs1" localSheetId="23" hidden="1">#REF!</definedName>
    <definedName name="solver_lhs1" hidden="1">#REF!</definedName>
    <definedName name="solver_lin" hidden="1">2</definedName>
    <definedName name="solver_neg" hidden="1">2</definedName>
    <definedName name="solver_num" hidden="1">0</definedName>
    <definedName name="solver_nwt" hidden="1">1</definedName>
    <definedName name="solver_opt" localSheetId="22" hidden="1">#REF!</definedName>
    <definedName name="solver_opt" localSheetId="23" hidden="1">#REF!</definedName>
    <definedName name="solver_opt" localSheetId="51" hidden="1">#REF!</definedName>
    <definedName name="solver_opt" hidden="1">#REF!</definedName>
    <definedName name="solver_pre" hidden="1">0.000001</definedName>
    <definedName name="solver_rel1" hidden="1">1</definedName>
    <definedName name="solver_rhs1" localSheetId="22" hidden="1">#REF!*1.5</definedName>
    <definedName name="solver_rhs1" localSheetId="23" hidden="1">#REF!*1.5</definedName>
    <definedName name="solver_rhs1" hidden="1">#REF!*1.5</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pec" localSheetId="22">#REF!</definedName>
    <definedName name="Spec" localSheetId="23">#REF!</definedName>
    <definedName name="Spec">#REF!</definedName>
    <definedName name="spot" localSheetId="22">#REF!</definedName>
    <definedName name="spot" localSheetId="23">#REF!</definedName>
    <definedName name="spot">#REF!</definedName>
    <definedName name="sss" hidden="1">{#N/A,#N/A,FALSE,"资产负债表";#N/A,#N/A,FALSE,"资产负债表"}</definedName>
    <definedName name="sss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ssssssssd" hidden="1">{"Issues1",#N/A,FALSE,"Issues"}</definedName>
    <definedName name="sssssssssssssss" hidden="1">{"mgmt forecast",#N/A,FALSE,"Mgmt Forecast";"dcf table",#N/A,FALSE,"Mgmt Forecast";"sensitivity",#N/A,FALSE,"Mgmt Forecast";"table inputs",#N/A,FALSE,"Mgmt Forecast";"calculations",#N/A,FALSE,"Mgmt Forecast"}</definedName>
    <definedName name="stacking">#N/A</definedName>
    <definedName name="standard" localSheetId="22">#REF!</definedName>
    <definedName name="standard" localSheetId="23">#REF!</definedName>
    <definedName name="standard" localSheetId="51">#REF!</definedName>
    <definedName name="standard">#REF!</definedName>
    <definedName name="StartingYear" localSheetId="22">#REF!</definedName>
    <definedName name="StartingYear" localSheetId="23">#REF!</definedName>
    <definedName name="StartingYear" localSheetId="51">#REF!</definedName>
    <definedName name="StartingYear">#REF!</definedName>
    <definedName name="ste" hidden="1">{#N/A,#N/A,FALSE,"Virgin Flightdeck"}</definedName>
    <definedName name="ste_1" hidden="1">{#N/A,#N/A,FALSE,"Virgin Flightdeck"}</definedName>
    <definedName name="ste_1_1" hidden="1">{#N/A,#N/A,FALSE,"Virgin Flightdeck"}</definedName>
    <definedName name="stud1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UMMARY_BOOK" hidden="1">{"page1",#N/A,FALSE,"GIRLBO";"page2",#N/A,FALSE,"GIRLBO";"page3",#N/A,FALSE,"GIRLBO";"page4",#N/A,FALSE,"GIRLBO";"page5",#N/A,FALSE,"GIRLBO"}</definedName>
    <definedName name="SUMMARY_BOOK_1" hidden="1">{"page1",#N/A,FALSE,"GIRLBO";"page2",#N/A,FALSE,"GIRLBO";"page3",#N/A,FALSE,"GIRLBO";"page4",#N/A,FALSE,"GIRLBO";"page5",#N/A,FALSE,"GIRLBO"}</definedName>
    <definedName name="SUMMARY_BOOK_1_1" hidden="1">{"page1",#N/A,FALSE,"GIRLBO";"page2",#N/A,FALSE,"GIRLBO";"page3",#N/A,FALSE,"GIRLBO";"page4",#N/A,FALSE,"GIRLBO";"page5",#N/A,FALSE,"GIRLBO"}</definedName>
    <definedName name="Summary_Budget_Form_For_Development_Expenditure" localSheetId="22">#REF!</definedName>
    <definedName name="Summary_Budget_Form_For_Development_Expenditure" localSheetId="23">#REF!</definedName>
    <definedName name="Summary_Budget_Form_For_Development_Expenditure">#REF!</definedName>
    <definedName name="summary3" hidden="1">{#N/A,#N/A,FALSE,"Virgin Flightdeck"}</definedName>
    <definedName name="summary3_1" hidden="1">{#N/A,#N/A,FALSE,"Virgin Flightdeck"}</definedName>
    <definedName name="summary3_1_1" hidden="1">{#N/A,#N/A,FALSE,"Virgin Flightdeck"}</definedName>
    <definedName name="SummaryBLG" localSheetId="22">#REF!</definedName>
    <definedName name="SummaryBLG" localSheetId="23">#REF!</definedName>
    <definedName name="SummaryBLG" localSheetId="51">#REF!</definedName>
    <definedName name="SummaryBLG">#REF!</definedName>
    <definedName name="SummaryDR" localSheetId="22">#REF!</definedName>
    <definedName name="SummaryDR" localSheetId="23">#REF!</definedName>
    <definedName name="SummaryDR" localSheetId="51">#REF!</definedName>
    <definedName name="SummaryDR">#REF!</definedName>
    <definedName name="summaryty" hidden="1">{#N/A,#N/A,TRUE,"KEY DATA";#N/A,#N/A,TRUE,"KEY DATA Base Case";#N/A,#N/A,TRUE,"JULY";#N/A,#N/A,TRUE,"AUG";#N/A,#N/A,TRUE,"SEPT";#N/A,#N/A,TRUE,"3Q"}</definedName>
    <definedName name="summaryty." hidden="1">{#N/A,#N/A,TRUE,"KEY DATA";#N/A,#N/A,TRUE,"KEY DATA Base Case";#N/A,#N/A,TRUE,"JULY";#N/A,#N/A,TRUE,"AUG";#N/A,#N/A,TRUE,"SEPT";#N/A,#N/A,TRUE,"3Q"}</definedName>
    <definedName name="summaryty._1" hidden="1">{#N/A,#N/A,TRUE,"KEY DATA";#N/A,#N/A,TRUE,"KEY DATA Base Case";#N/A,#N/A,TRUE,"JULY";#N/A,#N/A,TRUE,"AUG";#N/A,#N/A,TRUE,"SEPT";#N/A,#N/A,TRUE,"3Q"}</definedName>
    <definedName name="summaryty._1_1" hidden="1">{#N/A,#N/A,TRUE,"KEY DATA";#N/A,#N/A,TRUE,"KEY DATA Base Case";#N/A,#N/A,TRUE,"JULY";#N/A,#N/A,TRUE,"AUG";#N/A,#N/A,TRUE,"SEPT";#N/A,#N/A,TRUE,"3Q"}</definedName>
    <definedName name="summaryty_1" hidden="1">{#N/A,#N/A,TRUE,"KEY DATA";#N/A,#N/A,TRUE,"KEY DATA Base Case";#N/A,#N/A,TRUE,"JULY";#N/A,#N/A,TRUE,"AUG";#N/A,#N/A,TRUE,"SEPT";#N/A,#N/A,TRUE,"3Q"}</definedName>
    <definedName name="summaryty_1_1" hidden="1">{#N/A,#N/A,TRUE,"KEY DATA";#N/A,#N/A,TRUE,"KEY DATA Base Case";#N/A,#N/A,TRUE,"JULY";#N/A,#N/A,TRUE,"AUG";#N/A,#N/A,TRUE,"SEPT";#N/A,#N/A,TRUE,"3Q"}</definedName>
    <definedName name="SUPPLIER" hidden="1">{#N/A,#N/A,FALSE,"IS";#N/A,#N/A,FALSE,"BS";#N/A,#N/A,FALSE,"RMA";#N/A,#N/A,FALSE,"INCOME";#N/A,#N/A,FALSE,"DCF";#N/A,#N/A,FALSE,"MARKET"}</definedName>
    <definedName name="SUPPLIER_1" hidden="1">{#N/A,#N/A,FALSE,"IS";#N/A,#N/A,FALSE,"BS";#N/A,#N/A,FALSE,"RMA";#N/A,#N/A,FALSE,"INCOME";#N/A,#N/A,FALSE,"DCF";#N/A,#N/A,FALSE,"MARKET"}</definedName>
    <definedName name="SUPPLIER_1_1" hidden="1">{#N/A,#N/A,FALSE,"IS";#N/A,#N/A,FALSE,"BS";#N/A,#N/A,FALSE,"RMA";#N/A,#N/A,FALSE,"INCOME";#N/A,#N/A,FALSE,"DCF";#N/A,#N/A,FALSE,"MARKET"}</definedName>
    <definedName name="SY" localSheetId="22">#REF!</definedName>
    <definedName name="SY" localSheetId="23">#REF!</definedName>
    <definedName name="SY">#REF!</definedName>
    <definedName name="T_Borr" localSheetId="22">#REF!</definedName>
    <definedName name="T_Borr" localSheetId="23">#REF!</definedName>
    <definedName name="T_Borr">#REF!</definedName>
    <definedName name="T_Pay" localSheetId="22">#REF!</definedName>
    <definedName name="T_Pay" localSheetId="23">#REF!</definedName>
    <definedName name="T_Pay">#REF!</definedName>
    <definedName name="tax" localSheetId="22">#REF!</definedName>
    <definedName name="tax" localSheetId="23">#REF!</definedName>
    <definedName name="tax">#REF!</definedName>
    <definedName name="TB" localSheetId="22">#REF!</definedName>
    <definedName name="TB" localSheetId="23">#REF!</definedName>
    <definedName name="TB">#REF!</definedName>
    <definedName name="TBTOP" localSheetId="22">#REF!</definedName>
    <definedName name="TBTOP" localSheetId="23">#REF!</definedName>
    <definedName name="TBTOP">#REF!</definedName>
    <definedName name="tc" localSheetId="22">#REF!</definedName>
    <definedName name="tc" localSheetId="23">#REF!</definedName>
    <definedName name="tc">#REF!</definedName>
    <definedName name="TChonsei" localSheetId="22">#REF!</definedName>
    <definedName name="TChonsei" localSheetId="23">#REF!</definedName>
    <definedName name="TChonsei">#REF!</definedName>
    <definedName name="TDeposit" localSheetId="22">#REF!</definedName>
    <definedName name="TDeposit" localSheetId="23">#REF!</definedName>
    <definedName name="TDeposit">#REF!</definedName>
    <definedName name="TDM" localSheetId="22">#REF!</definedName>
    <definedName name="TDM" localSheetId="23">#REF!</definedName>
    <definedName name="TDM" localSheetId="51">#REF!</definedName>
    <definedName name="TDM">#REF!</definedName>
    <definedName name="temp" hidden="1">{#N/A,#N/A,FALSE,"PL MAR";#N/A,#N/A,FALSE,"Trend99";#N/A,#N/A,FALSE,"Bal Sheets ";#N/A,#N/A,FALSE,"YTD"}</definedName>
    <definedName name="temp." hidden="1">{#N/A,#N/A,TRUE,"KEY DATA";#N/A,#N/A,TRUE,"KEY DATA Base Case";#N/A,#N/A,TRUE,"JULY";#N/A,#N/A,TRUE,"AUG";#N/A,#N/A,TRUE,"SEPT";#N/A,#N/A,TRUE,"3Q"}</definedName>
    <definedName name="temp._1" hidden="1">{#N/A,#N/A,TRUE,"KEY DATA";#N/A,#N/A,TRUE,"KEY DATA Base Case";#N/A,#N/A,TRUE,"JULY";#N/A,#N/A,TRUE,"AUG";#N/A,#N/A,TRUE,"SEPT";#N/A,#N/A,TRUE,"3Q"}</definedName>
    <definedName name="temp._1_1" hidden="1">{#N/A,#N/A,TRUE,"KEY DATA";#N/A,#N/A,TRUE,"KEY DATA Base Case";#N/A,#N/A,TRUE,"JULY";#N/A,#N/A,TRUE,"AUG";#N/A,#N/A,TRUE,"SEPT";#N/A,#N/A,TRUE,"3Q"}</definedName>
    <definedName name="temp_1" hidden="1">{#N/A,#N/A,FALSE,"PL MAR";#N/A,#N/A,FALSE,"Trend99";#N/A,#N/A,FALSE,"Bal Sheets ";#N/A,#N/A,FALSE,"YTD"}</definedName>
    <definedName name="temp_1_1" hidden="1">{#N/A,#N/A,FALSE,"PL MAR";#N/A,#N/A,FALSE,"Trend99";#N/A,#N/A,FALSE,"Bal Sheets ";#N/A,#N/A,FALSE,"YTD"}</definedName>
    <definedName name="temp12" hidden="1">{#N/A,#N/A,TRUE,"KEY DATA";#N/A,#N/A,TRUE,"KEY DATA Base Case";#N/A,#N/A,TRUE,"JULY";#N/A,#N/A,TRUE,"AUG";#N/A,#N/A,TRUE,"SEPT";#N/A,#N/A,TRUE,"3Q"}</definedName>
    <definedName name="temp12." hidden="1">{#N/A,#N/A,TRUE,"KEY DATA";#N/A,#N/A,TRUE,"KEY DATA Base Case";#N/A,#N/A,TRUE,"JULY";#N/A,#N/A,TRUE,"AUG";#N/A,#N/A,TRUE,"SEPT";#N/A,#N/A,TRUE,"3Q"}</definedName>
    <definedName name="temp12._1" hidden="1">{#N/A,#N/A,TRUE,"KEY DATA";#N/A,#N/A,TRUE,"KEY DATA Base Case";#N/A,#N/A,TRUE,"JULY";#N/A,#N/A,TRUE,"AUG";#N/A,#N/A,TRUE,"SEPT";#N/A,#N/A,TRUE,"3Q"}</definedName>
    <definedName name="temp12._1_1" hidden="1">{#N/A,#N/A,TRUE,"KEY DATA";#N/A,#N/A,TRUE,"KEY DATA Base Case";#N/A,#N/A,TRUE,"JULY";#N/A,#N/A,TRUE,"AUG";#N/A,#N/A,TRUE,"SEPT";#N/A,#N/A,TRUE,"3Q"}</definedName>
    <definedName name="temp12_1" hidden="1">{#N/A,#N/A,TRUE,"KEY DATA";#N/A,#N/A,TRUE,"KEY DATA Base Case";#N/A,#N/A,TRUE,"JULY";#N/A,#N/A,TRUE,"AUG";#N/A,#N/A,TRUE,"SEPT";#N/A,#N/A,TRUE,"3Q"}</definedName>
    <definedName name="temp12_1_1" hidden="1">{#N/A,#N/A,TRUE,"KEY DATA";#N/A,#N/A,TRUE,"KEY DATA Base Case";#N/A,#N/A,TRUE,"JULY";#N/A,#N/A,TRUE,"AUG";#N/A,#N/A,TRUE,"SEPT";#N/A,#N/A,TRUE,"3Q"}</definedName>
    <definedName name="Tenant_Type" localSheetId="22">#REF!</definedName>
    <definedName name="Tenant_Type" localSheetId="23">#REF!</definedName>
    <definedName name="Tenant_Type">#REF!</definedName>
    <definedName name="test"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0" localSheetId="22">#REF!</definedName>
    <definedName name="TEST0" localSheetId="23">#REF!</definedName>
    <definedName name="TEST0" localSheetId="51">#REF!</definedName>
    <definedName name="TEST0">#REF!</definedName>
    <definedName name="test1" hidden="1">{#N/A,#N/A,TRUE,"MAIN FT TERM";#N/A,#N/A,TRUE,"MCI  FT TERM ";#N/A,#N/A,TRUE,"OC12 EQV"}</definedName>
    <definedName name="TESTHKEY" localSheetId="22">#REF!</definedName>
    <definedName name="TESTHKEY" localSheetId="23">#REF!</definedName>
    <definedName name="TESTHKEY" localSheetId="51">#REF!</definedName>
    <definedName name="TESTHKEY">#REF!</definedName>
    <definedName name="TESTKEYS" localSheetId="22">#REF!</definedName>
    <definedName name="TESTKEYS" localSheetId="23">#REF!</definedName>
    <definedName name="TESTKEYS" localSheetId="51">#REF!</definedName>
    <definedName name="TESTKEYS">#REF!</definedName>
    <definedName name="TESTVKEY" localSheetId="22">#REF!</definedName>
    <definedName name="TESTVKEY" localSheetId="23">#REF!</definedName>
    <definedName name="TESTVKEY" localSheetId="51">#REF!</definedName>
    <definedName name="TESTVKEY">#REF!</definedName>
    <definedName name="TextRefCopy100" localSheetId="22">#REF!</definedName>
    <definedName name="TextRefCopy100" localSheetId="23">#REF!</definedName>
    <definedName name="TextRefCopy100">#REF!</definedName>
    <definedName name="TextRefCopy102" localSheetId="22">#REF!</definedName>
    <definedName name="TextRefCopy102" localSheetId="23">#REF!</definedName>
    <definedName name="TextRefCopy102">#REF!</definedName>
    <definedName name="TextRefCopy103" localSheetId="22">#REF!</definedName>
    <definedName name="TextRefCopy103" localSheetId="23">#REF!</definedName>
    <definedName name="TextRefCopy103">#REF!</definedName>
    <definedName name="TextRefCopy104" localSheetId="22">#REF!</definedName>
    <definedName name="TextRefCopy104" localSheetId="23">#REF!</definedName>
    <definedName name="TextRefCopy104">#REF!</definedName>
    <definedName name="TextRefCopy105" localSheetId="22">#REF!</definedName>
    <definedName name="TextRefCopy105" localSheetId="23">#REF!</definedName>
    <definedName name="TextRefCopy105">#REF!</definedName>
    <definedName name="TextRefCopy106" localSheetId="22">#REF!</definedName>
    <definedName name="TextRefCopy106" localSheetId="23">#REF!</definedName>
    <definedName name="TextRefCopy106">#REF!</definedName>
    <definedName name="TextRefCopy107" localSheetId="22">#REF!</definedName>
    <definedName name="TextRefCopy107" localSheetId="23">#REF!</definedName>
    <definedName name="TextRefCopy107">#REF!</definedName>
    <definedName name="TextRefCopy109" localSheetId="22">#REF!</definedName>
    <definedName name="TextRefCopy109" localSheetId="23">#REF!</definedName>
    <definedName name="TextRefCopy109">#REF!</definedName>
    <definedName name="TextRefCopy12" localSheetId="22">#REF!</definedName>
    <definedName name="TextRefCopy12" localSheetId="23">#REF!</definedName>
    <definedName name="TextRefCopy12" localSheetId="51">#REF!</definedName>
    <definedName name="TextRefCopy12">#REF!</definedName>
    <definedName name="TextRefCopy128" localSheetId="22">#REF!</definedName>
    <definedName name="TextRefCopy128" localSheetId="23">#REF!</definedName>
    <definedName name="TextRefCopy128">#REF!</definedName>
    <definedName name="TextRefCopy129" localSheetId="22">#REF!</definedName>
    <definedName name="TextRefCopy129" localSheetId="23">#REF!</definedName>
    <definedName name="TextRefCopy129" localSheetId="51">#REF!</definedName>
    <definedName name="TextRefCopy129">#REF!</definedName>
    <definedName name="TextRefCopy130" localSheetId="22">#REF!</definedName>
    <definedName name="TextRefCopy130" localSheetId="23">#REF!</definedName>
    <definedName name="TextRefCopy130">#REF!</definedName>
    <definedName name="TextRefCopy131" localSheetId="22">#REF!</definedName>
    <definedName name="TextRefCopy131" localSheetId="23">#REF!</definedName>
    <definedName name="TextRefCopy131">#REF!</definedName>
    <definedName name="TextRefCopy132" localSheetId="22">#REF!</definedName>
    <definedName name="TextRefCopy132" localSheetId="23">#REF!</definedName>
    <definedName name="TextRefCopy132">#REF!</definedName>
    <definedName name="TextRefCopy133" localSheetId="22">#REF!</definedName>
    <definedName name="TextRefCopy133" localSheetId="23">#REF!</definedName>
    <definedName name="TextRefCopy133">#REF!</definedName>
    <definedName name="TextRefCopy134" localSheetId="22">#REF!</definedName>
    <definedName name="TextRefCopy134" localSheetId="23">#REF!</definedName>
    <definedName name="TextRefCopy134">#REF!</definedName>
    <definedName name="TextRefCopy135" localSheetId="22">#REF!</definedName>
    <definedName name="TextRefCopy135" localSheetId="23">#REF!</definedName>
    <definedName name="TextRefCopy135">#REF!</definedName>
    <definedName name="TextRefCopy136" localSheetId="22">#REF!</definedName>
    <definedName name="TextRefCopy136" localSheetId="23">#REF!</definedName>
    <definedName name="TextRefCopy136">#REF!</definedName>
    <definedName name="TextRefCopy137" localSheetId="22">#REF!</definedName>
    <definedName name="TextRefCopy137" localSheetId="23">#REF!</definedName>
    <definedName name="TextRefCopy137">#REF!</definedName>
    <definedName name="TextRefCopy138" localSheetId="22">#REF!</definedName>
    <definedName name="TextRefCopy138" localSheetId="23">#REF!</definedName>
    <definedName name="TextRefCopy138">#REF!</definedName>
    <definedName name="TextRefCopy139" localSheetId="22">#REF!</definedName>
    <definedName name="TextRefCopy139" localSheetId="23">#REF!</definedName>
    <definedName name="TextRefCopy139">#REF!</definedName>
    <definedName name="TextRefCopy140" localSheetId="22">#REF!</definedName>
    <definedName name="TextRefCopy140" localSheetId="23">#REF!</definedName>
    <definedName name="TextRefCopy140">#REF!</definedName>
    <definedName name="TextRefCopy141" localSheetId="22">#REF!</definedName>
    <definedName name="TextRefCopy141" localSheetId="23">#REF!</definedName>
    <definedName name="TextRefCopy141">#REF!</definedName>
    <definedName name="TextRefCopy142" localSheetId="22">#REF!</definedName>
    <definedName name="TextRefCopy142" localSheetId="23">#REF!</definedName>
    <definedName name="TextRefCopy142">#REF!</definedName>
    <definedName name="TextRefCopy143" localSheetId="22">#REF!</definedName>
    <definedName name="TextRefCopy143" localSheetId="23">#REF!</definedName>
    <definedName name="TextRefCopy143">#REF!</definedName>
    <definedName name="TextRefCopy144" localSheetId="22">#REF!</definedName>
    <definedName name="TextRefCopy144" localSheetId="23">#REF!</definedName>
    <definedName name="TextRefCopy144">#REF!</definedName>
    <definedName name="TextRefCopy145" localSheetId="22">#REF!</definedName>
    <definedName name="TextRefCopy145" localSheetId="23">#REF!</definedName>
    <definedName name="TextRefCopy145">#REF!</definedName>
    <definedName name="TextRefCopy146" localSheetId="22">#REF!</definedName>
    <definedName name="TextRefCopy146" localSheetId="23">#REF!</definedName>
    <definedName name="TextRefCopy146">#REF!</definedName>
    <definedName name="TextRefCopy147" localSheetId="22">#REF!</definedName>
    <definedName name="TextRefCopy147" localSheetId="23">#REF!</definedName>
    <definedName name="TextRefCopy147">#REF!</definedName>
    <definedName name="TextRefCopy148" localSheetId="22">#REF!</definedName>
    <definedName name="TextRefCopy148" localSheetId="23">#REF!</definedName>
    <definedName name="TextRefCopy148">#REF!</definedName>
    <definedName name="TextRefCopy151" localSheetId="22">#REF!</definedName>
    <definedName name="TextRefCopy151" localSheetId="23">#REF!</definedName>
    <definedName name="TextRefCopy151">#REF!</definedName>
    <definedName name="TextRefCopy152" localSheetId="22">#REF!</definedName>
    <definedName name="TextRefCopy152" localSheetId="23">#REF!</definedName>
    <definedName name="TextRefCopy152">#REF!</definedName>
    <definedName name="TextRefCopy153" localSheetId="22">#REF!</definedName>
    <definedName name="TextRefCopy153" localSheetId="23">#REF!</definedName>
    <definedName name="TextRefCopy153">#REF!</definedName>
    <definedName name="TextRefCopy154" localSheetId="22">#REF!</definedName>
    <definedName name="TextRefCopy154" localSheetId="23">#REF!</definedName>
    <definedName name="TextRefCopy154">#REF!</definedName>
    <definedName name="TextRefCopy159" localSheetId="22">#REF!</definedName>
    <definedName name="TextRefCopy159" localSheetId="23">#REF!</definedName>
    <definedName name="TextRefCopy159">#REF!</definedName>
    <definedName name="TextRefCopy160" localSheetId="22">#REF!</definedName>
    <definedName name="TextRefCopy160" localSheetId="23">#REF!</definedName>
    <definedName name="TextRefCopy160">#REF!</definedName>
    <definedName name="TextRefCopy162" localSheetId="22">#REF!</definedName>
    <definedName name="TextRefCopy162" localSheetId="23">#REF!</definedName>
    <definedName name="TextRefCopy162">#REF!</definedName>
    <definedName name="TextRefCopy163" localSheetId="22">#REF!</definedName>
    <definedName name="TextRefCopy163" localSheetId="23">#REF!</definedName>
    <definedName name="TextRefCopy163">#REF!</definedName>
    <definedName name="TextRefCopy164" localSheetId="22">#REF!</definedName>
    <definedName name="TextRefCopy164" localSheetId="23">#REF!</definedName>
    <definedName name="TextRefCopy164">#REF!</definedName>
    <definedName name="TextRefCopy165" localSheetId="22">#REF!</definedName>
    <definedName name="TextRefCopy165" localSheetId="23">#REF!</definedName>
    <definedName name="TextRefCopy165">#REF!</definedName>
    <definedName name="TextRefCopy166" localSheetId="22">#REF!</definedName>
    <definedName name="TextRefCopy166" localSheetId="23">#REF!</definedName>
    <definedName name="TextRefCopy166">#REF!</definedName>
    <definedName name="TextRefCopy169" localSheetId="22">#REF!</definedName>
    <definedName name="TextRefCopy169" localSheetId="23">#REF!</definedName>
    <definedName name="TextRefCopy169">#REF!</definedName>
    <definedName name="TextRefCopy17" localSheetId="22">#REF!</definedName>
    <definedName name="TextRefCopy17" localSheetId="23">#REF!</definedName>
    <definedName name="TextRefCopy17" localSheetId="51">#REF!</definedName>
    <definedName name="TextRefCopy17">#REF!</definedName>
    <definedName name="TextRefCopy170" localSheetId="22">#REF!</definedName>
    <definedName name="TextRefCopy170" localSheetId="23">#REF!</definedName>
    <definedName name="TextRefCopy170">#REF!</definedName>
    <definedName name="TextRefCopy171" localSheetId="22">#REF!</definedName>
    <definedName name="TextRefCopy171" localSheetId="23">#REF!</definedName>
    <definedName name="TextRefCopy171">#REF!</definedName>
    <definedName name="TextRefCopy172" localSheetId="22">#REF!</definedName>
    <definedName name="TextRefCopy172" localSheetId="23">#REF!</definedName>
    <definedName name="TextRefCopy172">#REF!</definedName>
    <definedName name="TextRefCopy184" localSheetId="22">#REF!</definedName>
    <definedName name="TextRefCopy184" localSheetId="23">#REF!</definedName>
    <definedName name="TextRefCopy184" localSheetId="51">#REF!</definedName>
    <definedName name="TextRefCopy184">#REF!</definedName>
    <definedName name="TextRefCopy186" localSheetId="22">#REF!</definedName>
    <definedName name="TextRefCopy186" localSheetId="23">#REF!</definedName>
    <definedName name="TextRefCopy186" localSheetId="51">#REF!</definedName>
    <definedName name="TextRefCopy186">#REF!</definedName>
    <definedName name="TextRefCopy187" localSheetId="22">#REF!</definedName>
    <definedName name="TextRefCopy187" localSheetId="23">#REF!</definedName>
    <definedName name="TextRefCopy187" localSheetId="51">#REF!</definedName>
    <definedName name="TextRefCopy187">#REF!</definedName>
    <definedName name="TextRefCopy188" localSheetId="22">#REF!</definedName>
    <definedName name="TextRefCopy188" localSheetId="23">#REF!</definedName>
    <definedName name="TextRefCopy188" localSheetId="51">#REF!</definedName>
    <definedName name="TextRefCopy188">#REF!</definedName>
    <definedName name="TextRefCopy189" localSheetId="22">#REF!</definedName>
    <definedName name="TextRefCopy189" localSheetId="23">#REF!</definedName>
    <definedName name="TextRefCopy189" localSheetId="51">#REF!</definedName>
    <definedName name="TextRefCopy189">#REF!</definedName>
    <definedName name="TextRefCopy2" localSheetId="22">#REF!</definedName>
    <definedName name="TextRefCopy2" localSheetId="23">#REF!</definedName>
    <definedName name="TextRefCopy2" localSheetId="51">#REF!</definedName>
    <definedName name="TextRefCopy2">#REF!</definedName>
    <definedName name="TextRefCopy21" localSheetId="22">#REF!</definedName>
    <definedName name="TextRefCopy21" localSheetId="23">#REF!</definedName>
    <definedName name="TextRefCopy21" localSheetId="51">#REF!</definedName>
    <definedName name="TextRefCopy21">#REF!</definedName>
    <definedName name="TextRefCopy22" localSheetId="22">#REF!</definedName>
    <definedName name="TextRefCopy22" localSheetId="23">#REF!</definedName>
    <definedName name="TextRefCopy22" localSheetId="51">#REF!</definedName>
    <definedName name="TextRefCopy22">#REF!</definedName>
    <definedName name="TextRefCopy23" localSheetId="22">#REF!</definedName>
    <definedName name="TextRefCopy23" localSheetId="23">#REF!</definedName>
    <definedName name="TextRefCopy23" localSheetId="51">#REF!</definedName>
    <definedName name="TextRefCopy23">#REF!</definedName>
    <definedName name="TextRefCopy24" localSheetId="22">#REF!</definedName>
    <definedName name="TextRefCopy24" localSheetId="23">#REF!</definedName>
    <definedName name="TextRefCopy24" localSheetId="51">#REF!</definedName>
    <definedName name="TextRefCopy24">#REF!</definedName>
    <definedName name="TextRefCopy26" localSheetId="22">#REF!</definedName>
    <definedName name="TextRefCopy26" localSheetId="23">#REF!</definedName>
    <definedName name="TextRefCopy26" localSheetId="51">#REF!</definedName>
    <definedName name="TextRefCopy26">#REF!</definedName>
    <definedName name="TextRefCopy262" localSheetId="22">#REF!</definedName>
    <definedName name="TextRefCopy262" localSheetId="23">#REF!</definedName>
    <definedName name="TextRefCopy262" localSheetId="51">#REF!</definedName>
    <definedName name="TextRefCopy262">#REF!</definedName>
    <definedName name="TextRefCopy263" localSheetId="22">#REF!</definedName>
    <definedName name="TextRefCopy263" localSheetId="23">#REF!</definedName>
    <definedName name="TextRefCopy263" localSheetId="51">#REF!</definedName>
    <definedName name="TextRefCopy263">#REF!</definedName>
    <definedName name="TextRefCopy264" localSheetId="22">#REF!</definedName>
    <definedName name="TextRefCopy264" localSheetId="23">#REF!</definedName>
    <definedName name="TextRefCopy264" localSheetId="51">#REF!</definedName>
    <definedName name="TextRefCopy264">#REF!</definedName>
    <definedName name="TextRefCopy265" localSheetId="22">#REF!</definedName>
    <definedName name="TextRefCopy265" localSheetId="23">#REF!</definedName>
    <definedName name="TextRefCopy265" localSheetId="51">#REF!</definedName>
    <definedName name="TextRefCopy265">#REF!</definedName>
    <definedName name="TextRefCopy266" localSheetId="22">#REF!</definedName>
    <definedName name="TextRefCopy266" localSheetId="23">#REF!</definedName>
    <definedName name="TextRefCopy266" localSheetId="51">#REF!</definedName>
    <definedName name="TextRefCopy266">#REF!</definedName>
    <definedName name="TextRefCopy267" localSheetId="22">#REF!</definedName>
    <definedName name="TextRefCopy267" localSheetId="23">#REF!</definedName>
    <definedName name="TextRefCopy267" localSheetId="51">#REF!</definedName>
    <definedName name="TextRefCopy267">#REF!</definedName>
    <definedName name="TextRefCopy268" localSheetId="22">#REF!</definedName>
    <definedName name="TextRefCopy268" localSheetId="23">#REF!</definedName>
    <definedName name="TextRefCopy268" localSheetId="51">#REF!</definedName>
    <definedName name="TextRefCopy268">#REF!</definedName>
    <definedName name="TextRefCopy269" localSheetId="22">#REF!</definedName>
    <definedName name="TextRefCopy269" localSheetId="23">#REF!</definedName>
    <definedName name="TextRefCopy269" localSheetId="51">#REF!</definedName>
    <definedName name="TextRefCopy269">#REF!</definedName>
    <definedName name="TextRefCopy27" localSheetId="22">#REF!</definedName>
    <definedName name="TextRefCopy27" localSheetId="23">#REF!</definedName>
    <definedName name="TextRefCopy27" localSheetId="51">#REF!</definedName>
    <definedName name="TextRefCopy27">#REF!</definedName>
    <definedName name="TextRefCopy270" localSheetId="22">#REF!</definedName>
    <definedName name="TextRefCopy270" localSheetId="23">#REF!</definedName>
    <definedName name="TextRefCopy270" localSheetId="51">#REF!</definedName>
    <definedName name="TextRefCopy270">#REF!</definedName>
    <definedName name="TextRefCopy273" localSheetId="22">#REF!</definedName>
    <definedName name="TextRefCopy273" localSheetId="23">#REF!</definedName>
    <definedName name="TextRefCopy273" localSheetId="51">#REF!</definedName>
    <definedName name="TextRefCopy273">#REF!</definedName>
    <definedName name="TextRefCopy28" localSheetId="22">#REF!</definedName>
    <definedName name="TextRefCopy28" localSheetId="23">#REF!</definedName>
    <definedName name="TextRefCopy28" localSheetId="51">#REF!</definedName>
    <definedName name="TextRefCopy28">#REF!</definedName>
    <definedName name="TextRefCopy294" localSheetId="22">#REF!</definedName>
    <definedName name="TextRefCopy294" localSheetId="23">#REF!</definedName>
    <definedName name="TextRefCopy294" localSheetId="51">#REF!</definedName>
    <definedName name="TextRefCopy294">#REF!</definedName>
    <definedName name="TextRefCopy295" localSheetId="22">#REF!</definedName>
    <definedName name="TextRefCopy295" localSheetId="23">#REF!</definedName>
    <definedName name="TextRefCopy295" localSheetId="51">#REF!</definedName>
    <definedName name="TextRefCopy295">#REF!</definedName>
    <definedName name="TextRefCopy296" localSheetId="22">#REF!</definedName>
    <definedName name="TextRefCopy296" localSheetId="23">#REF!</definedName>
    <definedName name="TextRefCopy296" localSheetId="51">#REF!</definedName>
    <definedName name="TextRefCopy296">#REF!</definedName>
    <definedName name="TextRefCopy297" localSheetId="22">#REF!</definedName>
    <definedName name="TextRefCopy297" localSheetId="23">#REF!</definedName>
    <definedName name="TextRefCopy297" localSheetId="51">#REF!</definedName>
    <definedName name="TextRefCopy297">#REF!</definedName>
    <definedName name="TextRefCopy298" localSheetId="22">#REF!</definedName>
    <definedName name="TextRefCopy298" localSheetId="23">#REF!</definedName>
    <definedName name="TextRefCopy298" localSheetId="51">#REF!</definedName>
    <definedName name="TextRefCopy298">#REF!</definedName>
    <definedName name="TextRefCopy299" localSheetId="22">#REF!</definedName>
    <definedName name="TextRefCopy299" localSheetId="23">#REF!</definedName>
    <definedName name="TextRefCopy299" localSheetId="51">#REF!</definedName>
    <definedName name="TextRefCopy299">#REF!</definedName>
    <definedName name="TextRefCopy300" localSheetId="22">#REF!</definedName>
    <definedName name="TextRefCopy300" localSheetId="23">#REF!</definedName>
    <definedName name="TextRefCopy300" localSheetId="51">#REF!</definedName>
    <definedName name="TextRefCopy300">#REF!</definedName>
    <definedName name="TextRefCopy302" localSheetId="22">#REF!</definedName>
    <definedName name="TextRefCopy302" localSheetId="23">#REF!</definedName>
    <definedName name="TextRefCopy302" localSheetId="51">#REF!</definedName>
    <definedName name="TextRefCopy302">#REF!</definedName>
    <definedName name="TextRefCopy306" localSheetId="22">#REF!</definedName>
    <definedName name="TextRefCopy306" localSheetId="23">#REF!</definedName>
    <definedName name="TextRefCopy306" localSheetId="51">#REF!</definedName>
    <definedName name="TextRefCopy306">#REF!</definedName>
    <definedName name="TextRefCopy307" localSheetId="22">#REF!</definedName>
    <definedName name="TextRefCopy307" localSheetId="23">#REF!</definedName>
    <definedName name="TextRefCopy307" localSheetId="51">#REF!</definedName>
    <definedName name="TextRefCopy307">#REF!</definedName>
    <definedName name="TextRefCopy308" localSheetId="22">#REF!</definedName>
    <definedName name="TextRefCopy308" localSheetId="23">#REF!</definedName>
    <definedName name="TextRefCopy308" localSheetId="51">#REF!</definedName>
    <definedName name="TextRefCopy308">#REF!</definedName>
    <definedName name="TextRefCopy311" localSheetId="22">#REF!</definedName>
    <definedName name="TextRefCopy311" localSheetId="23">#REF!</definedName>
    <definedName name="TextRefCopy311" localSheetId="51">#REF!</definedName>
    <definedName name="TextRefCopy311">#REF!</definedName>
    <definedName name="TextRefCopy312" localSheetId="22">#REF!</definedName>
    <definedName name="TextRefCopy312" localSheetId="23">#REF!</definedName>
    <definedName name="TextRefCopy312" localSheetId="51">#REF!</definedName>
    <definedName name="TextRefCopy312">#REF!</definedName>
    <definedName name="TextRefCopy313" localSheetId="22">#REF!</definedName>
    <definedName name="TextRefCopy313" localSheetId="23">#REF!</definedName>
    <definedName name="TextRefCopy313" localSheetId="51">#REF!</definedName>
    <definedName name="TextRefCopy313">#REF!</definedName>
    <definedName name="TextRefCopy314" localSheetId="22">#REF!</definedName>
    <definedName name="TextRefCopy314" localSheetId="23">#REF!</definedName>
    <definedName name="TextRefCopy314" localSheetId="51">#REF!</definedName>
    <definedName name="TextRefCopy314">#REF!</definedName>
    <definedName name="TextRefCopy335" localSheetId="22">#REF!</definedName>
    <definedName name="TextRefCopy335" localSheetId="23">#REF!</definedName>
    <definedName name="TextRefCopy335" localSheetId="51">#REF!</definedName>
    <definedName name="TextRefCopy335">#REF!</definedName>
    <definedName name="TextRefCopy345" localSheetId="22">#REF!</definedName>
    <definedName name="TextRefCopy345" localSheetId="23">#REF!</definedName>
    <definedName name="TextRefCopy345" localSheetId="51">#REF!</definedName>
    <definedName name="TextRefCopy345">#REF!</definedName>
    <definedName name="TextRefCopy346" localSheetId="22">#REF!</definedName>
    <definedName name="TextRefCopy346" localSheetId="23">#REF!</definedName>
    <definedName name="TextRefCopy346" localSheetId="51">#REF!</definedName>
    <definedName name="TextRefCopy346">#REF!</definedName>
    <definedName name="TextRefCopy347" localSheetId="22">#REF!</definedName>
    <definedName name="TextRefCopy347" localSheetId="23">#REF!</definedName>
    <definedName name="TextRefCopy347" localSheetId="51">#REF!</definedName>
    <definedName name="TextRefCopy347">#REF!</definedName>
    <definedName name="TextRefCopy348" localSheetId="22">#REF!</definedName>
    <definedName name="TextRefCopy348" localSheetId="23">#REF!</definedName>
    <definedName name="TextRefCopy348" localSheetId="51">#REF!</definedName>
    <definedName name="TextRefCopy348">#REF!</definedName>
    <definedName name="TextRefCopy349" localSheetId="22">#REF!</definedName>
    <definedName name="TextRefCopy349" localSheetId="23">#REF!</definedName>
    <definedName name="TextRefCopy349" localSheetId="51">#REF!</definedName>
    <definedName name="TextRefCopy349">#REF!</definedName>
    <definedName name="TextRefCopy350" localSheetId="22">#REF!</definedName>
    <definedName name="TextRefCopy350" localSheetId="23">#REF!</definedName>
    <definedName name="TextRefCopy350" localSheetId="51">#REF!</definedName>
    <definedName name="TextRefCopy350">#REF!</definedName>
    <definedName name="TextRefCopy351" localSheetId="22">#REF!</definedName>
    <definedName name="TextRefCopy351" localSheetId="23">#REF!</definedName>
    <definedName name="TextRefCopy351" localSheetId="51">#REF!</definedName>
    <definedName name="TextRefCopy351">#REF!</definedName>
    <definedName name="TextRefCopy352" localSheetId="22">#REF!</definedName>
    <definedName name="TextRefCopy352" localSheetId="23">#REF!</definedName>
    <definedName name="TextRefCopy352" localSheetId="51">#REF!</definedName>
    <definedName name="TextRefCopy352">#REF!</definedName>
    <definedName name="TextRefCopy36" localSheetId="22">#REF!</definedName>
    <definedName name="TextRefCopy36" localSheetId="23">#REF!</definedName>
    <definedName name="TextRefCopy36">#REF!</definedName>
    <definedName name="TextRefCopy368" localSheetId="22">#REF!</definedName>
    <definedName name="TextRefCopy368" localSheetId="23">#REF!</definedName>
    <definedName name="TextRefCopy368" localSheetId="51">#REF!</definedName>
    <definedName name="TextRefCopy368">#REF!</definedName>
    <definedName name="TextRefCopy6" localSheetId="22">#REF!</definedName>
    <definedName name="TextRefCopy6" localSheetId="23">#REF!</definedName>
    <definedName name="TextRefCopy6" localSheetId="51">#REF!</definedName>
    <definedName name="TextRefCopy6">#REF!</definedName>
    <definedName name="TextRefCopy66" localSheetId="22">#REF!</definedName>
    <definedName name="TextRefCopy66" localSheetId="23">#REF!</definedName>
    <definedName name="TextRefCopy66">#REF!</definedName>
    <definedName name="TextRefCopy7" localSheetId="22">#REF!</definedName>
    <definedName name="TextRefCopy7" localSheetId="23">#REF!</definedName>
    <definedName name="TextRefCopy7" localSheetId="51">#REF!</definedName>
    <definedName name="TextRefCopy7">#REF!</definedName>
    <definedName name="TextRefCopy71" localSheetId="22">#REF!</definedName>
    <definedName name="TextRefCopy71" localSheetId="23">#REF!</definedName>
    <definedName name="TextRefCopy71">#REF!</definedName>
    <definedName name="TextRefCopy72" localSheetId="22">#REF!</definedName>
    <definedName name="TextRefCopy72" localSheetId="23">#REF!</definedName>
    <definedName name="TextRefCopy72">#REF!</definedName>
    <definedName name="TextRefCopy73" localSheetId="22">#REF!</definedName>
    <definedName name="TextRefCopy73" localSheetId="23">#REF!</definedName>
    <definedName name="TextRefCopy73">#REF!</definedName>
    <definedName name="TextRefCopy74" localSheetId="22">#REF!</definedName>
    <definedName name="TextRefCopy74" localSheetId="23">#REF!</definedName>
    <definedName name="TextRefCopy74">#REF!</definedName>
    <definedName name="TextRefCopy75" localSheetId="22">#REF!</definedName>
    <definedName name="TextRefCopy75" localSheetId="23">#REF!</definedName>
    <definedName name="TextRefCopy75">#REF!</definedName>
    <definedName name="TextRefCopy76" localSheetId="22">#REF!</definedName>
    <definedName name="TextRefCopy76" localSheetId="23">#REF!</definedName>
    <definedName name="TextRefCopy76">#REF!</definedName>
    <definedName name="TextRefCopy77" localSheetId="22">#REF!</definedName>
    <definedName name="TextRefCopy77" localSheetId="23">#REF!</definedName>
    <definedName name="TextRefCopy77">#REF!</definedName>
    <definedName name="TextRefCopy78" localSheetId="22">#REF!</definedName>
    <definedName name="TextRefCopy78" localSheetId="23">#REF!</definedName>
    <definedName name="TextRefCopy78">#REF!</definedName>
    <definedName name="TextRefCopy8" localSheetId="22">#REF!</definedName>
    <definedName name="TextRefCopy8" localSheetId="23">#REF!</definedName>
    <definedName name="TextRefCopy8" localSheetId="51">#REF!</definedName>
    <definedName name="TextRefCopy8">#REF!</definedName>
    <definedName name="TextRefCopy80" localSheetId="22">#REF!</definedName>
    <definedName name="TextRefCopy80" localSheetId="23">#REF!</definedName>
    <definedName name="TextRefCopy80">#REF!</definedName>
    <definedName name="TextRefCopy81" localSheetId="22">#REF!</definedName>
    <definedName name="TextRefCopy81" localSheetId="23">#REF!</definedName>
    <definedName name="TextRefCopy81">#REF!</definedName>
    <definedName name="TextRefCopy82" localSheetId="22">#REF!</definedName>
    <definedName name="TextRefCopy82" localSheetId="23">#REF!</definedName>
    <definedName name="TextRefCopy82">#REF!</definedName>
    <definedName name="TextRefCopy83" localSheetId="22">#REF!</definedName>
    <definedName name="TextRefCopy83" localSheetId="23">#REF!</definedName>
    <definedName name="TextRefCopy83">#REF!</definedName>
    <definedName name="TextRefCopy85" localSheetId="22">#REF!</definedName>
    <definedName name="TextRefCopy85" localSheetId="23">#REF!</definedName>
    <definedName name="TextRefCopy85">#REF!</definedName>
    <definedName name="TextRefCopy86" localSheetId="22">#REF!</definedName>
    <definedName name="TextRefCopy86" localSheetId="23">#REF!</definedName>
    <definedName name="TextRefCopy86">#REF!</definedName>
    <definedName name="TextRefCopy93" localSheetId="22">#REF!</definedName>
    <definedName name="TextRefCopy93" localSheetId="23">#REF!</definedName>
    <definedName name="TextRefCopy93">#REF!</definedName>
    <definedName name="TextRefCopy99" localSheetId="22">#REF!</definedName>
    <definedName name="TextRefCopy99" localSheetId="23">#REF!</definedName>
    <definedName name="TextRefCopy99">#REF!</definedName>
    <definedName name="TextRefCopyRangeCount" hidden="1">4</definedName>
    <definedName name="ThirdYear" localSheetId="22">#REF!</definedName>
    <definedName name="ThirdYear" localSheetId="23">#REF!</definedName>
    <definedName name="ThirdYear" localSheetId="51">#REF!</definedName>
    <definedName name="ThirdYear">#REF!</definedName>
    <definedName name="timing" localSheetId="22">#REF!</definedName>
    <definedName name="timing" localSheetId="23">#REF!</definedName>
    <definedName name="timing" localSheetId="51">#REF!</definedName>
    <definedName name="timing">#REF!</definedName>
    <definedName name="TitleFontSize" localSheetId="22">#REF!</definedName>
    <definedName name="TitleFontSize" localSheetId="23">#REF!</definedName>
    <definedName name="TitleFontSize" localSheetId="51">#REF!</definedName>
    <definedName name="TitleFontSize">#REF!</definedName>
    <definedName name="TitleLine1" localSheetId="22">#REF!</definedName>
    <definedName name="TitleLine1" localSheetId="23">#REF!</definedName>
    <definedName name="TitleLine1" localSheetId="51">#REF!</definedName>
    <definedName name="TitleLine1">#REF!</definedName>
    <definedName name="TitleLine2" localSheetId="22">#REF!</definedName>
    <definedName name="TitleLine2" localSheetId="23">#REF!</definedName>
    <definedName name="TitleLine2" localSheetId="51">#REF!</definedName>
    <definedName name="TitleLine2">#REF!</definedName>
    <definedName name="TitleLine3" localSheetId="22">#REF!</definedName>
    <definedName name="TitleLine3" localSheetId="23">#REF!</definedName>
    <definedName name="TitleLine3" localSheetId="51">#REF!</definedName>
    <definedName name="TitleLine3">#REF!</definedName>
    <definedName name="TitleLine4" localSheetId="22">#REF!</definedName>
    <definedName name="TitleLine4" localSheetId="23">#REF!</definedName>
    <definedName name="TitleLine4" localSheetId="51">#REF!</definedName>
    <definedName name="TitleLine4">#REF!</definedName>
    <definedName name="TitleLine5" localSheetId="22">#REF!</definedName>
    <definedName name="TitleLine5" localSheetId="23">#REF!</definedName>
    <definedName name="TitleLine5" localSheetId="51">#REF!</definedName>
    <definedName name="TitleLine5">#REF!</definedName>
    <definedName name="TLBB" hidden="1">{"'Check Request'!$A$1:$BF$37"}</definedName>
    <definedName name="tobacco" localSheetId="22">#REF!</definedName>
    <definedName name="tobacco" localSheetId="23">#REF!</definedName>
    <definedName name="tobacco">#REF!</definedName>
    <definedName name="token" hidden="1">{"'page 1'!$K$13","'page 1'!$A$1:$V$50"}</definedName>
    <definedName name="TOL">#N/A</definedName>
    <definedName name="Total_Debt" localSheetId="22">#REF!+#REF!</definedName>
    <definedName name="Total_Debt" localSheetId="23">#REF!+#REF!</definedName>
    <definedName name="Total_Debt">#REF!+#REF!</definedName>
    <definedName name="TotalCMTGearing2003" localSheetId="22">#REF!</definedName>
    <definedName name="TotalCMTGearing2003" localSheetId="23">#REF!</definedName>
    <definedName name="TotalCMTGearing2003">#REF!</definedName>
    <definedName name="TotalFunnelColor" localSheetId="22">#REF!</definedName>
    <definedName name="TotalFunnelColor" localSheetId="23">#REF!</definedName>
    <definedName name="TotalFunnelColor" localSheetId="51">#REF!</definedName>
    <definedName name="TotalFunnelColor">#REF!</definedName>
    <definedName name="treeList" hidden="1">"11100000000000000000000000000000000000000000000000000000000000000000000000000000000000000000000000000000000000000000000000000000000000000000000000000000000000000000000000000000000000000000000000000000"</definedName>
    <definedName name="TREND1" localSheetId="22" hidden="1">#REF!</definedName>
    <definedName name="TREND1" localSheetId="23" hidden="1">#REF!</definedName>
    <definedName name="TREND1" localSheetId="51" hidden="1">#REF!</definedName>
    <definedName name="TREND1" hidden="1">#REF!</definedName>
    <definedName name="TREND10" localSheetId="22" hidden="1">#REF!</definedName>
    <definedName name="TREND10" localSheetId="23" hidden="1">#REF!</definedName>
    <definedName name="TREND10" localSheetId="51" hidden="1">#REF!</definedName>
    <definedName name="TREND10" hidden="1">#REF!</definedName>
    <definedName name="TREND11" localSheetId="22" hidden="1">#REF!</definedName>
    <definedName name="TREND11" localSheetId="23" hidden="1">#REF!</definedName>
    <definedName name="TREND11" localSheetId="51" hidden="1">#REF!</definedName>
    <definedName name="TREND11" hidden="1">#REF!</definedName>
    <definedName name="TREND2" localSheetId="22" hidden="1">#REF!</definedName>
    <definedName name="TREND2" localSheetId="23" hidden="1">#REF!</definedName>
    <definedName name="TREND2" localSheetId="51" hidden="1">#REF!</definedName>
    <definedName name="TREND2" hidden="1">#REF!</definedName>
    <definedName name="TREND3" localSheetId="22" hidden="1">#REF!</definedName>
    <definedName name="TREND3" localSheetId="23" hidden="1">#REF!</definedName>
    <definedName name="TREND3" localSheetId="51" hidden="1">#REF!</definedName>
    <definedName name="TREND3" hidden="1">#REF!</definedName>
    <definedName name="TREND4" localSheetId="22" hidden="1">#REF!</definedName>
    <definedName name="TREND4" localSheetId="23" hidden="1">#REF!</definedName>
    <definedName name="TREND4" localSheetId="51" hidden="1">#REF!</definedName>
    <definedName name="TREND4" hidden="1">#REF!</definedName>
    <definedName name="TREND5" localSheetId="22" hidden="1">#REF!</definedName>
    <definedName name="TREND5" localSheetId="23" hidden="1">#REF!</definedName>
    <definedName name="TREND5" localSheetId="51" hidden="1">#REF!</definedName>
    <definedName name="TREND5" hidden="1">#REF!</definedName>
    <definedName name="TREND6" localSheetId="22" hidden="1">#REF!</definedName>
    <definedName name="TREND6" localSheetId="23" hidden="1">#REF!</definedName>
    <definedName name="TREND6" localSheetId="51" hidden="1">#REF!</definedName>
    <definedName name="TREND6" hidden="1">#REF!</definedName>
    <definedName name="TREND7" localSheetId="22" hidden="1">#REF!</definedName>
    <definedName name="TREND7" localSheetId="23" hidden="1">#REF!</definedName>
    <definedName name="TREND7" localSheetId="51" hidden="1">#REF!</definedName>
    <definedName name="TREND7" hidden="1">#REF!</definedName>
    <definedName name="trend8" localSheetId="22" hidden="1">#REF!</definedName>
    <definedName name="trend8" localSheetId="23" hidden="1">#REF!</definedName>
    <definedName name="trend8" localSheetId="51" hidden="1">#REF!</definedName>
    <definedName name="trend8" hidden="1">#REF!</definedName>
    <definedName name="TREND9" localSheetId="22" hidden="1">#REF!</definedName>
    <definedName name="TREND9" localSheetId="23" hidden="1">#REF!</definedName>
    <definedName name="TREND9" localSheetId="51" hidden="1">#REF!</definedName>
    <definedName name="TREND9" hidden="1">#REF!</definedName>
    <definedName name="TRent" localSheetId="22">#REF!</definedName>
    <definedName name="TRent" localSheetId="23">#REF!</definedName>
    <definedName name="TRent">#REF!</definedName>
    <definedName name="TSALES" localSheetId="22">#REF!</definedName>
    <definedName name="TSALES" localSheetId="23">#REF!</definedName>
    <definedName name="TSALES">#REF!</definedName>
    <definedName name="tta" hidden="1">{#N/A,#N/A,FALSE,"Virgin Flightdeck"}</definedName>
    <definedName name="tta_1" hidden="1">{#N/A,#N/A,FALSE,"Virgin Flightdeck"}</definedName>
    <definedName name="tta_1_1" hidden="1">{#N/A,#N/A,FALSE,"Virgin Flightdeck"}</definedName>
    <definedName name="ttt" hidden="1">{#N/A,#N/A,TRUE,"Funnel";#N/A,#N/A,TRUE,"FunnelMatrix"}</definedName>
    <definedName name="tttt" hidden="1">{#N/A,#N/A,FALSE,"Report Data";#N/A,#N/A,FALSE,"COMP POOL";#N/A,#N/A,FALSE,"COMP POOL NB95";#N/A,#N/A,FALSE,"COMP POOL NB94"}</definedName>
    <definedName name="tttt_1" hidden="1">{#N/A,#N/A,FALSE,"Report Data";#N/A,#N/A,FALSE,"COMP POOL";#N/A,#N/A,FALSE,"COMP POOL NB95";#N/A,#N/A,FALSE,"COMP POOL NB94"}</definedName>
    <definedName name="tttt_1_1" hidden="1">{#N/A,#N/A,FALSE,"Report Data";#N/A,#N/A,FALSE,"COMP POOL";#N/A,#N/A,FALSE,"COMP POOL NB95";#N/A,#N/A,FALSE,"COMP POOL NB94"}</definedName>
    <definedName name="tttt2222222" localSheetId="22">#REF!</definedName>
    <definedName name="tttt2222222" localSheetId="23">#REF!</definedName>
    <definedName name="tttt2222222">#REF!</definedName>
    <definedName name="ttxxxx" localSheetId="22">#REF!</definedName>
    <definedName name="ttxxxx" localSheetId="23">#REF!</definedName>
    <definedName name="ttxxxx">#REF!</definedName>
    <definedName name="ttxxxxx" localSheetId="22">#REF!</definedName>
    <definedName name="ttxxxxx" localSheetId="23">#REF!</definedName>
    <definedName name="ttxxxxx">#REF!</definedName>
    <definedName name="Tulsa" hidden="1">{#N/A,#N/A,FALSE,"Report Data";#N/A,#N/A,FALSE,"COMP POOL";#N/A,#N/A,FALSE,"COMP POOL NB95";#N/A,#N/A,FALSE,"COMP POOL NB94"}</definedName>
    <definedName name="Tulsa_1" hidden="1">{#N/A,#N/A,FALSE,"Report Data";#N/A,#N/A,FALSE,"COMP POOL";#N/A,#N/A,FALSE,"COMP POOL NB95";#N/A,#N/A,FALSE,"COMP POOL NB94"}</definedName>
    <definedName name="Tulsa_1_1" hidden="1">{#N/A,#N/A,FALSE,"Report Data";#N/A,#N/A,FALSE,"COMP POOL";#N/A,#N/A,FALSE,"COMP POOL NB95";#N/A,#N/A,FALSE,"COMP POOL NB94"}</definedName>
    <definedName name="u" hidden="1">{"mgmt forecast",#N/A,FALSE,"Mgmt Forecast";"dcf table",#N/A,FALSE,"Mgmt Forecast";"sensitivity",#N/A,FALSE,"Mgmt Forecast";"table inputs",#N/A,FALSE,"Mgmt Forecast";"calculations",#N/A,FALSE,"Mgmt Forecast"}</definedName>
    <definedName name="u_1" hidden="1">{"mgmt forecast",#N/A,FALSE,"Mgmt Forecast";"dcf table",#N/A,FALSE,"Mgmt Forecast";"sensitivity",#N/A,FALSE,"Mgmt Forecast";"table inputs",#N/A,FALSE,"Mgmt Forecast";"calculations",#N/A,FALSE,"Mgmt Forecast"}</definedName>
    <definedName name="u_1_1" hidden="1">{"mgmt forecast",#N/A,FALSE,"Mgmt Forecast";"dcf table",#N/A,FALSE,"Mgmt Forecast";"sensitivity",#N/A,FALSE,"Mgmt Forecast";"table inputs",#N/A,FALSE,"Mgmt Forecast";"calculations",#N/A,FALSE,"Mgmt Forecast"}</definedName>
    <definedName name="ucucucucucu" localSheetId="22" hidden="1">#REF!</definedName>
    <definedName name="ucucucucucu" localSheetId="23" hidden="1">#REF!</definedName>
    <definedName name="ucucucucucu" localSheetId="51" hidden="1">#REF!</definedName>
    <definedName name="ucucucucucu" hidden="1">#REF!</definedName>
    <definedName name="ufliuf" hidden="1">{#N/A,#N/A,FALSE,"Virgin Flightdeck"}</definedName>
    <definedName name="ufliuf_1" hidden="1">{#N/A,#N/A,FALSE,"Virgin Flightdeck"}</definedName>
    <definedName name="ufliuf_1_1" hidden="1">{#N/A,#N/A,FALSE,"Virgin Flightdeck"}</definedName>
    <definedName name="UFPrn20021021133940" localSheetId="22">#REF!</definedName>
    <definedName name="UFPrn20021021133940" localSheetId="23">#REF!</definedName>
    <definedName name="UFPrn20021021133940" localSheetId="51">#REF!</definedName>
    <definedName name="UFPrn20021021133940">#REF!</definedName>
    <definedName name="UFPrn20040313123513" localSheetId="22">#REF!</definedName>
    <definedName name="UFPrn20040313123513" localSheetId="23">#REF!</definedName>
    <definedName name="UFPrn20040313123513" localSheetId="51">#REF!</definedName>
    <definedName name="UFPrn20040313123513">#REF!</definedName>
    <definedName name="UFPrn20040313123541" localSheetId="22">#REF!</definedName>
    <definedName name="UFPrn20040313123541" localSheetId="23">#REF!</definedName>
    <definedName name="UFPrn20040313123541" localSheetId="51">#REF!</definedName>
    <definedName name="UFPrn20040313123541">#REF!</definedName>
    <definedName name="UFPrn20040330183527" localSheetId="22">#REF!</definedName>
    <definedName name="UFPrn20040330183527" localSheetId="23">#REF!</definedName>
    <definedName name="UFPrn20040330183527" localSheetId="51">#REF!</definedName>
    <definedName name="UFPrn20040330183527">#REF!</definedName>
    <definedName name="UFPrn20040806192158" localSheetId="22">#REF!</definedName>
    <definedName name="UFPrn20040806192158" localSheetId="23">#REF!</definedName>
    <definedName name="UFPrn20040806192158">#REF!</definedName>
    <definedName name="UFPrn20050125150746" localSheetId="22">#REF!</definedName>
    <definedName name="UFPrn20050125150746" localSheetId="23">#REF!</definedName>
    <definedName name="UFPrn20050125150746" localSheetId="51">#REF!</definedName>
    <definedName name="UFPrn20050125150746">#REF!</definedName>
    <definedName name="UFPrn20060217172025" localSheetId="22">#REF!</definedName>
    <definedName name="UFPrn20060217172025" localSheetId="23">#REF!</definedName>
    <definedName name="UFPrn20060217172025" localSheetId="51">#REF!</definedName>
    <definedName name="UFPrn20060217172025">#REF!</definedName>
    <definedName name="UFPrn20060217173233" localSheetId="22">#REF!</definedName>
    <definedName name="UFPrn20060217173233" localSheetId="23">#REF!</definedName>
    <definedName name="UFPrn20060217173233" localSheetId="51">#REF!</definedName>
    <definedName name="UFPrn20060217173233">#REF!</definedName>
    <definedName name="UFPrn20060217173451" localSheetId="22">#REF!</definedName>
    <definedName name="UFPrn20060217173451" localSheetId="23">#REF!</definedName>
    <definedName name="UFPrn20060217173451" localSheetId="51">#REF!</definedName>
    <definedName name="UFPrn20060217173451">#REF!</definedName>
    <definedName name="UFPrn20060321142051" localSheetId="22">#REF!</definedName>
    <definedName name="UFPrn20060321142051" localSheetId="23">#REF!</definedName>
    <definedName name="UFPrn20060321142051" localSheetId="51">#REF!</definedName>
    <definedName name="UFPrn20060321142051">#REF!</definedName>
    <definedName name="UFPrn20060321142218" localSheetId="22">#REF!</definedName>
    <definedName name="UFPrn20060321142218" localSheetId="23">#REF!</definedName>
    <definedName name="UFPrn20060321142218" localSheetId="51">#REF!</definedName>
    <definedName name="UFPrn20060321142218">#REF!</definedName>
    <definedName name="UFPrn20060321142239" localSheetId="22">#REF!</definedName>
    <definedName name="UFPrn20060321142239" localSheetId="23">#REF!</definedName>
    <definedName name="UFPrn20060321142239" localSheetId="51">#REF!</definedName>
    <definedName name="UFPrn20060321142239">#REF!</definedName>
    <definedName name="UFPrn20060407162520" localSheetId="22">#REF!</definedName>
    <definedName name="UFPrn20060407162520" localSheetId="23">#REF!</definedName>
    <definedName name="UFPrn20060407162520" localSheetId="51">#REF!</definedName>
    <definedName name="UFPrn20060407162520">#REF!</definedName>
    <definedName name="UFPrn20060407163451" localSheetId="22">#REF!</definedName>
    <definedName name="UFPrn20060407163451" localSheetId="23">#REF!</definedName>
    <definedName name="UFPrn20060407163451" localSheetId="51">#REF!</definedName>
    <definedName name="UFPrn20060407163451">#REF!</definedName>
    <definedName name="UFPrn20060407163501" localSheetId="22">#REF!</definedName>
    <definedName name="UFPrn20060407163501" localSheetId="23">#REF!</definedName>
    <definedName name="UFPrn20060407163501" localSheetId="51">#REF!</definedName>
    <definedName name="UFPrn20060407163501">#REF!</definedName>
    <definedName name="UFPrn20060407163512" localSheetId="22">#REF!</definedName>
    <definedName name="UFPrn20060407163512" localSheetId="23">#REF!</definedName>
    <definedName name="UFPrn20060407163512" localSheetId="51">#REF!</definedName>
    <definedName name="UFPrn20060407163512">#REF!</definedName>
    <definedName name="UFPrn20060412165425" localSheetId="22">#REF!</definedName>
    <definedName name="UFPrn20060412165425" localSheetId="23">#REF!</definedName>
    <definedName name="UFPrn20060412165425">#REF!</definedName>
    <definedName name="UFPrn20060420165121" localSheetId="22">#REF!</definedName>
    <definedName name="UFPrn20060420165121" localSheetId="23">#REF!</definedName>
    <definedName name="UFPrn20060420165121" localSheetId="51">#REF!</definedName>
    <definedName name="UFPrn20060420165121">#REF!</definedName>
    <definedName name="UFPrn20060429170330" localSheetId="22">#REF!</definedName>
    <definedName name="UFPrn20060429170330" localSheetId="23">#REF!</definedName>
    <definedName name="UFPrn20060429170330" localSheetId="51">#REF!</definedName>
    <definedName name="UFPrn20060429170330">#REF!</definedName>
    <definedName name="UFPrn20060809121159" localSheetId="22">#REF!</definedName>
    <definedName name="UFPrn20060809121159" localSheetId="23">#REF!</definedName>
    <definedName name="UFPrn20060809121159">#REF!</definedName>
    <definedName name="UFPrn20061017171437" localSheetId="22">#REF!</definedName>
    <definedName name="UFPrn20061017171437" localSheetId="23">#REF!</definedName>
    <definedName name="UFPrn20061017171437" localSheetId="51">#REF!</definedName>
    <definedName name="UFPrn20061017171437">#REF!</definedName>
    <definedName name="UFPrn20061020083749" localSheetId="22">#REF!</definedName>
    <definedName name="UFPrn20061020083749" localSheetId="23">#REF!</definedName>
    <definedName name="UFPrn20061020083749" localSheetId="51">#REF!</definedName>
    <definedName name="UFPrn20061020083749">#REF!</definedName>
    <definedName name="UFPrn20081216115043" localSheetId="22">#REF!</definedName>
    <definedName name="UFPrn20081216115043" localSheetId="23">#REF!</definedName>
    <definedName name="UFPrn20081216115043">#REF!</definedName>
    <definedName name="UFPrn20081216120053" localSheetId="22">#REF!</definedName>
    <definedName name="UFPrn20081216120053" localSheetId="23">#REF!</definedName>
    <definedName name="UFPrn20081216120053">#REF!</definedName>
    <definedName name="UFPrn20081216120925" localSheetId="22">#REF!</definedName>
    <definedName name="UFPrn20081216120925" localSheetId="23">#REF!</definedName>
    <definedName name="UFPrn20081216120925">#REF!</definedName>
    <definedName name="UFPrn20081216121510" localSheetId="22">#REF!</definedName>
    <definedName name="UFPrn20081216121510" localSheetId="23">#REF!</definedName>
    <definedName name="UFPrn20081216121510">#REF!</definedName>
    <definedName name="UFPrn20081216121837" localSheetId="22">#REF!</definedName>
    <definedName name="UFPrn20081216121837" localSheetId="23">#REF!</definedName>
    <definedName name="UFPrn20081216121837">#REF!</definedName>
    <definedName name="UFPrn20081216122615" localSheetId="22">#REF!</definedName>
    <definedName name="UFPrn20081216122615" localSheetId="23">#REF!</definedName>
    <definedName name="UFPrn20081216122615">#REF!</definedName>
    <definedName name="UFPrn20081216123055" localSheetId="22">#REF!</definedName>
    <definedName name="UFPrn20081216123055" localSheetId="23">#REF!</definedName>
    <definedName name="UFPrn20081216123055">#REF!</definedName>
    <definedName name="UFPrn20081216123335" localSheetId="22">#REF!</definedName>
    <definedName name="UFPrn20081216123335" localSheetId="23">#REF!</definedName>
    <definedName name="UFPrn20081216123335">#REF!</definedName>
    <definedName name="UFPrn20081216123843" localSheetId="22">#REF!</definedName>
    <definedName name="UFPrn20081216123843" localSheetId="23">#REF!</definedName>
    <definedName name="UFPrn20081216123843">#REF!</definedName>
    <definedName name="UFPrn20081216124245" localSheetId="22">#REF!</definedName>
    <definedName name="UFPrn20081216124245" localSheetId="23">#REF!</definedName>
    <definedName name="UFPrn20081216124245">#REF!</definedName>
    <definedName name="UFPrn20081216124427" localSheetId="22">#REF!</definedName>
    <definedName name="UFPrn20081216124427" localSheetId="23">#REF!</definedName>
    <definedName name="UFPrn20081216124427">#REF!</definedName>
    <definedName name="UFPrn20081216125352" localSheetId="22">#REF!</definedName>
    <definedName name="UFPrn20081216125352" localSheetId="23">#REF!</definedName>
    <definedName name="UFPrn20081216125352">#REF!</definedName>
    <definedName name="UFPrn20081216125725" localSheetId="22">#REF!</definedName>
    <definedName name="UFPrn20081216125725" localSheetId="23">#REF!</definedName>
    <definedName name="UFPrn20081216125725">#REF!</definedName>
    <definedName name="UFPrn20081216130157" localSheetId="22">#REF!</definedName>
    <definedName name="UFPrn20081216130157" localSheetId="23">#REF!</definedName>
    <definedName name="UFPrn20081216130157">#REF!</definedName>
    <definedName name="UFPrn20081216130943" localSheetId="22">#REF!</definedName>
    <definedName name="UFPrn20081216130943" localSheetId="23">#REF!</definedName>
    <definedName name="UFPrn20081216130943">#REF!</definedName>
    <definedName name="UFPrn20081216180002" localSheetId="22">#REF!</definedName>
    <definedName name="UFPrn20081216180002" localSheetId="23">#REF!</definedName>
    <definedName name="UFPrn20081216180002">#REF!</definedName>
    <definedName name="UFPrn20081217091353" localSheetId="22">#REF!</definedName>
    <definedName name="UFPrn20081217091353" localSheetId="23">#REF!</definedName>
    <definedName name="UFPrn20081217091353">#REF!</definedName>
    <definedName name="UFPrn20081217091619" localSheetId="22">#REF!</definedName>
    <definedName name="UFPrn20081217091619" localSheetId="23">#REF!</definedName>
    <definedName name="UFPrn20081217091619">#REF!</definedName>
    <definedName name="uio" hidden="1">{"mgmt forecast",#N/A,FALSE,"Mgmt Forecast";"dcf table",#N/A,FALSE,"Mgmt Forecast";"sensitivity",#N/A,FALSE,"Mgmt Forecast";"table inputs",#N/A,FALSE,"Mgmt Forecast";"calculations",#N/A,FALSE,"Mgmt Forecast"}</definedName>
    <definedName name="uio_1" hidden="1">{"mgmt forecast",#N/A,FALSE,"Mgmt Forecast";"dcf table",#N/A,FALSE,"Mgmt Forecast";"sensitivity",#N/A,FALSE,"Mgmt Forecast";"table inputs",#N/A,FALSE,"Mgmt Forecast";"calculations",#N/A,FALSE,"Mgmt Forecast"}</definedName>
    <definedName name="uio_1_1" hidden="1">{"mgmt forecast",#N/A,FALSE,"Mgmt Forecast";"dcf table",#N/A,FALSE,"Mgmt Forecast";"sensitivity",#N/A,FALSE,"Mgmt Forecast";"table inputs",#N/A,FALSE,"Mgmt Forecast";"calculations",#N/A,FALSE,"Mgmt Forecast"}</definedName>
    <definedName name="uit" localSheetId="22">#REF!</definedName>
    <definedName name="uit" localSheetId="23">#REF!</definedName>
    <definedName name="uit">#REF!</definedName>
    <definedName name="ululululu" localSheetId="22" hidden="1">#REF!</definedName>
    <definedName name="ululululu" localSheetId="23" hidden="1">#REF!</definedName>
    <definedName name="ululululu" localSheetId="51" hidden="1">#REF!</definedName>
    <definedName name="ululululu" hidden="1">#REF!</definedName>
    <definedName name="UMTS" localSheetId="22">Main.SAPF4Help()</definedName>
    <definedName name="UMTS" localSheetId="23">Main.SAPF4Help()</definedName>
    <definedName name="UMTS" localSheetId="51">Main.SAPF4Help()</definedName>
    <definedName name="UMTS">Main.SAPF4Help()</definedName>
    <definedName name="upgr" localSheetId="22">#REF!</definedName>
    <definedName name="upgr" localSheetId="23">#REF!</definedName>
    <definedName name="upgr" localSheetId="51">#REF!</definedName>
    <definedName name="upgr">#REF!</definedName>
    <definedName name="ups" hidden="1">{"'Sheet1'!$A$1:$J$57","'Sheet1'!$F$32:$F$35","'Sheet1'!$F$32:$F$36"}</definedName>
    <definedName name="User_Bytes" localSheetId="22">#REF!</definedName>
    <definedName name="User_Bytes" localSheetId="23">#REF!</definedName>
    <definedName name="User_Bytes" localSheetId="51">#REF!</definedName>
    <definedName name="User_Bytes">#REF!</definedName>
    <definedName name="UserName" localSheetId="22">#REF!</definedName>
    <definedName name="UserName" localSheetId="23">#REF!</definedName>
    <definedName name="UserName" localSheetId="51">#REF!</definedName>
    <definedName name="UserName">#REF!</definedName>
    <definedName name="uy" localSheetId="22">#REF!</definedName>
    <definedName name="uy" localSheetId="23">#REF!</definedName>
    <definedName name="uy">#REF!</definedName>
    <definedName name="uytry" hidden="1">{"mgmt forecast",#N/A,FALSE,"Mgmt Forecast";"dcf table",#N/A,FALSE,"Mgmt Forecast";"sensitivity",#N/A,FALSE,"Mgmt Forecast";"table inputs",#N/A,FALSE,"Mgmt Forecast";"calculations",#N/A,FALSE,"Mgmt Forecast"}</definedName>
    <definedName name="uytry_1" hidden="1">{"mgmt forecast",#N/A,FALSE,"Mgmt Forecast";"dcf table",#N/A,FALSE,"Mgmt Forecast";"sensitivity",#N/A,FALSE,"Mgmt Forecast";"table inputs",#N/A,FALSE,"Mgmt Forecast";"calculations",#N/A,FALSE,"Mgmt Forecast"}</definedName>
    <definedName name="uytry_1_1" hidden="1">{"mgmt forecast",#N/A,FALSE,"Mgmt Forecast";"dcf table",#N/A,FALSE,"Mgmt Forecast";"sensitivity",#N/A,FALSE,"Mgmt Forecast";"table inputs",#N/A,FALSE,"Mgmt Forecast";"calculations",#N/A,FALSE,"Mgmt Forecast"}</definedName>
    <definedName name="v" hidden="1">{#N/A,#N/A,FALSE,"Aging Summary";#N/A,#N/A,FALSE,"Ratio Analysis";#N/A,#N/A,FALSE,"Test 120 Day Accts";#N/A,#N/A,FALSE,"Tickmarks"}</definedName>
    <definedName name="v_1" hidden="1">{#N/A,#N/A,FALSE,"Aging Summary";#N/A,#N/A,FALSE,"Ratio Analysis";#N/A,#N/A,FALSE,"Test 120 Day Accts";#N/A,#N/A,FALSE,"Tickmarks"}</definedName>
    <definedName name="v_1_1" hidden="1">{#N/A,#N/A,FALSE,"Aging Summary";#N/A,#N/A,FALSE,"Ratio Analysis";#N/A,#N/A,FALSE,"Test 120 Day Accts";#N/A,#N/A,FALSE,"Tickmarks"}</definedName>
    <definedName name="v2222222222222222" localSheetId="22">#REF!</definedName>
    <definedName name="v2222222222222222" localSheetId="23">#REF!</definedName>
    <definedName name="v2222222222222222">#REF!</definedName>
    <definedName name="ValRule" localSheetId="22">#REF!</definedName>
    <definedName name="ValRule" localSheetId="23">#REF!</definedName>
    <definedName name="ValRule">#REF!</definedName>
    <definedName name="ValuationOffset" localSheetId="22">#REF!</definedName>
    <definedName name="ValuationOffset" localSheetId="23">#REF!</definedName>
    <definedName name="ValuationOffset">#REF!</definedName>
    <definedName name="value">3</definedName>
    <definedName name="VAT_Paid" localSheetId="22">#REF!</definedName>
    <definedName name="VAT_Paid" localSheetId="23">#REF!</definedName>
    <definedName name="VAT_Paid">#REF!</definedName>
    <definedName name="vb" hidden="1">{"HOMEPAGE",#N/A,FALSE,"HOME";"Report1_Q1",#N/A,FALSE,"REPORT1"}</definedName>
    <definedName name="versionno">1</definedName>
    <definedName name="vfvfvxf" localSheetId="22" hidden="1">#REF!</definedName>
    <definedName name="vfvfvxf" localSheetId="23" hidden="1">#REF!</definedName>
    <definedName name="vfvfvxf" localSheetId="51" hidden="1">#REF!</definedName>
    <definedName name="vfvfvxf" hidden="1">#REF!</definedName>
    <definedName name="vv"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vv_1" hidden="1">{"contributory1",#N/A,FALSE,"Contributory Assets Detail";"contributory2",#N/A,FALSE,"Contributory Assets Detail"}</definedName>
    <definedName name="vv_1_1" hidden="1">{"contributory1",#N/A,FALSE,"Contributory Assets Detail";"contributory2",#N/A,FALSE,"Contributory Assets Detail"}</definedName>
    <definedName name="vvc" hidden="1">{"test2",#N/A,TRUE,"Prices"}</definedName>
    <definedName name="vvv" hidden="1">{"ReportTop",#N/A,FALSE,"report top"}</definedName>
    <definedName name="vvv_1" hidden="1">{"ReportTop",#N/A,FALSE,"report top"}</definedName>
    <definedName name="vvv_1_1" hidden="1">{"ReportTop",#N/A,FALSE,"report top"}</definedName>
    <definedName name="vvvv" hidden="1">{"documentation1",#N/A,FALSE,"Documentation";"documentation2",#N/A,FALSE,"Documentation"}</definedName>
    <definedName name="vvvv_1" hidden="1">{"documentation1",#N/A,FALSE,"Documentation";"documentation2",#N/A,FALSE,"Documentation"}</definedName>
    <definedName name="vvvv_1_1" hidden="1">{"documentation1",#N/A,FALSE,"Documentation";"documentation2",#N/A,FALSE,"Documentation"}</definedName>
    <definedName name="vvvvv"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v" hidden="1">{#N/A,#N/A,TRUE,"Fiber_Optic_Cable_Input ";#N/A,#N/A,TRUE,"Specialty_Fiber_Devices_Input";#N/A,#N/A,TRUE,"Optical_Fiber_Apparatus_Input"}</definedName>
    <definedName name="vvvvvv_1" hidden="1">{#N/A,#N/A,TRUE,"Fiber_Optic_Cable_Input ";#N/A,#N/A,TRUE,"Specialty_Fiber_Devices_Input";#N/A,#N/A,TRUE,"Optical_Fiber_Apparatus_Input"}</definedName>
    <definedName name="vvvvvv_1_1" hidden="1">{#N/A,#N/A,TRUE,"Fiber_Optic_Cable_Input ";#N/A,#N/A,TRUE,"Specialty_Fiber_Devices_Input";#N/A,#N/A,TRUE,"Optical_Fiber_Apparatus_Input"}</definedName>
    <definedName name="vvvvvvv" hidden="1">{#N/A,#N/A,TRUE,"Falcons_Standalone";#N/A,#N/A,TRUE,"Target_Input";#N/A,#N/A,TRUE,"Target_Calendarized"}</definedName>
    <definedName name="vvvvvvv_1" hidden="1">{#N/A,#N/A,TRUE,"Falcons_Standalone";#N/A,#N/A,TRUE,"Target_Input";#N/A,#N/A,TRUE,"Target_Calendarized"}</definedName>
    <definedName name="vvvvvvv_1_1" hidden="1">{#N/A,#N/A,TRUE,"Falcons_Standalone";#N/A,#N/A,TRUE,"Target_Input";#N/A,#N/A,TRUE,"Target_Calendarized"}</definedName>
    <definedName name="vvvvvvvv" hidden="1">{#N/A,#N/A,TRUE,"FOC_Product_Assumptions"}</definedName>
    <definedName name="vvvvvvvv_1" hidden="1">{#N/A,#N/A,TRUE,"FOC_Product_Assumptions"}</definedName>
    <definedName name="vvvvvvvv_1_1" hidden="1">{#N/A,#N/A,TRUE,"FOC_Product_Assumptions"}</definedName>
    <definedName name="vvvvvvvvv" hidden="1">{#N/A,#N/A,FALSE,"Consolidated Shipley";#N/A,#N/A,FALSE,"Consolidated PWB";#N/A,#N/A,FALSE,"Consolidated Micro"}</definedName>
    <definedName name="vvvvvvvvv_1" hidden="1">{#N/A,#N/A,FALSE,"Consolidated Shipley";#N/A,#N/A,FALSE,"Consolidated PWB";#N/A,#N/A,FALSE,"Consolidated Micro"}</definedName>
    <definedName name="vvvvvvvvv_1_1" hidden="1">{#N/A,#N/A,FALSE,"Consolidated Shipley";#N/A,#N/A,FALSE,"Consolidated PWB";#N/A,#N/A,FALSE,"Consolidated Micro"}</definedName>
    <definedName name="vvvvvvvvvv" hidden="1">{#N/A,#N/A,FALSE,"Consolidated Shipley";#N/A,#N/A,FALSE,"Consolidated PWB";#N/A,#N/A,FALSE,"Consolidated Micro"}</definedName>
    <definedName name="vvvvvvvvvv_1" hidden="1">{#N/A,#N/A,FALSE,"Consolidated Shipley";#N/A,#N/A,FALSE,"Consolidated PWB";#N/A,#N/A,FALSE,"Consolidated Micro"}</definedName>
    <definedName name="vvvvvvvvvv_1_1" hidden="1">{#N/A,#N/A,FALSE,"Consolidated Shipley";#N/A,#N/A,FALSE,"Consolidated PWB";#N/A,#N/A,FALSE,"Consolidated Micro"}</definedName>
    <definedName name="w" hidden="1">{"ReportTop",#N/A,FALSE,"report top"}</definedName>
    <definedName name="w_1" hidden="1">{"ReportTop",#N/A,FALSE,"report top"}</definedName>
    <definedName name="w_1_1" hidden="1">{"ReportTop",#N/A,FALSE,"report top"}</definedName>
    <definedName name="wacc" hidden="1">{#N/A,#N/A,FALSE,"Virgin Flightdeck"}</definedName>
    <definedName name="wacc_1" hidden="1">{#N/A,#N/A,FALSE,"Virgin Flightdeck"}</definedName>
    <definedName name="wacc_1_1" hidden="1">{#N/A,#N/A,FALSE,"Virgin Flightdeck"}</definedName>
    <definedName name="WACC_new" hidden="1">{#N/A,#N/A,FALSE,"Virgin Flightdeck"}</definedName>
    <definedName name="WACC_new_1" hidden="1">{#N/A,#N/A,FALSE,"Virgin Flightdeck"}</definedName>
    <definedName name="WACC_new_1_1" hidden="1">{#N/A,#N/A,FALSE,"Virgin Flightdeck"}</definedName>
    <definedName name="Walsei_Rent" localSheetId="22">#REF!</definedName>
    <definedName name="Walsei_Rent" localSheetId="23">#REF!</definedName>
    <definedName name="Walsei_Rent">#REF!</definedName>
    <definedName name="Walsei_Table" localSheetId="22">#REF!</definedName>
    <definedName name="Walsei_Table" localSheetId="23">#REF!</definedName>
    <definedName name="Walsei_Table">#REF!</definedName>
    <definedName name="WarehseRentalGrowth_evy2yr" localSheetId="22">#REF!</definedName>
    <definedName name="WarehseRentalGrowth_evy2yr" localSheetId="23">#REF!</definedName>
    <definedName name="WarehseRentalGrowth_evy2yr">#REF!</definedName>
    <definedName name="wendywan_4_final" localSheetId="22">#REF!</definedName>
    <definedName name="wendywan_4_final" localSheetId="23">#REF!</definedName>
    <definedName name="wendywan_4_final" localSheetId="51">#REF!</definedName>
    <definedName name="wendywan_4_final">#REF!</definedName>
    <definedName name="wendywan_fins_final" localSheetId="22">#REF!</definedName>
    <definedName name="wendywan_fins_final" localSheetId="23">#REF!</definedName>
    <definedName name="wendywan_fins_final" localSheetId="51">#REF!</definedName>
    <definedName name="wendywan_fins_final">#REF!</definedName>
    <definedName name="weraw" hidden="1">{"mgmt forecast",#N/A,FALSE,"Mgmt Forecast";"dcf table",#N/A,FALSE,"Mgmt Forecast";"sensitivity",#N/A,FALSE,"Mgmt Forecast";"table inputs",#N/A,FALSE,"Mgmt Forecast";"calculations",#N/A,FALSE,"Mgmt Forecast"}</definedName>
    <definedName name="weraw_1" hidden="1">{"mgmt forecast",#N/A,FALSE,"Mgmt Forecast";"dcf table",#N/A,FALSE,"Mgmt Forecast";"sensitivity",#N/A,FALSE,"Mgmt Forecast";"table inputs",#N/A,FALSE,"Mgmt Forecast";"calculations",#N/A,FALSE,"Mgmt Forecast"}</definedName>
    <definedName name="weraw_1_1" hidden="1">{"mgmt forecast",#N/A,FALSE,"Mgmt Forecast";"dcf table",#N/A,FALSE,"Mgmt Forecast";"sensitivity",#N/A,FALSE,"Mgmt Forecast";"table inputs",#N/A,FALSE,"Mgmt Forecast";"calculations",#N/A,FALSE,"Mgmt Forecast"}</definedName>
    <definedName name="were" hidden="1">{"mgmt forecast",#N/A,FALSE,"Mgmt Forecast";"dcf table",#N/A,FALSE,"Mgmt Forecast";"sensitivity",#N/A,FALSE,"Mgmt Forecast";"table inputs",#N/A,FALSE,"Mgmt Forecast";"calculations",#N/A,FALSE,"Mgmt Forecast"}</definedName>
    <definedName name="were_1" hidden="1">{"mgmt forecast",#N/A,FALSE,"Mgmt Forecast";"dcf table",#N/A,FALSE,"Mgmt Forecast";"sensitivity",#N/A,FALSE,"Mgmt Forecast";"table inputs",#N/A,FALSE,"Mgmt Forecast";"calculations",#N/A,FALSE,"Mgmt Forecast"}</definedName>
    <definedName name="were_1_1" hidden="1">{"mgmt forecast",#N/A,FALSE,"Mgmt Forecast";"dcf table",#N/A,FALSE,"Mgmt Forecast";"sensitivity",#N/A,FALSE,"Mgmt Forecast";"table inputs",#N/A,FALSE,"Mgmt Forecast";"calculations",#N/A,FALSE,"Mgmt Forecast"}</definedName>
    <definedName name="wfcwfwfwfw" localSheetId="22" hidden="1">#REF!</definedName>
    <definedName name="wfcwfwfwfw" localSheetId="23" hidden="1">#REF!</definedName>
    <definedName name="wfcwfwfwfw" localSheetId="51" hidden="1">#REF!</definedName>
    <definedName name="wfcwfwfwfw" hidden="1">#REF!</definedName>
    <definedName name="WinStar_RSPALDING" localSheetId="22">#REF!</definedName>
    <definedName name="WinStar_RSPALDING" localSheetId="23">#REF!</definedName>
    <definedName name="WinStar_RSPALDING" localSheetId="51">#REF!</definedName>
    <definedName name="WinStar_RSPALDING">#REF!</definedName>
    <definedName name="wrn" hidden="1">{#N/A,#N/A,FALSE,"DCF Summary";#N/A,#N/A,FALSE,"Casema";#N/A,#N/A,FALSE,"Casema NoTel";#N/A,#N/A,FALSE,"UK";#N/A,#N/A,FALSE,"RCF";#N/A,#N/A,FALSE,"Intercable CZ";#N/A,#N/A,FALSE,"Interkabel P"}</definedName>
    <definedName name="wrn." hidden="1">{#N/A,#N/A,FALSE,"Japan 2003";#N/A,#N/A,FALSE,"Sheet2"}</definedName>
    <definedName name="wrn._1" hidden="1">{#N/A,#N/A,FALSE,"Japan 2003";#N/A,#N/A,FALSE,"Sheet2"}</definedName>
    <definedName name="wrn._1_1" hidden="1">{#N/A,#N/A,FALSE,"Japan 2003";#N/A,#N/A,FALSE,"Sheet2"}</definedName>
    <definedName name="wrn.A_VALUATION." hidden="1">{#N/A,#N/A,FALSE,"A_D";#N/A,#N/A,FALSE,"WACC";#N/A,#N/A,FALSE,"DCF";#N/A,#N/A,FALSE,"A";#N/A,#N/A,FALSE,"LBO";#N/A,#N/A,FALSE,"C";#N/A,#N/A,FALSE,"impd";#N/A,#N/A,FALSE,"comps"}</definedName>
    <definedName name="wrn.A_VALUATION._1" hidden="1">{#N/A,#N/A,FALSE,"A_D";#N/A,#N/A,FALSE,"WACC";#N/A,#N/A,FALSE,"DCF";#N/A,#N/A,FALSE,"A";#N/A,#N/A,FALSE,"LBO";#N/A,#N/A,FALSE,"C";#N/A,#N/A,FALSE,"impd";#N/A,#N/A,FALSE,"comps"}</definedName>
    <definedName name="wrn.A_VALUATION._1_1" hidden="1">{#N/A,#N/A,FALSE,"A_D";#N/A,#N/A,FALSE,"WACC";#N/A,#N/A,FALSE,"DCF";#N/A,#N/A,FALSE,"A";#N/A,#N/A,FALSE,"LBO";#N/A,#N/A,FALSE,"C";#N/A,#N/A,FALSE,"impd";#N/A,#N/A,FALSE,"comps"}</definedName>
    <definedName name="wrn.Account._.Receivable."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wrn.Accounts." hidden="1">{#N/A,#N/A,TRUE,"Directory";#N/A,#N/A,TRUE,"DirRPT";#N/A,#N/A,TRUE,"Bal Sheet";#N/A,#N/A,TRUE,"Approp";#N/A,#N/A,TRUE,"Rev State";#N/A,#N/A,TRUE,"Trad ac";#N/A,#N/A,TRUE,"fa sched";#N/A,#N/A,TRUE,"notes";#N/A,#N/A,TRUE,"Disclaimer"}</definedName>
    <definedName name="wrn.Accounts_Revenue." hidden="1">{#N/A,#N/A,TRUE,"Financial Position";#N/A,#N/A,TRUE,"Equity";#N/A,#N/A,TRUE,"Finan Perf - Revenue"}</definedName>
    <definedName name="wrn.Accounts_Trading." hidden="1">{#N/A,#N/A,TRUE,"Financial Position";#N/A,#N/A,TRUE,"Equity";#N/A,#N/A,TRUE,"Finan Perf - Profit &amp; Loss";#N/A,#N/A,TRUE,"Finan Perf - Trading"}</definedName>
    <definedName name="wrn.Accr_Dil." hidden="1">{#N/A,#N/A,FALSE,"Debt Accr";#N/A,#N/A,FALSE,"Stock Accr";#N/A,#N/A,FALSE,"Debt Stock Accr"}</definedName>
    <definedName name="wrn.Accr_Dil._1" hidden="1">{#N/A,#N/A,FALSE,"Debt Accr";#N/A,#N/A,FALSE,"Stock Accr";#N/A,#N/A,FALSE,"Debt Stock Accr"}</definedName>
    <definedName name="wrn.Accr_Dil._1_1" hidden="1">{#N/A,#N/A,FALSE,"Debt Accr";#N/A,#N/A,FALSE,"Stock Accr";#N/A,#N/A,FALSE,"Debt Stock Accr"}</definedName>
    <definedName name="wrn.Acquisition_matrix." hidden="1">{"Acq_matrix",#N/A,FALSE,"Acquisition Matrix"}</definedName>
    <definedName name="wrn.Acquisition_matrix._1" hidden="1">{"Acq_matrix",#N/A,FALSE,"Acquisition Matrix"}</definedName>
    <definedName name="wrn.Acquisition_matrix._1_1" hidden="1">{"Acq_matrix",#N/A,FALSE,"Acquisition Matrix"}</definedName>
    <definedName name="wrn.adj95." hidden="1">{"adj95mult",#N/A,FALSE,"COMPCO";"adj95est",#N/A,FALSE,"COMPCO"}</definedName>
    <definedName name="wrn.adj95._1" hidden="1">{"adj95mult",#N/A,FALSE,"COMPCO";"adj95est",#N/A,FALSE,"COMPCO"}</definedName>
    <definedName name="wrn.adj95._1_1" hidden="1">{"adj95mult",#N/A,FALSE,"COMPCO";"adj95est",#N/A,FALSE,"COMPCO"}</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a" hidden="1">{#N/A,#N/A,FALSE,"Aging Summary";#N/A,#N/A,FALSE,"Ratio Analysis";#N/A,#N/A,FALSE,"Test 120 Day Accts";#N/A,#N/A,FALSE,"Tickmarks"}</definedName>
    <definedName name="wrn.AGN._.MODELS." hidden="1">{"QTRINC1",#N/A,FALSE,"QTRINC";"QTRINC2",#N/A,FALSE,"QTRINC";"QTRSALES",#N/A,FALSE,"QTRSALES";"ANNSALES",#N/A,FALSE,"ANNSALES";"CASHFLOW",#N/A,FALSE,"CASHFLOW"}</definedName>
    <definedName name="wrn.AGN._.MODELS._1" hidden="1">{"QTRINC1",#N/A,FALSE,"QTRINC";"QTRINC2",#N/A,FALSE,"QTRINC";"QTRSALES",#N/A,FALSE,"QTRSALES";"ANNSALES",#N/A,FALSE,"ANNSALES";"CASHFLOW",#N/A,FALSE,"CASHFLOW"}</definedName>
    <definedName name="wrn.AGN._.MODELS._1_1" hidden="1">{"QTRINC1",#N/A,FALSE,"QTRINC";"QTRINC2",#N/A,FALSE,"QTRINC";"QTRSALES",#N/A,FALSE,"QTRSALES";"ANNSALES",#N/A,FALSE,"ANNSALES";"CASHFLOW",#N/A,FALSE,"CASHFLOW"}</definedName>
    <definedName name="wrn.All." hidden="1">{"P&amp;L",#N/A,TRUE,"HC";"P&amp;L Percents",#N/A,TRUE,"P&amp;L";"M&amp;A3 P&amp;L",#N/A,TRUE,"HC";"M&amp;A3 Pipeline",#N/A,TRUE,"HC";"Franchises",#N/A,TRUE,"HC";"CF&amp;BS",#N/A,TRUE,"HC"}</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PAGES." hidden="1">{#N/A,#N/A,FALSE,"puboff";#N/A,#N/A,FALSE,"financials";#N/A,#N/A,FALSE,"valuation";#N/A,#N/A,FALSE,"split"}</definedName>
    <definedName name="wrn.ALL._.PAGES._1" hidden="1">{#N/A,#N/A,FALSE,"puboff";#N/A,#N/A,FALSE,"financials";#N/A,#N/A,FALSE,"valuation";#N/A,#N/A,FALSE,"split"}</definedName>
    <definedName name="wrn.ALL._.PAGES._1_1" hidden="1">{#N/A,#N/A,FALSE,"puboff";#N/A,#N/A,FALSE,"financials";#N/A,#N/A,FALSE,"valuation";#N/A,#N/A,FALSE,"split"}</definedName>
    <definedName name="wrn.ALL._.SHEETS." hidden="1">{#N/A,#N/A,FALSE,"Adj Proj";#N/A,#N/A,FALSE,"Sheet1";#N/A,#N/A,FALSE,"LBO";#N/A,#N/A,FALSE,"LBOMER";#N/A,#N/A,FALSE,"WACC";#N/A,#N/A,FALSE,"DCF";#N/A,#N/A,FALSE,"DCFMER";#N/A,#N/A,FALSE,"Pooling";#N/A,#N/A,FALSE,"income";#N/A,#N/A,FALSE,"Offer"}</definedName>
    <definedName name="wrn.ALL._.SHEETS._1" hidden="1">{#N/A,#N/A,FALSE,"Adj Proj";#N/A,#N/A,FALSE,"Sheet1";#N/A,#N/A,FALSE,"LBO";#N/A,#N/A,FALSE,"LBOMER";#N/A,#N/A,FALSE,"WACC";#N/A,#N/A,FALSE,"DCF";#N/A,#N/A,FALSE,"DCFMER";#N/A,#N/A,FALSE,"Pooling";#N/A,#N/A,FALSE,"income";#N/A,#N/A,FALSE,"Offer"}</definedName>
    <definedName name="wrn.ALL._.SHEETS._1_1" hidden="1">{#N/A,#N/A,FALSE,"Adj Proj";#N/A,#N/A,FALSE,"Sheet1";#N/A,#N/A,FALSE,"LBO";#N/A,#N/A,FALSE,"LBOMER";#N/A,#N/A,FALSE,"WACC";#N/A,#N/A,FALSE,"DCF";#N/A,#N/A,FALSE,"DCFMER";#N/A,#N/A,FALSE,"Pooling";#N/A,#N/A,FALSE,"income";#N/A,#N/A,FALSE,"Offer"}</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1" hidden="1">{"P&amp;L",#N/A,TRUE,"HC";"P&amp;L Percents",#N/A,TRUE,"P&amp;L";"M&amp;A3 P&amp;L",#N/A,TRUE,"HC";"M&amp;A3 Pipeline",#N/A,TRUE,"HC";"Franchises",#N/A,TRUE,"HC";"CF&amp;BS",#N/A,TRUE,"HC"}</definedName>
    <definedName name="wrn.All._1_1" hidden="1">{"P&amp;L",#N/A,TRUE,"HC";"P&amp;L Percents",#N/A,TRUE,"P&amp;L";"M&amp;A3 P&amp;L",#N/A,TRUE,"HC";"M&amp;A3 Pipeline",#N/A,TRUE,"HC";"Franchises",#N/A,TRUE,"HC";"CF&amp;BS",#N/A,TRUE,"HC"}</definedName>
    <definedName name="wrn.All_Models." hidden="1">{#N/A,#N/A,FALSE,"Summary";#N/A,#N/A,FALSE,"Projections";#N/A,#N/A,FALSE,"Mkt Mults";#N/A,#N/A,FALSE,"DCF";#N/A,#N/A,FALSE,"Accr Dil";#N/A,#N/A,FALSE,"PIC LBO";#N/A,#N/A,FALSE,"MULT10_4";#N/A,#N/A,FALSE,"CBI LBO"}</definedName>
    <definedName name="wrn.All_Models._1" hidden="1">{#N/A,#N/A,FALSE,"Summary";#N/A,#N/A,FALSE,"Projections";#N/A,#N/A,FALSE,"Mkt Mults";#N/A,#N/A,FALSE,"DCF";#N/A,#N/A,FALSE,"Accr Dil";#N/A,#N/A,FALSE,"PIC LBO";#N/A,#N/A,FALSE,"MULT10_4";#N/A,#N/A,FALSE,"CBI LBO"}</definedName>
    <definedName name="wrn.All_Models._1_1"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_Sheets._1" hidden="1">{#N/A,#N/A,FALSE,"Projections";#N/A,#N/A,FALSE,"Contribution_Stock";#N/A,#N/A,FALSE,"PF_Combo_Stock";#N/A,#N/A,FALSE,"Projections";#N/A,#N/A,FALSE,"Contribution_Cash";#N/A,#N/A,FALSE,"PF_Combo_Cash";#N/A,#N/A,FALSE,"IPO_Cash"}</definedName>
    <definedName name="wrn.All_Sheets._1_1" hidden="1">{#N/A,#N/A,FALSE,"Projections";#N/A,#N/A,FALSE,"Contribution_Stock";#N/A,#N/A,FALSE,"PF_Combo_Stock";#N/A,#N/A,FALSE,"Projections";#N/A,#N/A,FALSE,"Contribution_Cash";#N/A,#N/A,FALSE,"PF_Combo_Cash";#N/A,#N/A,FALSE,"IPO_Cash"}</definedName>
    <definedName name="wrn.all1" hidden="1">{"P&amp;L",#N/A,TRUE,"HC";"P&amp;L Percents",#N/A,TRUE,"P&amp;L";"M&amp;A3 P&amp;L",#N/A,TRUE,"HC";"M&amp;A3 Pipeline",#N/A,TRUE,"HC";"Franchises",#N/A,TRUE,"HC";"CF&amp;BS",#N/A,TRUE,"HC"}</definedName>
    <definedName name="wrn.all1_1" hidden="1">{"P&amp;L",#N/A,TRUE,"HC";"P&amp;L Percents",#N/A,TRUE,"P&amp;L";"M&amp;A3 P&amp;L",#N/A,TRUE,"HC";"M&amp;A3 Pipeline",#N/A,TRUE,"HC";"Franchises",#N/A,TRUE,"HC";"CF&amp;BS",#N/A,TRUE,"HC"}</definedName>
    <definedName name="wrn.all1_1_1" hidden="1">{"P&amp;L",#N/A,TRUE,"HC";"P&amp;L Percents",#N/A,TRUE,"P&amp;L";"M&amp;A3 P&amp;L",#N/A,TRUE,"HC";"M&amp;A3 Pipeline",#N/A,TRUE,"HC";"Franchises",#N/A,TRUE,"HC";"CF&amp;BS",#N/A,TRUE,"HC"}</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_1"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hidden="1">{#N/A,#N/A,FALSE,"AD_Purchase";#N/A,#N/A,FALSE,"Credit";#N/A,#N/A,FALSE,"PF Acquisition";#N/A,#N/A,FALSE,"PF Offering"}</definedName>
    <definedName name="wrn.AllModels._1" hidden="1">{#N/A,#N/A,FALSE,"AD_Purchase";#N/A,#N/A,FALSE,"Credit";#N/A,#N/A,FALSE,"PF Acquisition";#N/A,#N/A,FALSE,"PF Offering"}</definedName>
    <definedName name="wrn.AllModels._1_1" hidden="1">{#N/A,#N/A,FALSE,"AD_Purchase";#N/A,#N/A,FALSE,"Credit";#N/A,#N/A,FALSE,"PF Acquisition";#N/A,#N/A,FALSE,"PF Offering"}</definedName>
    <definedName name="wrn.Annual._.Recap." hidden="1">{"Annual Recap",#N/A,FALSE,"Annual Recap"}</definedName>
    <definedName name="wrn.Annual._.Recap._1" hidden="1">{"Annual Recap",#N/A,FALSE,"Annual Recap"}</definedName>
    <definedName name="wrn.Annual._.Recap._1_1" hidden="1">{"Annual Recap",#N/A,FALSE,"Annual Recap"}</definedName>
    <definedName name="wrn.AQUIROR._.DCF." hidden="1">{"AQUIRORDCF",#N/A,FALSE,"Merger consequences";"Acquirorassns",#N/A,FALSE,"Merger consequences"}</definedName>
    <definedName name="wrn.AQUIROR._.DCF._1" hidden="1">{"AQUIRORDCF",#N/A,FALSE,"Merger consequences";"Acquirorassns",#N/A,FALSE,"Merger consequences"}</definedName>
    <definedName name="wrn.AQUIROR._.DCF._1_1" hidden="1">{"AQUIRORDCF",#N/A,FALSE,"Merger consequences";"Acquirorassns",#N/A,FALSE,"Merger consequences"}</definedName>
    <definedName name="wrn.AR.MONTHEND." hidden="1">{#N/A,#N/A,FALSE,"Aging"}</definedName>
    <definedName name="wrn.ARPU._.composition." hidden="1">{#N/A,#N/A,FALSE,"Additional ARPU"}</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UGUST." hidden="1">{"p&amp;lSUM",#N/A,FALSE,"P&amp;L";"DETAIL",#N/A,FALSE,"P&amp;L";"% revenue",#N/A,FALSE,"P&amp;L";"% growth",#N/A,FALSE,"P&amp;L";"summary",#N/A,FALSE,"Summary";"chart",#N/A,FALSE,"Summary"}</definedName>
    <definedName name="wrn.AUGUST._1" hidden="1">{"p&amp;lSUM",#N/A,FALSE,"P&amp;L";"DETAIL",#N/A,FALSE,"P&amp;L";"% revenue",#N/A,FALSE,"P&amp;L";"% growth",#N/A,FALSE,"P&amp;L";"summary",#N/A,FALSE,"Summary";"chart",#N/A,FALSE,"Summary"}</definedName>
    <definedName name="wrn.AUGUST._1_1" hidden="1">{"p&amp;lSUM",#N/A,FALSE,"P&amp;L";"DETAIL",#N/A,FALSE,"P&amp;L";"% revenue",#N/A,FALSE,"P&amp;L";"% growth",#N/A,FALSE,"P&amp;L";"summary",#N/A,FALSE,"Summary";"chart",#N/A,FALSE,"Summary"}</definedName>
    <definedName name="wrn.august1" hidden="1">{"p&amp;lSUM",#N/A,FALSE,"P&amp;L";"DETAIL",#N/A,FALSE,"P&amp;L";"% revenue",#N/A,FALSE,"P&amp;L";"% growth",#N/A,FALSE,"P&amp;L";"summary",#N/A,FALSE,"Summary";"chart",#N/A,FALSE,"Summary"}</definedName>
    <definedName name="wrn.august1_1" hidden="1">{"p&amp;lSUM",#N/A,FALSE,"P&amp;L";"DETAIL",#N/A,FALSE,"P&amp;L";"% revenue",#N/A,FALSE,"P&amp;L";"% growth",#N/A,FALSE,"P&amp;L";"summary",#N/A,FALSE,"Summary";"chart",#N/A,FALSE,"Summary"}</definedName>
    <definedName name="wrn.august1_1_1" hidden="1">{"p&amp;lSUM",#N/A,FALSE,"P&amp;L";"DETAIL",#N/A,FALSE,"P&amp;L";"% revenue",#N/A,FALSE,"P&amp;L";"% growth",#N/A,FALSE,"P&amp;L";"summary",#N/A,FALSE,"Summary";"chart",#N/A,FALSE,"Summary"}</definedName>
    <definedName name="wrn.Aventis._.Analysis." hidden="1">{"P&amp;Lforaventis",#N/A,FALSE,"Franchises";"aventisP&amp;L",#N/A,FALSE,"Franchises";"inflam franchise",#N/A,FALSE,"Franchises"}</definedName>
    <definedName name="wrn.Aventis._.Analysis._1" hidden="1">{"P&amp;Lforaventis",#N/A,FALSE,"Franchises";"aventisP&amp;L",#N/A,FALSE,"Franchises";"inflam franchise",#N/A,FALSE,"Franchises"}</definedName>
    <definedName name="wrn.Aventis._.Analysis._1_1" hidden="1">{"P&amp;Lforaventis",#N/A,FALSE,"Franchises";"aventisP&amp;L",#N/A,FALSE,"Franchises";"inflam franchise",#N/A,FALSE,"Franchises"}</definedName>
    <definedName name="wrn.aventis._.analysis.1" hidden="1">{"P&amp;Lforaventis",#N/A,FALSE,"Franchises";"aventisP&amp;L",#N/A,FALSE,"Franchises";"inflam franchise",#N/A,FALSE,"Franchises"}</definedName>
    <definedName name="wrn.aventis._.analysis.1_1" hidden="1">{"P&amp;Lforaventis",#N/A,FALSE,"Franchises";"aventisP&amp;L",#N/A,FALSE,"Franchises";"inflam franchise",#N/A,FALSE,"Franchises"}</definedName>
    <definedName name="wrn.aventis._.analysis.1_1_1" hidden="1">{"P&amp;Lforaventis",#N/A,FALSE,"Franchises";"aventisP&amp;L",#N/A,FALSE,"Franchises";"inflam franchise",#N/A,FALSE,"Franchises"}</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1_1" hidden="1">{#N/A,#N/A,FALSE,"New Depr Sch-150% DB";#N/A,#N/A,FALSE,"Cash Flows RLP";#N/A,#N/A,FALSE,"IRR";#N/A,#N/A,FALSE,"Proforma IS";#N/A,#N/A,FALSE,"Assumptions"}</definedName>
    <definedName name="wrn.basics." hidden="1">{#N/A,#N/A,FALSE,"TSUM";#N/A,#N/A,FALSE,"shares";#N/A,#N/A,FALSE,"earnout";#N/A,#N/A,FALSE,"Heaty";#N/A,#N/A,FALSE,"self-tend";#N/A,#N/A,FALSE,"self-sum"}</definedName>
    <definedName name="wrn.basics._1" hidden="1">{#N/A,#N/A,FALSE,"TSUM";#N/A,#N/A,FALSE,"shares";#N/A,#N/A,FALSE,"earnout";#N/A,#N/A,FALSE,"Heaty";#N/A,#N/A,FALSE,"self-tend";#N/A,#N/A,FALSE,"self-sum"}</definedName>
    <definedName name="wrn.basics._1_1" hidden="1">{#N/A,#N/A,FALSE,"TSUM";#N/A,#N/A,FALSE,"shares";#N/A,#N/A,FALSE,"earnout";#N/A,#N/A,FALSE,"Heaty";#N/A,#N/A,FALSE,"self-tend";#N/A,#N/A,FALSE,"self-sum"}</definedName>
    <definedName name="wrn.BS._.Print." hidden="1">{"BalanceSheets1",#N/A,FALSE,"input"}</definedName>
    <definedName name="wrn.BSAnnualModel." hidden="1">{"BSAnnualModel",#N/A,FALSE,"BS"}</definedName>
    <definedName name="wrn.BSAnnualModel._1" hidden="1">{"BSAnnualModel",#N/A,FALSE,"BS"}</definedName>
    <definedName name="wrn.BSAnnualModel._1_1" hidden="1">{"BSAnnualModel",#N/A,FALSE,"BS"}</definedName>
    <definedName name="wrn.bullshit1." hidden="1">{#N/A,#N/A,FALSE,"Sheet1";#N/A,#N/A,FALSE,"Summary";#N/A,#N/A,FALSE,"proj1";#N/A,#N/A,FALSE,"proj2"}</definedName>
    <definedName name="wrn.bullshit1._1" hidden="1">{#N/A,#N/A,FALSE,"Sheet1";#N/A,#N/A,FALSE,"Summary";#N/A,#N/A,FALSE,"proj1";#N/A,#N/A,FALSE,"proj2"}</definedName>
    <definedName name="wrn.bullshit1._1_1" hidden="1">{#N/A,#N/A,FALSE,"Sheet1";#N/A,#N/A,FALSE,"Summary";#N/A,#N/A,FALSE,"proj1";#N/A,#N/A,FALSE,"proj2"}</definedName>
    <definedName name="wrn.bwsched." hidden="1">{#N/A,#N/A,FALSE,"Highlights";#N/A,#N/A,FALSE,"Cash_Pg2a"}</definedName>
    <definedName name="wrn.c" hidden="1">{"p&amp;lSUM",#N/A,FALSE,"P&amp;L";"DETAIL",#N/A,FALSE,"P&amp;L";"% revenue",#N/A,FALSE,"P&amp;L";"% growth",#N/A,FALSE,"P&amp;L";"summary",#N/A,FALSE,"Summary";"chart",#N/A,FALSE,"Summary"}</definedName>
    <definedName name="wrn.c_1" hidden="1">{"p&amp;lSUM",#N/A,FALSE,"P&amp;L";"DETAIL",#N/A,FALSE,"P&amp;L";"% revenue",#N/A,FALSE,"P&amp;L";"% growth",#N/A,FALSE,"P&amp;L";"summary",#N/A,FALSE,"Summary";"chart",#N/A,FALSE,"Summary"}</definedName>
    <definedName name="wrn.c_1_1" hidden="1">{"p&amp;lSUM",#N/A,FALSE,"P&amp;L";"DETAIL",#N/A,FALSE,"P&amp;L";"% revenue",#N/A,FALSE,"P&amp;L";"% growth",#N/A,FALSE,"P&amp;L";"summary",#N/A,FALSE,"Summary";"chart",#N/A,FALSE,"Summary"}</definedName>
    <definedName name="wrn.Cashflow._.No._.Graphs." hidden="1">{#N/A,#N/A,FALSE,"Contents";#N/A,#N/A,FALSE,"Cashflow";#N/A,#N/A,FALSE,"Assumptions";#N/A,#N/A,FALSE,"Disclaimer"}</definedName>
    <definedName name="wrn.CFSModel." hidden="1">{"CFSModel",#N/A,FALSE,"CFS"}</definedName>
    <definedName name="wrn.CFSModel._1" hidden="1">{"CFSModel",#N/A,FALSE,"CFS"}</definedName>
    <definedName name="wrn.CFSModel._1_1" hidden="1">{"CFSModel",#N/A,FALSE,"CFS"}</definedName>
    <definedName name="wrn.Charts." hidden="1">{"Revenue chart",#N/A,FALSE,"Charts";"ExpenseChart",#N/A,FALSE,"Charts";"Netincomechart",#N/A,FALSE,"Charts"}</definedName>
    <definedName name="wrn.Charts._1" hidden="1">{"Revenue chart",#N/A,FALSE,"Charts";"ExpenseChart",#N/A,FALSE,"Charts";"Netincomechart",#N/A,FALSE,"Charts"}</definedName>
    <definedName name="wrn.Charts._1_1" hidden="1">{"Revenue chart",#N/A,FALSE,"Charts";"ExpenseChart",#N/A,FALSE,"Charts";"Netincomechart",#N/A,FALSE,"Charts"}</definedName>
    <definedName name="wrn.COMBINED."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BINED._1_1" hidden="1">{#N/A,#N/A,FALSE,"INPUTS";#N/A,#N/A,FALSE,"PROFORMA BSHEET";#N/A,#N/A,FALSE,"COMBINED";#N/A,#N/A,FALSE,"HIGH YIELD";#N/A,#N/A,FALSE,"COMB_GRAPHS"}</definedName>
    <definedName name="wrn.compco." hidden="1">{"mult96",#N/A,FALSE,"PETCOMP";"est96",#N/A,FALSE,"PETCOMP";"mult95",#N/A,FALSE,"PETCOMP";"est95",#N/A,FALSE,"PETCOMP";"multltm",#N/A,FALSE,"PETCOMP";"resultltm",#N/A,FALSE,"PETCOMP"}</definedName>
    <definedName name="wrn.compco._1" hidden="1">{"mult96",#N/A,FALSE,"PETCOMP";"est96",#N/A,FALSE,"PETCOMP";"mult95",#N/A,FALSE,"PETCOMP";"est95",#N/A,FALSE,"PETCOMP";"multltm",#N/A,FALSE,"PETCOMP";"resultltm",#N/A,FALSE,"PETCOMP"}</definedName>
    <definedName name="wrn.compco._1_1" hidden="1">{"mult96",#N/A,FALSE,"PETCOMP";"est96",#N/A,FALSE,"PETCOMP";"mult95",#N/A,FALSE,"PETCOMP";"est95",#N/A,FALSE,"PETCOMP";"multltm",#N/A,FALSE,"PETCOMP";"resultltm",#N/A,FALSE,"PETCOMP"}</definedName>
    <definedName name="wrn.Complete." hidden="1">{#N/A,#N/A,TRUE,"DCF Summary";#N/A,#N/A,TRUE,"Casema";#N/A,#N/A,TRUE,"UK";#N/A,#N/A,TRUE,"RCF";#N/A,#N/A,TRUE,"Intercable CZ";#N/A,#N/A,TRUE,"Interkabel P";#N/A,#N/A,TRUE,"LBO-Total";#N/A,#N/A,TRUE,"LBO-Casema"}</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1_1" hidden="1">{#N/A,#N/A,FALSE,"Assumptions";#N/A,#N/A,FALSE,"Proforma IS";#N/A,#N/A,FALSE,"Cash Flows RLP";#N/A,#N/A,FALSE,"IRR";#N/A,#N/A,FALSE,"New Depr Sch-150% DB";#N/A,#N/A,FALSE,"Comments"}</definedName>
    <definedName name="wrn.contribution." hidden="1">{#N/A,#N/A,FALSE,"Contribution Analysis"}</definedName>
    <definedName name="wrn.contribution._1" hidden="1">{#N/A,#N/A,FALSE,"Contribution Analysis"}</definedName>
    <definedName name="wrn.contribution._1_1" hidden="1">{#N/A,#N/A,FALSE,"Contribution Analysis"}</definedName>
    <definedName name="wrn.contributory._.asset._.charges." hidden="1">{"contributory1",#N/A,FALSE,"Contributory Assets Detail";"contributory2",#N/A,FALSE,"Contributory Assets Detail"}</definedName>
    <definedName name="wrn.contributory._.asset._.charges._1" hidden="1">{"contributory1",#N/A,FALSE,"Contributory Assets Detail";"contributory2",#N/A,FALSE,"Contributory Assets Detail"}</definedName>
    <definedName name="wrn.contributory._.asset._.charges._1_1" hidden="1">{"contributory1",#N/A,FALSE,"Contributory Assets Detail";"contributory2",#N/A,FALSE,"Contributory Assets Detail"}</definedName>
    <definedName name="wrn.cotop." hidden="1">{"ReportTop",#N/A,FALSE,"report top"}</definedName>
    <definedName name="wrn.cotop._1" hidden="1">{"ReportTop",#N/A,FALSE,"report top"}</definedName>
    <definedName name="wrn.cotop._1_1" hidden="1">{"ReportTop",#N/A,FALSE,"report top"}</definedName>
    <definedName name="wrn.Cover." hidden="1">{"coverall",#N/A,FALSE,"Definitions";"cover1",#N/A,FALSE,"Definitions";"cover2",#N/A,FALSE,"Definitions";"cover3",#N/A,FALSE,"Definitions";"cover4",#N/A,FALSE,"Definitions";"cover5",#N/A,FALSE,"Definitions";"blank",#N/A,FALSE,"Definitions"}</definedName>
    <definedName name="wrn.crom._.4cast." hidden="1">{#N/A,#N/A,TRUE,"TOTAL Roll-up";#N/A,#N/A,TRUE,"Launch timing assumptions"}</definedName>
    <definedName name="wrn.crom._.4cast._1" hidden="1">{#N/A,#N/A,TRUE,"TOTAL Roll-up";#N/A,#N/A,TRUE,"Launch timing assumptions"}</definedName>
    <definedName name="wrn.crom._.4cast._1_1" hidden="1">{#N/A,#N/A,TRUE,"TOTAL Roll-up";#N/A,#N/A,TRUE,"Launch timing assumptions"}</definedName>
    <definedName name="wrn.croma._.forecast." hidden="1">{#N/A,#N/A,TRUE,"TOTAL Roll-up";#N/A,#N/A,TRUE,"Launch timing assumptions"}</definedName>
    <definedName name="wrn.croma._.forecast._1" hidden="1">{#N/A,#N/A,TRUE,"TOTAL Roll-up";#N/A,#N/A,TRUE,"Launch timing assumptions"}</definedName>
    <definedName name="wrn.croma._.forecast._1_1" hidden="1">{#N/A,#N/A,TRUE,"TOTAL Roll-up";#N/A,#N/A,TRUE,"Launch timing assumptions"}</definedName>
    <definedName name="wrn.csc." hidden="1">{"orixcsc",#N/A,FALSE,"ORIX CSC";"orixcsc2",#N/A,FALSE,"ORIX CSC"}</definedName>
    <definedName name="wrn.csc._1" hidden="1">{"orixcsc",#N/A,FALSE,"ORIX CSC";"orixcsc2",#N/A,FALSE,"ORIX CSC"}</definedName>
    <definedName name="wrn.csc._1_1" hidden="1">{"orixcsc",#N/A,FALSE,"ORIX CSC";"orixcsc2",#N/A,FALSE,"ORIX CSC"}</definedName>
    <definedName name="wrn.csc2." hidden="1">{#N/A,#N/A,FALSE,"ORIX CSC"}</definedName>
    <definedName name="wrn.csc2._1" hidden="1">{#N/A,#N/A,FALSE,"ORIX CSC"}</definedName>
    <definedName name="wrn.csc2._1_1" hidden="1">{#N/A,#N/A,FALSE,"ORIX CSC"}</definedName>
    <definedName name="wrn.CUTS." hidden="1">{"REVENUE1",#N/A,FALSE,"REVPIVOT";"EXP1",#N/A,FALSE,"REVPIVOT";"EXP2",#N/A,FALSE,"REVPIVOT";"EXP4",#N/A,FALSE,"REVPIVOT";"EXP5",#N/A,FALSE,"REVPIVOT";"PIPELINE1",#N/A,FALSE,"REVPIVOT";"PIPELINE3",#N/A,FALSE,"REVPIVOT";"PIPELINE4",#N/A,FALSE,"REVPIVOT";"hc1",#N/A,FALSE,"REVPIVOT";"hc2",#N/A,FALSE,"REVPIVOT";"HC3",#N/A,FALSE,"REVPIVOT"}</definedName>
    <definedName name="wrn.CUTS._1" hidden="1">{"REVENUE1",#N/A,FALSE,"REVPIVOT";"EXP1",#N/A,FALSE,"REVPIVOT";"EXP2",#N/A,FALSE,"REVPIVOT";"EXP4",#N/A,FALSE,"REVPIVOT";"EXP5",#N/A,FALSE,"REVPIVOT";"PIPELINE1",#N/A,FALSE,"REVPIVOT";"PIPELINE3",#N/A,FALSE,"REVPIVOT";"PIPELINE4",#N/A,FALSE,"REVPIVOT";"hc1",#N/A,FALSE,"REVPIVOT";"hc2",#N/A,FALSE,"REVPIVOT";"HC3",#N/A,FALSE,"REVPIVOT"}</definedName>
    <definedName name="wrn.CUTS._1_1" hidden="1">{"REVENUE1",#N/A,FALSE,"REVPIVOT";"EXP1",#N/A,FALSE,"REVPIVOT";"EXP2",#N/A,FALSE,"REVPIVOT";"EXP4",#N/A,FALSE,"REVPIVOT";"EXP5",#N/A,FALSE,"REVPIVOT";"PIPELINE1",#N/A,FALSE,"REVPIVOT";"PIPELINE3",#N/A,FALSE,"REVPIVOT";"PIPELINE4",#N/A,FALSE,"REVPIVOT";"hc1",#N/A,FALSE,"REVPIVOT";"hc2",#N/A,FALSE,"REVPIVOT";"HC3",#N/A,FALSE,"REVPIVOT"}</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1" hidden="1">{"DCF1",#N/A,FALSE,"SIERRA DCF";"MATRIX1",#N/A,FALSE,"SIERRA DCF"}</definedName>
    <definedName name="wrn.DCF._1_1" hidden="1">{"DCF1",#N/A,FALSE,"SIERRA DCF";"MATRIX1",#N/A,FALSE,"SIERRA DCF"}</definedName>
    <definedName name="wrn.DCF_Terminal_Value_qchm." hidden="1">{"qchm_dcf",#N/A,FALSE,"QCHMDCF2";"qchm_terminal",#N/A,FALSE,"QCHMDCF2"}</definedName>
    <definedName name="wrn.DCF_Terminal_Value_qchm._1" hidden="1">{"qchm_dcf",#N/A,FALSE,"QCHMDCF2";"qchm_terminal",#N/A,FALSE,"QCHMDCF2"}</definedName>
    <definedName name="wrn.DCF_Terminal_Value_qchm._1_1" hidden="1">{"qchm_dcf",#N/A,FALSE,"QCHMDCF2";"qchm_terminal",#N/A,FALSE,"QCHMDCF2"}</definedName>
    <definedName name="wrn.dcf2" hidden="1">{"mgmt forecast",#N/A,FALSE,"Mgmt Forecast";"dcf table",#N/A,FALSE,"Mgmt Forecast";"sensitivity",#N/A,FALSE,"Mgmt Forecast";"table inputs",#N/A,FALSE,"Mgmt Forecast";"calculations",#N/A,FALSE,"Mgmt Forecast"}</definedName>
    <definedName name="wrn.dcf2_1" hidden="1">{"mgmt forecast",#N/A,FALSE,"Mgmt Forecast";"dcf table",#N/A,FALSE,"Mgmt Forecast";"sensitivity",#N/A,FALSE,"Mgmt Forecast";"table inputs",#N/A,FALSE,"Mgmt Forecast";"calculations",#N/A,FALSE,"Mgmt Forecast"}</definedName>
    <definedName name="wrn.dcf2_1_1" hidden="1">{"mgmt forecast",#N/A,FALSE,"Mgmt Forecast";"dcf table",#N/A,FALSE,"Mgmt Forecast";"sensitivity",#N/A,FALSE,"Mgmt Forecast";"table inputs",#N/A,FALSE,"Mgmt Forecast";"calculations",#N/A,FALSE,"Mgmt Forecast"}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1_1" hidden="1">{"Operating Data",#N/A,TRUE,"Sheet1";"Valuation Matrix",#N/A,TRUE,"Sheet1";"Sales Analysis",#N/A,TRUE,"Sheet1";"Closed Remodelled New",#N/A,TRUE,"Sheet1";"Competitive and FSP",#N/A,TRUE,"Sheet1";"Working Capital and Capex",#N/A,TRUE,"Sheet1";"depreciation",#N/A,TRUE,"Sheet1"}</definedName>
    <definedName name="wrn.documentation." hidden="1">{"documentation1",#N/A,FALSE,"Documentation";"documentation2",#N/A,FALSE,"Documentation"}</definedName>
    <definedName name="wrn.documentation._1" hidden="1">{"documentation1",#N/A,FALSE,"Documentation";"documentation2",#N/A,FALSE,"Documentation"}</definedName>
    <definedName name="wrn.documentation._1_1" hidden="1">{"documentation1",#N/A,FALSE,"Documentation";"documentation2",#N/A,FALSE,"Documentation"}</definedName>
    <definedName name="wrn.EAC._.Reports." hidden="1">{#N/A,#N/A,FALSE,"SUMMARY";#N/A,#N/A,FALSE,"EAC96PLA";#N/A,#N/A,FALSE,"EAC96EXT";#N/A,#N/A,FALSE,"FINSUM";#N/A,#N/A,FALSE,"1996PL";#N/A,#N/A,FALSE,"RISKOP3rd";#N/A,#N/A,FALSE,"RISKTOTAL";#N/A,#N/A,FALSE,"STAFFING";#N/A,#N/A,FALSE,"Balsht"}</definedName>
    <definedName name="wrn.EAC._.Reports._1" hidden="1">{#N/A,#N/A,FALSE,"SUMMARY";#N/A,#N/A,FALSE,"EAC96PLA";#N/A,#N/A,FALSE,"EAC96EXT";#N/A,#N/A,FALSE,"FINSUM";#N/A,#N/A,FALSE,"1996PL";#N/A,#N/A,FALSE,"RISKOP3rd";#N/A,#N/A,FALSE,"RISKTOTAL";#N/A,#N/A,FALSE,"STAFFING";#N/A,#N/A,FALSE,"Balsht"}</definedName>
    <definedName name="wrn.EAC._.Reports._1_1" hidden="1">{#N/A,#N/A,FALSE,"SUMMARY";#N/A,#N/A,FALSE,"EAC96PLA";#N/A,#N/A,FALSE,"EAC96EXT";#N/A,#N/A,FALSE,"FINSUM";#N/A,#N/A,FALSE,"1996PL";#N/A,#N/A,FALSE,"RISKOP3rd";#N/A,#N/A,FALSE,"RISKTOTAL";#N/A,#N/A,FALSE,"STAFFING";#N/A,#N/A,FALSE,"Balsht"}</definedName>
    <definedName name="wrn.Economic._.Value._.Added._.Analysis." hidden="1">{"EVA",#N/A,FALSE,"EVA";"WACC",#N/A,FALSE,"WACC"}</definedName>
    <definedName name="wrn.Economic._.Value._.Added._.Analysis._1" hidden="1">{"EVA",#N/A,FALSE,"EVA";"WACC",#N/A,FALSE,"WACC"}</definedName>
    <definedName name="wrn.Economic._.Value._.Added._.Analysis._1_1" hidden="1">{"EVA",#N/A,FALSE,"EVA";"WACC",#N/A,FALSE,"WACC"}</definedName>
    <definedName name="wrn.Entire._.Model." hidden="1">{"Issues1",#N/A,FALSE,"Issues"}</definedName>
    <definedName name="wrn.EPS._.print." hidden="1">{"EPS1",#N/A,FALSE,"merger"}</definedName>
    <definedName name="wrn.Equity._.Holdings." hidden="1">{"Summary Equities",#N/A,FALSE,"Trading";"Summary Core",#N/A,FALSE,"Core"}</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ist." hidden="1">{"Exist1",#N/A,FALSE,"Exist";"exist2",#N/A,FALSE,"Exist"}</definedName>
    <definedName name="wrn.Falcons._.Divisions." hidden="1">{#N/A,#N/A,TRUE,"Fiber_Optic_Cable_Input ";#N/A,#N/A,TRUE,"Specialty_Fiber_Devices_Input";#N/A,#N/A,TRUE,"Optical_Fiber_Apparatus_Input"}</definedName>
    <definedName name="wrn.Falcons._.Divisions._1" hidden="1">{#N/A,#N/A,TRUE,"Fiber_Optic_Cable_Input ";#N/A,#N/A,TRUE,"Specialty_Fiber_Devices_Input";#N/A,#N/A,TRUE,"Optical_Fiber_Apparatus_Input"}</definedName>
    <definedName name="wrn.Falcons._.Divisions._1_1" hidden="1">{#N/A,#N/A,TRUE,"Fiber_Optic_Cable_Input ";#N/A,#N/A,TRUE,"Specialty_Fiber_Devices_Input";#N/A,#N/A,TRUE,"Optical_Fiber_Apparatus_Input"}</definedName>
    <definedName name="wrn.Falcons._.Standalone." hidden="1">{#N/A,#N/A,TRUE,"Falcons_Standalone";#N/A,#N/A,TRUE,"Target_Input";#N/A,#N/A,TRUE,"Target_Calendarized"}</definedName>
    <definedName name="wrn.Falcons._.Standalone._1" hidden="1">{#N/A,#N/A,TRUE,"Falcons_Standalone";#N/A,#N/A,TRUE,"Target_Input";#N/A,#N/A,TRUE,"Target_Calendarized"}</definedName>
    <definedName name="wrn.Falcons._.Standalone._1_1" hidden="1">{#N/A,#N/A,TRUE,"Falcons_Standalone";#N/A,#N/A,TRUE,"Target_Input";#N/A,#N/A,TRUE,"Target_Calendarized"}</definedName>
    <definedName name="wrn.Feb." hidden="1">{#N/A,#N/A,FALSE,"431"}</definedName>
    <definedName name="wrn.Filter." hidden="1">{#N/A,#N/A,FALSE,"Assump2";#N/A,#N/A,FALSE,"Income2";#N/A,#N/A,FALSE,"Balance2";#N/A,#N/A,FALSE,"DCF Filter";#N/A,#N/A,FALSE,"Trans Assump2";#N/A,#N/A,FALSE,"Combined Income2";#N/A,#N/A,FALSE,"Combined Balance2"}</definedName>
    <definedName name="wrn.Filter._1" hidden="1">{#N/A,#N/A,FALSE,"Assump2";#N/A,#N/A,FALSE,"Income2";#N/A,#N/A,FALSE,"Balance2";#N/A,#N/A,FALSE,"DCF Filter";#N/A,#N/A,FALSE,"Trans Assump2";#N/A,#N/A,FALSE,"Combined Income2";#N/A,#N/A,FALSE,"Combined Balance2"}</definedName>
    <definedName name="wrn.Filter._1_1" hidden="1">{#N/A,#N/A,FALSE,"Assump2";#N/A,#N/A,FALSE,"Income2";#N/A,#N/A,FALSE,"Balance2";#N/A,#N/A,FALSE,"DCF Filter";#N/A,#N/A,FALSE,"Trans Assump2";#N/A,#N/A,FALSE,"Combined Income2";#N/A,#N/A,FALSE,"Combined Balance2"}</definedName>
    <definedName name="wrn.first2." hidden="1">{#N/A,#N/A,FALSE,"sum-don";#N/A,#N/A,FALSE,"inc-don"}</definedName>
    <definedName name="wrn.first2._1" hidden="1">{#N/A,#N/A,FALSE,"sum-don";#N/A,#N/A,FALSE,"inc-don"}</definedName>
    <definedName name="wrn.first2._1_1" hidden="1">{#N/A,#N/A,FALSE,"sum-don";#N/A,#N/A,FALSE,"inc-don"}</definedName>
    <definedName name="wrn.first3." hidden="1">{#N/A,#N/A,FALSE,"Summary";#N/A,#N/A,FALSE,"proj1";#N/A,#N/A,FALSE,"proj2"}</definedName>
    <definedName name="wrn.first3._1" hidden="1">{#N/A,#N/A,FALSE,"Summary";#N/A,#N/A,FALSE,"proj1";#N/A,#N/A,FALSE,"proj2"}</definedName>
    <definedName name="wrn.first3._1_1" hidden="1">{#N/A,#N/A,FALSE,"Summary";#N/A,#N/A,FALSE,"proj1";#N/A,#N/A,FALSE,"proj2"}</definedName>
    <definedName name="wrn.first4." hidden="1">{#N/A,#N/A,FALSE,"Summary";#N/A,#N/A,FALSE,"proj1";#N/A,#N/A,FALSE,"proj2";#N/A,#N/A,FALSE,"DCF"}</definedName>
    <definedName name="wrn.first4._1" hidden="1">{#N/A,#N/A,FALSE,"Summary";#N/A,#N/A,FALSE,"proj1";#N/A,#N/A,FALSE,"proj2";#N/A,#N/A,FALSE,"DCF"}</definedName>
    <definedName name="wrn.first4._1_1" hidden="1">{#N/A,#N/A,FALSE,"Summary";#N/A,#N/A,FALSE,"proj1";#N/A,#N/A,FALSE,"proj2";#N/A,#N/A,FALSE,"DCF"}</definedName>
    <definedName name="wrn.FOC._.Detail." hidden="1">{#N/A,#N/A,TRUE,"FOC_Product_Assumptions"}</definedName>
    <definedName name="wrn.FOC._.Detail._1" hidden="1">{#N/A,#N/A,TRUE,"FOC_Product_Assumptions"}</definedName>
    <definedName name="wrn.FOC._.Detail._1_1" hidden="1">{#N/A,#N/A,TRUE,"FOC_Product_Assumptions"}</definedName>
    <definedName name="wrn.fpkg." hidden="1">{#N/A,#N/A,FALSE,"Consolidated Shipley";#N/A,#N/A,FALSE,"Consolidated PWB";#N/A,#N/A,FALSE,"Consolidated Micro"}</definedName>
    <definedName name="wrn.fpkg._1" hidden="1">{#N/A,#N/A,FALSE,"Consolidated Shipley";#N/A,#N/A,FALSE,"Consolidated PWB";#N/A,#N/A,FALSE,"Consolidated Micro"}</definedName>
    <definedName name="wrn.fpkg._1_1" hidden="1">{#N/A,#N/A,FALSE,"Consolidated Shipley";#N/A,#N/A,FALSE,"Consolidated PWB";#N/A,#N/A,FALSE,"Consolidated Micro"}</definedName>
    <definedName name="wrn.fpkg1" hidden="1">{#N/A,#N/A,FALSE,"Consolidated Shipley";#N/A,#N/A,FALSE,"Consolidated PWB";#N/A,#N/A,FALSE,"Consolidated Micro"}</definedName>
    <definedName name="wrn.fpkg1_1" hidden="1">{#N/A,#N/A,FALSE,"Consolidated Shipley";#N/A,#N/A,FALSE,"Consolidated PWB";#N/A,#N/A,FALSE,"Consolidated Micro"}</definedName>
    <definedName name="wrn.fpkg1_1_1" hidden="1">{#N/A,#N/A,FALSE,"Consolidated Shipley";#N/A,#N/A,FALSE,"Consolidated PWB";#N/A,#N/A,FALSE,"Consolidated Micro"}</definedName>
    <definedName name="wrn.fpkg2" hidden="1">{#N/A,#N/A,FALSE,"Consolidated Shipley";#N/A,#N/A,FALSE,"Consolidated PWB";#N/A,#N/A,FALSE,"Consolidated Micro"}</definedName>
    <definedName name="wrn.fpkg2_1" hidden="1">{#N/A,#N/A,FALSE,"Consolidated Shipley";#N/A,#N/A,FALSE,"Consolidated PWB";#N/A,#N/A,FALSE,"Consolidated Micro"}</definedName>
    <definedName name="wrn.fpkg2_1_1" hidden="1">{#N/A,#N/A,FALSE,"Consolidated Shipley";#N/A,#N/A,FALSE,"Consolidated PWB";#N/A,#N/A,FALSE,"Consolidated Micro"}</definedName>
    <definedName name="wrn.fpkg3" hidden="1">{#N/A,#N/A,FALSE,"Consolidated Shipley";#N/A,#N/A,FALSE,"Consolidated PWB";#N/A,#N/A,FALSE,"Consolidated Micro"}</definedName>
    <definedName name="wrn.fpkg3_1" hidden="1">{#N/A,#N/A,FALSE,"Consolidated Shipley";#N/A,#N/A,FALSE,"Consolidated PWB";#N/A,#N/A,FALSE,"Consolidated Micro"}</definedName>
    <definedName name="wrn.fpkg3_1_1" hidden="1">{#N/A,#N/A,FALSE,"Consolidated Shipley";#N/A,#N/A,FALSE,"Consolidated PWB";#N/A,#N/A,FALSE,"Consolidated Micro"}</definedName>
    <definedName name="wrn.Full._.Print." hidden="1">{"cover page",#N/A,TRUE,"Cover sheet";"Assumptions",#N/A,TRUE,"Main Sheet";"Growth Rates and Margins and Ratios",#N/A,TRUE,"Main Sheet";"Income Statement",#N/A,TRUE,"Main Sheet";"Balance Sheet",#N/A,TRUE,"Main Sheet";"Interest Schedule",#N/A,TRUE,"Main Sheet";"Cashflows",#N/A,TRUE,"Main Sheet"}</definedName>
    <definedName name="wrn.gb." hidden="1">{#N/A,#N/A,FALSE,"资产负债表";#N/A,#N/A,FALSE,"资产负债表"}</definedName>
    <definedName name="wrn.GRAPHS." hidden="1">{#N/A,#N/A,FALSE,"ACQ_GRAPHS";#N/A,#N/A,FALSE,"T_1 GRAPHS";#N/A,#N/A,FALSE,"T_2 GRAPHS";#N/A,#N/A,FALSE,"COMB_GRAPHS"}</definedName>
    <definedName name="wrn.GRAPHS._1" hidden="1">{#N/A,#N/A,FALSE,"ACQ_GRAPHS";#N/A,#N/A,FALSE,"T_1 GRAPHS";#N/A,#N/A,FALSE,"T_2 GRAPHS";#N/A,#N/A,FALSE,"COMB_GRAPHS"}</definedName>
    <definedName name="wrn.GRAPHS._1_1" hidden="1">{#N/A,#N/A,FALSE,"ACQ_GRAPHS";#N/A,#N/A,FALSE,"T_1 GRAPHS";#N/A,#N/A,FALSE,"T_2 GRAPHS";#N/A,#N/A,FALSE,"COMB_GRAPHS"}</definedName>
    <definedName name="wrn.gross._.margin._.detail." hidden="1">{"gross_margin1",#N/A,FALSE,"Gross Margin Detail";"gross_margin2",#N/A,FALSE,"Gross Margin Detail"}</definedName>
    <definedName name="wrn.gross._.margin._.detail._1" hidden="1">{"gross_margin1",#N/A,FALSE,"Gross Margin Detail";"gross_margin2",#N/A,FALSE,"Gross Margin Detail"}</definedName>
    <definedName name="wrn.gross._.margin._.detail._1_1" hidden="1">{"gross_margin1",#N/A,FALSE,"Gross Margin Detail";"gross_margin2",#N/A,FALSE,"Gross Margin Detail"}</definedName>
    <definedName name="wrn.HEAT." hidden="1">{#N/A,#N/A,FALSE,"Heat";#N/A,#N/A,FALSE,"DCF";#N/A,#N/A,FALSE,"LBO";#N/A,#N/A,FALSE,"A";#N/A,#N/A,FALSE,"C";#N/A,#N/A,FALSE,"impd";#N/A,#N/A,FALSE,"Accr-Dilu"}</definedName>
    <definedName name="wrn.HEAT._1" hidden="1">{#N/A,#N/A,FALSE,"Heat";#N/A,#N/A,FALSE,"DCF";#N/A,#N/A,FALSE,"LBO";#N/A,#N/A,FALSE,"A";#N/A,#N/A,FALSE,"C";#N/A,#N/A,FALSE,"impd";#N/A,#N/A,FALSE,"Accr-Dilu"}</definedName>
    <definedName name="wrn.HEAT._1_1" hidden="1">{#N/A,#N/A,FALSE,"Heat";#N/A,#N/A,FALSE,"DCF";#N/A,#N/A,FALSE,"LBO";#N/A,#N/A,FALSE,"A";#N/A,#N/A,FALSE,"C";#N/A,#N/A,FALSE,"impd";#N/A,#N/A,FALSE,"Accr-Dilu"}</definedName>
    <definedName name="wrn.historical._.performance." hidden="1">{"historical acquirer",#N/A,FALSE,"Historical Performance";"historical target",#N/A,FALSE,"Historical Performance"}</definedName>
    <definedName name="wrn.historical._.performance._1" hidden="1">{"historical acquirer",#N/A,FALSE,"Historical Performance";"historical target",#N/A,FALSE,"Historical Performance"}</definedName>
    <definedName name="wrn.historical._.performance._1_1" hidden="1">{"historical acquirer",#N/A,FALSE,"Historical Performance";"historical target",#N/A,FALSE,"Historical Performance"}</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Hydraulic2._1" hidden="1">{#N/A,#N/A,FALSE,"HuscoCombined-Summ";#N/A,#N/A,FALSE,"HuscoCombined-Income";#N/A,#N/A,FALSE,"HuscoCombined-Offering";#N/A,#N/A,FALSE,"Husco-Income";#N/A,#N/A,FALSE,"TargetEngineer";#N/A,#N/A,FALSE,"TargetAcqCalc";#N/A,#N/A,FALSE,"Husco-Acq"}</definedName>
    <definedName name="wrn.Hydraulic2._1_1" hidden="1">{#N/A,#N/A,FALSE,"HuscoCombined-Summ";#N/A,#N/A,FALSE,"HuscoCombined-Income";#N/A,#N/A,FALSE,"HuscoCombined-Offering";#N/A,#N/A,FALSE,"Husco-Income";#N/A,#N/A,FALSE,"TargetEngineer";#N/A,#N/A,FALSE,"TargetAcqCalc";#N/A,#N/A,FALSE,"Husco-Acq"}</definedName>
    <definedName name="wrn.Import._.figures." hidden="1">{"reports",#N/A,FALSE,"Balance Sheet"}</definedName>
    <definedName name="wrn.inventory._.aging."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_1" hidden="1">{#N/A,#N/A,FALSE,"PLEDGE";#N/A,#N/A,FALSE,"GLADE";#N/A,#N/A,FALSE,"GREEN BIRD";#N/A,#N/A,FALSE,"MR. MUSCLE";#N/A,#N/A,FALSE,"TOILET DUCK";#N/A,#N/A,FALSE,"Other Home Care";#N/A,#N/A,FALSE,"RED BIRD";#N/A,#N/A,FALSE,"SHANGHAI";#N/A,#N/A,FALSE,"RAID";#N/A,#N/A,FALSE,"OFF";#N/A,#N/A,FALSE,"SEAGULL";#N/A,#N/A,FALSE,"HALSA";#N/A,#N/A,FALSE,"SOFT SENSE";#N/A,#N/A,FALSE,"TOTAL"}</definedName>
    <definedName name="wrn.IPO._.Valuation." hidden="1">{"assumptions",#N/A,FALSE,"Scenario 1";"valuation",#N/A,FALSE,"Scenario 1"}</definedName>
    <definedName name="wrn.IPO._.Valuation._1" hidden="1">{"assumptions",#N/A,FALSE,"Scenario 1";"valuation",#N/A,FALSE,"Scenario 1"}</definedName>
    <definedName name="wrn.IPO._.Valuation._1_1" hidden="1">{"assumptions",#N/A,FALSE,"Scenario 1";"valuation",#N/A,FALSE,"Scenario 1"}</definedName>
    <definedName name="wrn.ipovalue." hidden="1">{#N/A,#N/A,FALSE,"puboff";#N/A,#N/A,FALSE,"valuation";#N/A,#N/A,FALSE,"finanalsis";#N/A,#N/A,FALSE,"split";#N/A,#N/A,FALSE,"ownership"}</definedName>
    <definedName name="wrn.ipovalue._1" hidden="1">{#N/A,#N/A,FALSE,"puboff";#N/A,#N/A,FALSE,"valuation";#N/A,#N/A,FALSE,"finanalsis";#N/A,#N/A,FALSE,"split";#N/A,#N/A,FALSE,"ownership"}</definedName>
    <definedName name="wrn.ipovalue._1_1" hidden="1">{#N/A,#N/A,FALSE,"puboff";#N/A,#N/A,FALSE,"valuation";#N/A,#N/A,FALSE,"finanalsis";#N/A,#N/A,FALSE,"split";#N/A,#N/A,FALSE,"ownership"}</definedName>
    <definedName name="wrn.ISAnnualModel." hidden="1">{"AnnModel",#N/A,FALSE,"IS"}</definedName>
    <definedName name="wrn.ISAnnualModel._1" hidden="1">{"AnnModel",#N/A,FALSE,"IS"}</definedName>
    <definedName name="wrn.ISAnnualModel._1_1" hidden="1">{"AnnModel",#N/A,FALSE,"IS"}</definedName>
    <definedName name="wrn.ISCG._.model." hidden="1">{#N/A,#N/A,FALSE,"Second";#N/A,#N/A,FALSE,"ownership";#N/A,#N/A,FALSE,"Valuation";#N/A,#N/A,FALSE,"Eqiv";#N/A,#N/A,FALSE,"Mults";#N/A,#N/A,FALSE,"ISCG Graphics"}</definedName>
    <definedName name="wrn.ISCG._.model._1" hidden="1">{#N/A,#N/A,FALSE,"Second";#N/A,#N/A,FALSE,"ownership";#N/A,#N/A,FALSE,"Valuation";#N/A,#N/A,FALSE,"Eqiv";#N/A,#N/A,FALSE,"Mults";#N/A,#N/A,FALSE,"ISCG Graphics"}</definedName>
    <definedName name="wrn.ISCG._.model._1_1" hidden="1">{#N/A,#N/A,FALSE,"Second";#N/A,#N/A,FALSE,"ownership";#N/A,#N/A,FALSE,"Valuation";#N/A,#N/A,FALSE,"Eqiv";#N/A,#N/A,FALSE,"Mults";#N/A,#N/A,FALSE,"ISCG Graphics"}</definedName>
    <definedName name="wrn.ISQtrModel." hidden="1">{"QtrModel",#N/A,FALSE,"IS"}</definedName>
    <definedName name="wrn.ISQtrModel._1" hidden="1">{"QtrModel",#N/A,FALSE,"IS"}</definedName>
    <definedName name="wrn.ISQtrModel._1_1" hidden="1">{"QtrModel",#N/A,FALSE,"IS"}</definedName>
    <definedName name="wrn.jck94TAXRETURN."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eff._.Standalone." hidden="1">{#N/A,#N/A,TRUE,"Acquirer_Cases_Input";#N/A,#N/A,TRUE,"Acquirer_Input";#N/A,#N/A,TRUE,"Acquirer"}</definedName>
    <definedName name="wrn.Jeff._.Standalone._1" hidden="1">{#N/A,#N/A,TRUE,"Acquirer_Cases_Input";#N/A,#N/A,TRUE,"Acquirer_Input";#N/A,#N/A,TRUE,"Acquirer"}</definedName>
    <definedName name="wrn.Jeff._.Standalone._1_1" hidden="1">{#N/A,#N/A,TRUE,"Acquirer_Cases_Input";#N/A,#N/A,TRUE,"Acquirer_Input";#N/A,#N/A,TRUE,"Acquirer"}</definedName>
    <definedName name="wrn.JODM._.Graphs." hidden="1">{"graph",#N/A,FALSE,"WWJU";"graph",#N/A,FALSE,"WWSEM";"graph",#N/A,FALSE,"GOMJU";"graph",#N/A,FALSE,"GOMSEM";"graph",#N/A,FALSE,"NSJU";"graph",#N/A,FALSE,"NSSEM";"graph",#N/A,FALSE,"WAJU";"graph",#N/A,FALSE,"STOCKPRI";"graph",#N/A,FALSE,"CFTEV";"graph",#N/A,FALSE,"NAV-RCV";"graph",#N/A,FALSE,"CRUDEWW"}</definedName>
    <definedName name="wrn.JODM._.Graphs._1" hidden="1">{"graph",#N/A,FALSE,"WWJU";"graph",#N/A,FALSE,"WWSEM";"graph",#N/A,FALSE,"GOMJU";"graph",#N/A,FALSE,"GOMSEM";"graph",#N/A,FALSE,"NSJU";"graph",#N/A,FALSE,"NSSEM";"graph",#N/A,FALSE,"WAJU";"graph",#N/A,FALSE,"STOCKPRI";"graph",#N/A,FALSE,"CFTEV";"graph",#N/A,FALSE,"NAV-RCV";"graph",#N/A,FALSE,"CRUDEWW"}</definedName>
    <definedName name="wrn.JODM._.Graphs._1_1" hidden="1">{"graph",#N/A,FALSE,"WWJU";"graph",#N/A,FALSE,"WWSEM";"graph",#N/A,FALSE,"GOMJU";"graph",#N/A,FALSE,"GOMSEM";"graph",#N/A,FALSE,"NSJU";"graph",#N/A,FALSE,"NSSEM";"graph",#N/A,FALSE,"WAJU";"graph",#N/A,FALSE,"STOCKPRI";"graph",#N/A,FALSE,"CFTEV";"graph",#N/A,FALSE,"NAV-RCV";"graph",#N/A,FALSE,"CRUDEWW"}</definedName>
    <definedName name="wrn.ks" hidden="1">{#N/A,#N/A,FALSE,"431"}</definedName>
    <definedName name="wrn.LBO._.Summary." hidden="1">{"LBO Summary",#N/A,FALSE,"Summary"}</definedName>
    <definedName name="wrn.LBO._.Summary._1" hidden="1">{"LBO Summary",#N/A,FALSE,"Summary"}</definedName>
    <definedName name="wrn.LBO._.Summary._1_1" hidden="1">{"LBO Summary",#N/A,FALSE,"Summary"}</definedName>
    <definedName name="wrn.Main._.Fields."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e." hidden="1">{"Assumptions",#N/A,TRUE,"Assumptions";"Income",#N/A,TRUE,"Income";"Balance",#N/A,TRUE,"Balance"}</definedName>
    <definedName name="wrn.Maine._1" hidden="1">{"Assumptions",#N/A,TRUE,"Assumptions";"Income",#N/A,TRUE,"Income";"Balance",#N/A,TRUE,"Balance"}</definedName>
    <definedName name="wrn.Maine._1_1"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erge." hidden="1">{#N/A,#N/A,FALSE,"IPO";#N/A,#N/A,FALSE,"DCF";#N/A,#N/A,FALSE,"LBO";#N/A,#N/A,FALSE,"MULT_VAL";#N/A,#N/A,FALSE,"Status Quo";#N/A,#N/A,FALSE,"Recap"}</definedName>
    <definedName name="wrn.merge._1" hidden="1">{#N/A,#N/A,FALSE,"IPO";#N/A,#N/A,FALSE,"DCF";#N/A,#N/A,FALSE,"LBO";#N/A,#N/A,FALSE,"MULT_VAL";#N/A,#N/A,FALSE,"Status Quo";#N/A,#N/A,FALSE,"Recap"}</definedName>
    <definedName name="wrn.merge._1_1" hidden="1">{#N/A,#N/A,FALSE,"IPO";#N/A,#N/A,FALSE,"DCF";#N/A,#N/A,FALSE,"LBO";#N/A,#N/A,FALSE,"MULT_VAL";#N/A,#N/A,FALSE,"Status Quo";#N/A,#N/A,FALSE,"Recap"}</definedName>
    <definedName name="wrn.merger._.BS._.print." hidden="1">{"merger2",#N/A,FALSE,"merger"}</definedName>
    <definedName name="wrn.model." hidden="1">{"page1",#N/A,FALSE,"GIRLBO";"page2",#N/A,FALSE,"GIRLBO";"page3",#N/A,FALSE,"GIRLBO";"page4",#N/A,FALSE,"GIRLBO";"page5",#N/A,FALSE,"GIRLBO"}</definedName>
    <definedName name="wrn.model._1" hidden="1">{"page1",#N/A,FALSE,"GIRLBO";"page2",#N/A,FALSE,"GIRLBO";"page3",#N/A,FALSE,"GIRLBO";"page4",#N/A,FALSE,"GIRLBO";"page5",#N/A,FALSE,"GIRLBO"}</definedName>
    <definedName name="wrn.model._1_1" hidden="1">{"page1",#N/A,FALSE,"GIRLBO";"page2",#N/A,FALSE,"GIRLBO";"page3",#N/A,FALSE,"GIRLBO";"page4",#N/A,FALSE,"GIRLBO";"page5",#N/A,FALSE,"GIRLBO"}</definedName>
    <definedName name="wrn.Monatsbericht." hidden="1">{#N/A,#N/A,FALSE,"Inhalta";#N/A,#N/A,FALSE,"Seite1a";#N/A,#N/A,FALSE,"Seite2a";#N/A,#N/A,FALSE,"Seite3a";#N/A,#N/A,FALSE,"Seite4a";#N/A,#N/A,FALSE,"Seite5a";#N/A,#N/A,FALSE,"Seite6a";#N/A,#N/A,FALSE,"Seite7a";#N/A,#N/A,FALSE,"Seite8a";#N/A,#N/A,FALSE,"Seite9a"}</definedName>
    <definedName name="wrn.Monatsbericht._1" hidden="1">{#N/A,#N/A,FALSE,"Inhalta";#N/A,#N/A,FALSE,"Seite1a";#N/A,#N/A,FALSE,"Seite2a";#N/A,#N/A,FALSE,"Seite3a";#N/A,#N/A,FALSE,"Seite4a";#N/A,#N/A,FALSE,"Seite5a";#N/A,#N/A,FALSE,"Seite6a";#N/A,#N/A,FALSE,"Seite7a";#N/A,#N/A,FALSE,"Seite8a";#N/A,#N/A,FALSE,"Seite9a"}</definedName>
    <definedName name="wrn.Monatsbericht._1_1" hidden="1">{#N/A,#N/A,FALSE,"Inhalta";#N/A,#N/A,FALSE,"Seite1a";#N/A,#N/A,FALSE,"Seite2a";#N/A,#N/A,FALSE,"Seite3a";#N/A,#N/A,FALSE,"Seite4a";#N/A,#N/A,FALSE,"Seite5a";#N/A,#N/A,FALSE,"Seite6a";#N/A,#N/A,FALSE,"Seite7a";#N/A,#N/A,FALSE,"Seite8a";#N/A,#N/A,FALSE,"Seite9a"}</definedName>
    <definedName name="wrn.Monthly._.Financials." hidden="1">{#N/A,#N/A,FALSE,"PL OCT";#N/A,#N/A,FALSE,"YTD";#N/A,#N/A,FALSE,"Trend03";#N/A,#N/A,FALSE,"03 BalSheet";#N/A,#N/A,FALSE,"Cash Flow"}</definedName>
    <definedName name="wrn.Monthly._.Financials._1" hidden="1">{#N/A,#N/A,FALSE,"PL OCT";#N/A,#N/A,FALSE,"YTD";#N/A,#N/A,FALSE,"Trend03";#N/A,#N/A,FALSE,"03 BalSheet";#N/A,#N/A,FALSE,"Cash Flow"}</definedName>
    <definedName name="wrn.Monthly._.Financials._1_1" hidden="1">{#N/A,#N/A,FALSE,"PL OCT";#N/A,#N/A,FALSE,"YTD";#N/A,#N/A,FALSE,"Trend03";#N/A,#N/A,FALSE,"03 BalSheet";#N/A,#N/A,FALSE,"Cash Flow"}</definedName>
    <definedName name="wrn.NEW." hidden="1">{"Total P&amp;L",#N/A,FALSE,"P&amp;LTECH";"SUMPIPELINE",#N/A,FALSE,"P&amp;LTECH";"REVENUE",#N/A,FALSE,"P&amp;LTECH";"r&amp;d",#N/A,FALSE,"P&amp;LTECH"}</definedName>
    <definedName name="wrn.NEW._1" hidden="1">{"Total P&amp;L",#N/A,FALSE,"P&amp;LTECH";"SUMPIPELINE",#N/A,FALSE,"P&amp;LTECH";"REVENUE",#N/A,FALSE,"P&amp;LTECH";"r&amp;d",#N/A,FALSE,"P&amp;LTECH"}</definedName>
    <definedName name="wrn.NEW._1_1" hidden="1">{"Total P&amp;L",#N/A,FALSE,"P&amp;LTECH";"SUMPIPELINE",#N/A,FALSE,"P&amp;LTECH";"REVENUE",#N/A,FALSE,"P&amp;LTECH";"r&amp;d",#N/A,FALSE,"P&amp;LTECH"}</definedName>
    <definedName name="wrn.newest." hidden="1">{#N/A,#N/A,TRUE,"TS";#N/A,#N/A,TRUE,"Combo";#N/A,#N/A,TRUE,"FAIR";#N/A,#N/A,TRUE,"RBC";#N/A,#N/A,TRUE,"xxxx"}</definedName>
    <definedName name="wrn.newest._1" hidden="1">{#N/A,#N/A,TRUE,"TS";#N/A,#N/A,TRUE,"Combo";#N/A,#N/A,TRUE,"FAIR";#N/A,#N/A,TRUE,"RBC";#N/A,#N/A,TRUE,"xxxx"}</definedName>
    <definedName name="wrn.newest._1_1" hidden="1">{#N/A,#N/A,TRUE,"TS";#N/A,#N/A,TRUE,"Combo";#N/A,#N/A,TRUE,"FAIR";#N/A,#N/A,TRUE,"RBC";#N/A,#N/A,TRUE,"xxxx"}</definedName>
    <definedName name="wrn.Notes." hidden="1">{#N/A,#N/A,FALSE,"Pink Form";#N/A,#N/A,FALSE,"Index";#N/A,#N/A,FALSE,"Cap &amp; Res";#N/A,#N/A,FALSE,"Tax";#N/A,#N/A,FALSE,"ICA";#N/A,#N/A,FALSE,"Debtors";#N/A,#N/A,FALSE,"Bank";#N/A,#N/A,FALSE,"Stock";#N/A,#N/A,FALSE,"Creditors";#N/A,#N/A,FALSE,"GST";#N/A,#N/A,FALSE,"Total TL";#N/A,#N/A,FALSE,"HP Cred";#N/A,#N/A,FALSE,"Term Lia"}</definedName>
    <definedName name="wrn.output."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OUTPUT._1" hidden="1">{"DCF","UPSIDE CASE",FALSE,"Sheet1";"DCF","BASE CASE",FALSE,"Sheet1";"DCF","DOWNSIDE CASE",FALSE,"Sheet1"}</definedName>
    <definedName name="wrn.OUTPUT._1_1" hidden="1">{"DCF","UPSIDE CASE",FALSE,"Sheet1";"DCF","BASE CASE",FALSE,"Sheet1";"DCF","DOWNSIDE CASE",FALSE,"Sheet1"}</definedName>
    <definedName name="wrn.Package." hidden="1">{#N/A,#N/A,FALSE,"PL NOV";#N/A,#N/A,FALSE,"Trend00";#N/A,#N/A,FALSE,"YTD";#N/A,#N/A,FALSE,"00 balSheet";#N/A,#N/A,FALSE,"Bank BalSh"}</definedName>
    <definedName name="wrn.Package._1" hidden="1">{#N/A,#N/A,FALSE,"PL NOV";#N/A,#N/A,FALSE,"Trend00";#N/A,#N/A,FALSE,"YTD";#N/A,#N/A,FALSE,"00 balSheet";#N/A,#N/A,FALSE,"Bank BalSh"}</definedName>
    <definedName name="wrn.Package._1_1" hidden="1">{#N/A,#N/A,FALSE,"PL NOV";#N/A,#N/A,FALSE,"Trend00";#N/A,#N/A,FALSE,"YTD";#N/A,#N/A,FALSE,"00 balSheet";#N/A,#N/A,FALSE,"Bank BalSh"}</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rt.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DF." hidden="1">{#N/A,#N/A,TRUE,"actual vs plan f";#N/A,#N/A,TRUE,"CM actual vs est";#N/A,#N/A,TRUE,"fwd month est F";#N/A,#N/A,TRUE,"Variation Summary";#N/A,#N/A,TRUE,"SWCAP_Outlook";#N/A,#N/A,TRUE,"Hct_OWN _EXP";#N/A,#N/A,TRUE,"OWN_By_Acct";#N/A,#N/A,TRUE,"98 fiscal outlk";#N/A,#N/A,TRUE,"CWV_CAO";#N/A,#N/A,TRUE,"Oppt and At risk views vs CWV";#N/A,#N/A,TRUE,"CAP_Expenditures"}</definedName>
    <definedName name="wrn.PL1._.print." hidden="1">{"PL11",#N/A,FALSE,"input"}</definedName>
    <definedName name="wrn.PLX." hidden="1">{"cred comp",#N/A,FALSE,"Comparable Credit Analysis";"IS",#N/A,FALSE,"IS";"Sensitivity",#N/A,FALSE,"Sensitivity";"BS",#N/A,FALSE,"BS";"Bond Summary",#N/A,FALSE,"B Summary";"AD",#N/A,FALSE,"Accretion";"NAV",#N/A,FALSE,"NAV";"SU",#N/A,FALSE,"S&amp;U";"acq. study",#N/A,FALSE,"Acq. Study";"F Charges",#N/A,FALSE,"Fixed Charges"}</definedName>
    <definedName name="wrn.PLX._1" hidden="1">{"cred comp",#N/A,FALSE,"Comparable Credit Analysis";"IS",#N/A,FALSE,"IS";"Sensitivity",#N/A,FALSE,"Sensitivity";"BS",#N/A,FALSE,"BS";"Bond Summary",#N/A,FALSE,"B Summary";"AD",#N/A,FALSE,"Accretion";"NAV",#N/A,FALSE,"NAV";"SU",#N/A,FALSE,"S&amp;U";"acq. study",#N/A,FALSE,"Acq. Study";"F Charges",#N/A,FALSE,"Fixed Charges"}</definedName>
    <definedName name="wrn.PLX._1_1" hidden="1">{"cred comp",#N/A,FALSE,"Comparable Credit Analysis";"IS",#N/A,FALSE,"IS";"Sensitivity",#N/A,FALSE,"Sensitivity";"BS",#N/A,FALSE,"BS";"Bond Summary",#N/A,FALSE,"B Summary";"AD",#N/A,FALSE,"Accretion";"NAV",#N/A,FALSE,"NAV";"SU",#N/A,FALSE,"S&amp;U";"acq. study",#N/A,FALSE,"Acq. Study";"F Charges",#N/A,FALSE,"Fixed Charges"}</definedName>
    <definedName name="wrn.print." hidden="1">{#N/A,#N/A,FALSE,"SUM";#N/A,#N/A,FALSE,"Holding Cost ";#N/A,#N/A,FALSE,"2000 &amp; C3D";#N/A,#N/A,FALSE,"Disposal Costs";#N/A,#N/A,FALSE,"WIP";#N/A,#N/A,FALSE,"Fin Goods"}</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ll._.Pages._1" hidden="1">{"LBO Summary",#N/A,FALSE,"Summary";"Income Statement",#N/A,FALSE,"Model";"Cash Flow",#N/A,FALSE,"Model";"Balance Sheet",#N/A,FALSE,"Model";"Working Capital",#N/A,FALSE,"Model";"Pro Forma Balance Sheets",#N/A,FALSE,"PFBS";"Debt Balances",#N/A,FALSE,"Model";"Fee Schedules",#N/A,FALSE,"Model"}</definedName>
    <definedName name="wrn.Print._.All._.Pages._1_1" hidden="1">{"LBO Summary",#N/A,FALSE,"Summary";"Income Statement",#N/A,FALSE,"Model";"Cash Flow",#N/A,FALSE,"Model";"Balance Sheet",#N/A,FALSE,"Model";"Working Capital",#N/A,FALSE,"Model";"Pro Forma Balance Sheets",#N/A,FALSE,"PFBS";"Debt Balances",#N/A,FALSE,"Model";"Fee Schedules",#N/A,FALSE,"Model"}</definedName>
    <definedName name="wrn.print._1" hidden="1">{#N/A,#N/A,FALSE,"SUM";#N/A,#N/A,FALSE,"Holding Cost ";#N/A,#N/A,FALSE,"2000 &amp; C3D";#N/A,#N/A,FALSE,"Disposal Costs";#N/A,#N/A,FALSE,"WIP";#N/A,#N/A,FALSE,"Fin Goods"}</definedName>
    <definedName name="wrn.print._1_1" hidden="1">{#N/A,#N/A,FALSE,"SUM";#N/A,#N/A,FALSE,"Holding Cost ";#N/A,#N/A,FALSE,"2000 &amp; C3D";#N/A,#N/A,FALSE,"Disposal Costs";#N/A,#N/A,FALSE,"WIP";#N/A,#N/A,FALSE,"Fin Goods"}</definedName>
    <definedName name="wrn.Print1." hidden="1">{"Title",#N/A,FALSE,"Title";"Info",#N/A,FALSE,"Title";"Contents",#N/A,FALSE,"Title";"Sec.1",#N/A,FALSE,"Title";"Output1",#N/A,FALSE,"Output";"Sec.2",#N/A,FALSE,"Title";"Graph1",#N/A,FALSE,"Output";"Graph2",#N/A,FALSE,"Output";"Sec.3",#N/A,FALSE,"Title";"Gap1",#N/A,FALSE,"Output";"Sec.4",#N/A,FALSE,"Title";"Model_all",#N/A,FALSE,"Autostrade S.p.A."}</definedName>
    <definedName name="wrn.Printout." hidden="1">{"Multiple view",#N/A,FALSE,"GS Update Valuation";"NLG Merger view",#N/A,FALSE,"GS Update Valuation";"Dollar Merger view",#N/A,FALSE,"GS Update Valuation"}</definedName>
    <definedName name="wrn.Pump." hidden="1">{#N/A,#N/A,FALSE,"Assump";#N/A,#N/A,FALSE,"Income";#N/A,#N/A,FALSE,"Balance";#N/A,#N/A,FALSE,"DCF Pump";#N/A,#N/A,FALSE,"Trans Assump";#N/A,#N/A,FALSE,"Combined Income";#N/A,#N/A,FALSE,"Combined Balance"}</definedName>
    <definedName name="wrn.Pump._1" hidden="1">{#N/A,#N/A,FALSE,"Assump";#N/A,#N/A,FALSE,"Income";#N/A,#N/A,FALSE,"Balance";#N/A,#N/A,FALSE,"DCF Pump";#N/A,#N/A,FALSE,"Trans Assump";#N/A,#N/A,FALSE,"Combined Income";#N/A,#N/A,FALSE,"Combined Balance"}</definedName>
    <definedName name="wrn.Pump._1_1" hidden="1">{#N/A,#N/A,FALSE,"Assump";#N/A,#N/A,FALSE,"Income";#N/A,#N/A,FALSE,"Balance";#N/A,#N/A,FALSE,"DCF Pump";#N/A,#N/A,FALSE,"Trans Assump";#N/A,#N/A,FALSE,"Combined Income";#N/A,#N/A,FALSE,"Combined Balance"}</definedName>
    <definedName name="wrn.Radio." hidden="1">{#N/A,#N/A,FALSE,"Virgin Flightdeck"}</definedName>
    <definedName name="wrn.Radio._1" hidden="1">{#N/A,#N/A,FALSE,"Virgin Flightdeck"}</definedName>
    <definedName name="wrn.Radio._1_1" hidden="1">{#N/A,#N/A,FALSE,"Virgin Flightdeck"}</definedName>
    <definedName name="wrn.RELEVANTSHEETS." hidden="1">{#N/A,#N/A,FALSE,"AD_Purch";#N/A,#N/A,FALSE,"Projections";#N/A,#N/A,FALSE,"DCF";#N/A,#N/A,FALSE,"Mkt Val"}</definedName>
    <definedName name="wrn.RELEVANTSHEETS._1" hidden="1">{#N/A,#N/A,FALSE,"AD_Purch";#N/A,#N/A,FALSE,"Projections";#N/A,#N/A,FALSE,"DCF";#N/A,#N/A,FALSE,"Mkt Val"}</definedName>
    <definedName name="wrn.RELEVANTSHEETS._1_1" hidden="1">{#N/A,#N/A,FALSE,"AD_Purch";#N/A,#N/A,FALSE,"Projections";#N/A,#N/A,FALSE,"DCF";#N/A,#N/A,FALSE,"Mkt Val"}</definedName>
    <definedName name="wrn.Report1." hidden="1">{"Title",#N/A,TRUE,"Title";"Content",#N/A,TRUE,"Title";"Section1",#N/A,TRUE,"Title";"Output1",#N/A,TRUE,"Output";"Section2",#N/A,TRUE,"Title";"Graph1",#N/A,TRUE,"Output";"Section3",#N/A,TRUE,"Title";"Graph2",#N/A,TRUE,"Output";"Section4",#N/A,TRUE,"Title";"Gap1",#N/A,TRUE,"Output";"Section5",#N/A,TRUE,"Title";"Model_all",#N/A,TRUE,"Autostrade S.p.A."}</definedName>
    <definedName name="wrn.Reports2." hidden="1">{"NI2",#N/A,FALSE,"Sum - Exp";"Revenue2",#N/A,FALSE,"Sum - Exp";"Headcount2",#N/A,FALSE,"Sum - Exp";"Pipeline2",#N/A,FALSE,"Sum - Exp";"expenses",#N/A,FALSE,"Sum - Exp"}</definedName>
    <definedName name="wrn.Reports2._1" hidden="1">{"NI2",#N/A,FALSE,"Sum - Exp";"Revenue2",#N/A,FALSE,"Sum - Exp";"Headcount2",#N/A,FALSE,"Sum - Exp";"Pipeline2",#N/A,FALSE,"Sum - Exp";"expenses",#N/A,FALSE,"Sum - Exp"}</definedName>
    <definedName name="wrn.Reports2._1_1" hidden="1">{"NI2",#N/A,FALSE,"Sum - Exp";"Revenue2",#N/A,FALSE,"Sum - Exp";"Headcount2",#N/A,FALSE,"Sum - Exp";"Pipeline2",#N/A,FALSE,"Sum - Exp";"expenses",#N/A,FALSE,"Sum - Exp"}</definedName>
    <definedName name="wrn.revenue._.detail." hidden="1">{"revenue detail 1",#N/A,FALSE,"Revenue Detail";"revenue detail 2",#N/A,FALSE,"Revenue Detail";"revenue detail 3",#N/A,FALSE,"Revenue Detail";"revenue detail 4",#N/A,FALSE,"Revenue Detail"}</definedName>
    <definedName name="wrn.revenue._.detail._1" hidden="1">{"revenue detail 1",#N/A,FALSE,"Revenue Detail";"revenue detail 2",#N/A,FALSE,"Revenue Detail";"revenue detail 3",#N/A,FALSE,"Revenue Detail";"revenue detail 4",#N/A,FALSE,"Revenue Detail"}</definedName>
    <definedName name="wrn.revenue._.detail._1_1" hidden="1">{"revenue detail 1",#N/A,FALSE,"Revenue Detail";"revenue detail 2",#N/A,FALSE,"Revenue Detail";"revenue detail 3",#N/A,FALSE,"Revenue Detail";"revenue detail 4",#N/A,FALSE,"Revenue Detail"}</definedName>
    <definedName name="wrn.revenue._.graph." hidden="1">{"revenue graph",#N/A,FALSE,"Revenue Graph"}</definedName>
    <definedName name="wrn.revenue._.graph._1" hidden="1">{"revenue graph",#N/A,FALSE,"Revenue Graph"}</definedName>
    <definedName name="wrn.revenue._.graph._1_1" hidden="1">{"revenue graph",#N/A,FALSE,"Revenue Graph"}</definedName>
    <definedName name="wrn.Roll._.Up._.Fields." hidden="1">{"Total",#N/A,FALSE,"Six Fields";"PDP",#N/A,FALSE,"Six Fields";"PNP",#N/A,FALSE,"Six Fields";"PUD",#N/A,FALSE,"Six Fields";"Prob",#N/A,FALSE,"Six Fields"}</definedName>
    <definedName name="wrn.Roll._.Up._.Fields._1" hidden="1">{"Total",#N/A,FALSE,"Six Fields";"PDP",#N/A,FALSE,"Six Fields";"PNP",#N/A,FALSE,"Six Fields";"PUD",#N/A,FALSE,"Six Fields";"Prob",#N/A,FALSE,"Six Fields"}</definedName>
    <definedName name="wrn.Roll._.Up._.Fields._1_1" hidden="1">{"Total",#N/A,FALSE,"Six Fields";"PDP",#N/A,FALSE,"Six Fields";"PNP",#N/A,FALSE,"Six Fields";"PUD",#N/A,FALSE,"Six Fields";"Prob",#N/A,FALSE,"Six Fields"}</definedName>
    <definedName name="wrn.Sales._.Funnel._.Analysis._.2." hidden="1">{#N/A,#N/A,TRUE,"Funnel";#N/A,#N/A,TRUE,"FunnelMatrix"}</definedName>
    <definedName name="wrn.Singtel._.Model."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tandard." hidden="1">{#N/A,#N/A,FALSE,"Service + Produktion kum";#N/A,#N/A,FALSE,"Produktion kum";#N/A,#N/A,FALSE,"Service kum";#N/A,#N/A,FALSE,"Service Monat";#N/A,#N/A,FALSE,"CARAT"}</definedName>
    <definedName name="wrn.Standard._.Package." hidden="1">{"VIEW ACTUALS 1",#N/A,TRUE,"Report1";"VIEW ACTUALS 2",#N/A,TRUE,"Report1";"SCALE COMPARISON",#N/A,TRUE,"Report1"}</definedName>
    <definedName name="wrn.Standard._.Report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1" hidden="1">{#N/A,#N/A,FALSE,"Service + Produktion kum";#N/A,#N/A,FALSE,"Produktion kum";#N/A,#N/A,FALSE,"Service kum";#N/A,#N/A,FALSE,"Service Monat";#N/A,#N/A,FALSE,"CARAT"}</definedName>
    <definedName name="wrn.Standard._1_1" hidden="1">{#N/A,#N/A,FALSE,"Service + Produktion kum";#N/A,#N/A,FALSE,"Produktion kum";#N/A,#N/A,FALSE,"Service kum";#N/A,#N/A,FALSE,"Service Monat";#N/A,#N/A,FALSE,"CARAT"}</definedName>
    <definedName name="wrn.Statements." hidden="1">{"Co1statements",#N/A,FALSE,"Cmpy1";"Co2statement",#N/A,FALSE,"Cmpy2";"co1pm",#N/A,FALSE,"Co1PM";"co2PM",#N/A,FALSE,"Co2PM";"value",#N/A,FALSE,"value";"opco",#N/A,FALSE,"NewSparkle";"adjusts",#N/A,FALSE,"Adjustments"}</definedName>
    <definedName name="wrn.Statements._1" hidden="1">{"Co1statements",#N/A,FALSE,"Cmpy1";"Co2statement",#N/A,FALSE,"Cmpy2";"co1pm",#N/A,FALSE,"Co1PM";"co2PM",#N/A,FALSE,"Co2PM";"value",#N/A,FALSE,"value";"opco",#N/A,FALSE,"NewSparkle";"adjusts",#N/A,FALSE,"Adjustments"}</definedName>
    <definedName name="wrn.Statements._1_1" hidden="1">{"Co1statements",#N/A,FALSE,"Cmpy1";"Co2statement",#N/A,FALSE,"Cmpy2";"co1pm",#N/A,FALSE,"Co1PM";"co2PM",#N/A,FALSE,"Co2PM";"value",#N/A,FALSE,"value";"opco",#N/A,FALSE,"NewSparkle";"adjusts",#N/A,FALSE,"Adjustments"}</definedName>
    <definedName name="wrn.Summary." hidden="1">{"Sum1",#N/A,FALSE,"Reserve Report";"Sum2",#N/A,FALSE,"Reserve Report";"Sum3",#N/A,FALSE,"Reserve Report";"Sum4",#N/A,FALSE,"Reserve Report"}</definedName>
    <definedName name="wrn.summary.." hidden="1">{#N/A,#N/A,TRUE,"KEY DATA";#N/A,#N/A,TRUE,"KEY DATA Base Case";#N/A,#N/A,TRUE,"JULY";#N/A,#N/A,TRUE,"AUG";#N/A,#N/A,TRUE,"SEPT";#N/A,#N/A,TRUE,"3Q"}</definedName>
    <definedName name="wrn.summary.._1" hidden="1">{#N/A,#N/A,TRUE,"KEY DATA";#N/A,#N/A,TRUE,"KEY DATA Base Case";#N/A,#N/A,TRUE,"JULY";#N/A,#N/A,TRUE,"AUG";#N/A,#N/A,TRUE,"SEPT";#N/A,#N/A,TRUE,"3Q"}</definedName>
    <definedName name="wrn.summary.._1_1" hidden="1">{#N/A,#N/A,TRUE,"KEY DATA";#N/A,#N/A,TRUE,"KEY DATA Base Case";#N/A,#N/A,TRUE,"JULY";#N/A,#N/A,TRUE,"AUG";#N/A,#N/A,TRUE,"SEPT";#N/A,#N/A,TRUE,"3Q"}</definedName>
    <definedName name="wrn.summary._.schedules." hidden="1">{"summary1",#N/A,FALSE,"Summary of Values";"summary2",#N/A,FALSE,"Summary of Values"}</definedName>
    <definedName name="wrn.summary._.schedules._1" hidden="1">{"summary1",#N/A,FALSE,"Summary of Values";"summary2",#N/A,FALSE,"Summary of Values"}</definedName>
    <definedName name="wrn.summary._.schedules._1_1" hidden="1">{"summary1",#N/A,FALSE,"Summary of Values";"summary2",#N/A,FALSE,"Summary of Values"}</definedName>
    <definedName name="wrn.Summary._.sheet._.print." hidden="1">{"print view",#N/A,FALSE,"Summary"}</definedName>
    <definedName name="wrn.Summary._1" hidden="1">{"Sum1",#N/A,FALSE,"Reserve Report";"Sum2",#N/A,FALSE,"Reserve Report";"Sum3",#N/A,FALSE,"Reserve Report";"Sum4",#N/A,FALSE,"Reserve Report"}</definedName>
    <definedName name="wrn.Summary._1_1" hidden="1">{"Sum1",#N/A,FALSE,"Reserve Report";"Sum2",#N/A,FALSE,"Reserve Report";"Sum3",#N/A,FALSE,"Reserve Report";"Sum4",#N/A,FALSE,"Reserve Report"}</definedName>
    <definedName name="wrn.Supplemental_Reports." hidden="1">{#N/A,#N/A,FALSE,"Report Data";#N/A,#N/A,FALSE,"COMP POOL";#N/A,#N/A,FALSE,"COMP POOL NB95";#N/A,#N/A,FALSE,"COMP POOL NB94"}</definedName>
    <definedName name="wrn.Supplemental_Reports._1" hidden="1">{#N/A,#N/A,FALSE,"Report Data";#N/A,#N/A,FALSE,"COMP POOL";#N/A,#N/A,FALSE,"COMP POOL NB95";#N/A,#N/A,FALSE,"COMP POOL NB94"}</definedName>
    <definedName name="wrn.Supplemental_Reports._1_1" hidden="1">{#N/A,#N/A,FALSE,"Report Data";#N/A,#N/A,FALSE,"COMP POOL";#N/A,#N/A,FALSE,"COMP POOL NB95";#N/A,#N/A,FALSE,"COMP POOL NB94"}</definedName>
    <definedName name="wrn.TARGET._.DCF." hidden="1">{"targetdcf",#N/A,FALSE,"Merger consequences";"TARGETASSU",#N/A,FALSE,"Merger consequences";"TERMINAL VALUE",#N/A,FALSE,"Merger consequences"}</definedName>
    <definedName name="wrn.TARGET._.DCF._1" hidden="1">{"targetdcf",#N/A,FALSE,"Merger consequences";"TARGETASSU",#N/A,FALSE,"Merger consequences";"TERMINAL VALUE",#N/A,FALSE,"Merger consequences"}</definedName>
    <definedName name="wrn.TARGET._.DCF._1_1" hidden="1">{"targetdcf",#N/A,FALSE,"Merger consequences";"TARGETASSU",#N/A,FALSE,"Merger consequences";"TERMINAL VALUE",#N/A,FALSE,"Merger consequences"}</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chnology._1" hidden="1">{"developed valuation",#N/A,FALSE,"Valuation Analysis";"developed income statement",#N/A,FALSE,"Abbreviated Income Statement";"inprocess valuation",#N/A,FALSE,"Valuation Analysis";"inprocess income statement",#N/A,FALSE,"Abbreviated Income Statement"}</definedName>
    <definedName name="wrn.technology._1_1" hidden="1">{"developed valuation",#N/A,FALSE,"Valuation Analysis";"developed income statement",#N/A,FALSE,"Abbreviated Income Statement";"inprocess valuation",#N/A,FALSE,"Valuation Analysis";"inprocess income statement",#N/A,FALSE,"Abbreviated Income Statement"}</definedName>
    <definedName name="wrn.test." hidden="1">{"test2",#N/A,TRUE,"Prices"}</definedName>
    <definedName name="wrn.TheWholeEnchilada." hidden="1">{"CSheet",#N/A,FALSE,"C";"SmCap",#N/A,FALSE,"VAL1";"GulfCoast",#N/A,FALSE,"VAL1";"nav",#N/A,FALSE,"NAV";"Summary",#N/A,FALSE,"NAV"}</definedName>
    <definedName name="wrn.TheWholeEnchilada._1" hidden="1">{"CSheet",#N/A,FALSE,"C";"SmCap",#N/A,FALSE,"VAL1";"GulfCoast",#N/A,FALSE,"VAL1";"nav",#N/A,FALSE,"NAV";"Summary",#N/A,FALSE,"NAV"}</definedName>
    <definedName name="wrn.TheWholeEnchilada._1_1" hidden="1">{"CSheet",#N/A,FALSE,"C";"SmCap",#N/A,FALSE,"VAL1";"GulfCoast",#N/A,FALSE,"VAL1";"nav",#N/A,FALSE,"NAV";"Summary",#N/A,FALSE,"NAV"}</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ptrial." hidden="1">{"toptrial",#N/A,TRUE,"toptrial";"adjustment",#N/A,TRUE,"toptrial";"voucher",#N/A,TRUE,"toptrial"}</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Proved." hidden="1">{"Total",#N/A,FALSE,"Total Proved";"PDP",#N/A,FALSE,"Total Proved";"PNP",#N/A,FALSE,"Total Proved";"PUD",#N/A,FALSE,"Total Proved"}</definedName>
    <definedName name="wrn.Total._.Proved._.plus._.Probable." hidden="1">{"Total",#N/A,FALSE,"Total Proved + Probable";"PDP",#N/A,FALSE,"Total Proved + Probable";"PNP",#N/A,FALSE,"Total Proved + Probable";"PUD",#N/A,FALSE,"Total Proved + Probable";"Prob",#N/A,FALSE,"Total Proved + Probable"}</definedName>
    <definedName name="wrn.Total._.Proved._.plus._.Probable._1" hidden="1">{"Total",#N/A,FALSE,"Total Proved + Probable";"PDP",#N/A,FALSE,"Total Proved + Probable";"PNP",#N/A,FALSE,"Total Proved + Probable";"PUD",#N/A,FALSE,"Total Proved + Probable";"Prob",#N/A,FALSE,"Total Proved + Probable"}</definedName>
    <definedName name="wrn.Total._.Proved._.plus._.Probable._1_1" hidden="1">{"Total",#N/A,FALSE,"Total Proved + Probable";"PDP",#N/A,FALSE,"Total Proved + Probable";"PNP",#N/A,FALSE,"Total Proved + Probable";"PUD",#N/A,FALSE,"Total Proved + Probable";"Prob",#N/A,FALSE,"Total Proved + Probable"}</definedName>
    <definedName name="wrn.Total._.Proved._1" hidden="1">{"Total",#N/A,FALSE,"Total Proved";"PDP",#N/A,FALSE,"Total Proved";"PNP",#N/A,FALSE,"Total Proved";"PUD",#N/A,FALSE,"Total Proved"}</definedName>
    <definedName name="wrn.Total._.Proved._1_1" hidden="1">{"Total",#N/A,FALSE,"Total Proved";"PDP",#N/A,FALSE,"Total Proved";"PNP",#N/A,FALSE,"Total Proved";"PUD",#N/A,FALSE,"Total Proved"}</definedName>
    <definedName name="wrn.Total._1" hidden="1">{#N/A,#N/A,FALSE,"Trans-Sum";#N/A,#N/A,FALSE,"Accr-Dilu2";#N/A,#N/A,FALSE,"Contribution";#N/A,#N/A,FALSE,"Combined";#N/A,#N/A,FALSE,"ASTF";#N/A,#N/A,FALSE,"BRA";#N/A,#N/A,FALSE,"Bra_C";#N/A,#N/A,FALSE,"AcqMults";#N/A,#N/A,FALSE,"CompMults";#N/A,#N/A,FALSE,"DCF";#N/A,#N/A,FALSE,"WACC";#N/A,#N/A,FALSE,"LBO";#N/A,#N/A,FALSE,"Summary";#N/A,#N/A,FALSE,"StructSum"}</definedName>
    <definedName name="wrn.Total._1_1" hidden="1">{#N/A,#N/A,FALSE,"Trans-Sum";#N/A,#N/A,FALSE,"Accr-Dilu2";#N/A,#N/A,FALSE,"Contribution";#N/A,#N/A,FALSE,"Combined";#N/A,#N/A,FALSE,"ASTF";#N/A,#N/A,FALSE,"BRA";#N/A,#N/A,FALSE,"Bra_C";#N/A,#N/A,FALSE,"AcqMults";#N/A,#N/A,FALSE,"CompMults";#N/A,#N/A,FALSE,"DCF";#N/A,#N/A,FALSE,"WACC";#N/A,#N/A,FALSE,"LBO";#N/A,#N/A,FALSE,"Summary";#N/A,#N/A,FALSE,"StructSum"}</definedName>
    <definedName name="wrn.trademark._.and._.trade._.name." hidden="1">{"trademark1",#N/A,FALSE,"Trademark(s) and Trade Name(s)"}</definedName>
    <definedName name="wrn.trademark._.and._.trade._.name._1" hidden="1">{"trademark1",#N/A,FALSE,"Trademark(s) and Trade Name(s)"}</definedName>
    <definedName name="wrn.trademark._.and._.trade._.name._1_1" hidden="1">{"trademark1",#N/A,FALSE,"Trademark(s) and Trade Name(s)"}</definedName>
    <definedName name="wrn.TransPrcd_123." hidden="1">{#N/A,#N/A,TRUE,"TransPrcd 1";#N/A,#N/A,TRUE,"TransPrcd 2";#N/A,#N/A,TRUE,"TransPrcd 3"}</definedName>
    <definedName name="wrn.TransPrcd_123._1" hidden="1">{#N/A,#N/A,TRUE,"TransPrcd 1";#N/A,#N/A,TRUE,"TransPrcd 2";#N/A,#N/A,TRUE,"TransPrcd 3"}</definedName>
    <definedName name="wrn.TransPrcd_123._1_1" hidden="1">{#N/A,#N/A,TRUE,"TransPrcd 1";#N/A,#N/A,TRUE,"TransPrcd 2";#N/A,#N/A,TRUE,"TransPrcd 3"}</definedName>
    <definedName name="wrn.UK._.GAAP._.BS." hidden="1">{"UKGAAP balance sheet",#N/A,FALSE,"Balance Sheet"}</definedName>
    <definedName name="wrn.upstairs." hidden="1">{"histincome",#N/A,FALSE,"hyfins";"closing balance",#N/A,FALSE,"hyfins"}</definedName>
    <definedName name="wrn.upstairs._1" hidden="1">{"histincome",#N/A,FALSE,"hyfins";"closing balance",#N/A,FALSE,"hyfins"}</definedName>
    <definedName name="wrn.upstairs._1_1" hidden="1">{"histincome",#N/A,FALSE,"hyfins";"closing balance",#N/A,FALSE,"hyfins"}</definedName>
    <definedName name="wrn.VALUATION." hidden="1">{#N/A,#N/A,FALSE,"Valuation Assumptions";#N/A,#N/A,FALSE,"Summary";#N/A,#N/A,FALSE,"DCF";#N/A,#N/A,FALSE,"Valuation";#N/A,#N/A,FALSE,"WACC";#N/A,#N/A,FALSE,"UBVH";#N/A,#N/A,FALSE,"Free Cash Flow"}</definedName>
    <definedName name="wrn.VALUATION._1" hidden="1">{#N/A,#N/A,FALSE,"Valuation Assumptions";#N/A,#N/A,FALSE,"Summary";#N/A,#N/A,FALSE,"DCF";#N/A,#N/A,FALSE,"Valuation";#N/A,#N/A,FALSE,"WACC";#N/A,#N/A,FALSE,"UBVH";#N/A,#N/A,FALSE,"Free Cash Flow"}</definedName>
    <definedName name="wrn.VALUATION._1_1" hidden="1">{#N/A,#N/A,FALSE,"Valuation Assumptions";#N/A,#N/A,FALSE,"Summary";#N/A,#N/A,FALSE,"DCF";#N/A,#N/A,FALSE,"Valuation";#N/A,#N/A,FALSE,"WACC";#N/A,#N/A,FALSE,"UBVH";#N/A,#N/A,FALSE,"Free Cash Flow"}</definedName>
    <definedName name="wrn.Weekly._.Report." hidden="1">{"Summary Weekly",#N/A,FALSE,"SUMMARY";"P &amp; L Weekly",#N/A,FALSE,"SUMMARY";"weekly holdings",#N/A,FALSE,"SUMMARY"}</definedName>
    <definedName name="wrn.Weekly._.Scrap._.Report." hidden="1">{#N/A,#N/A,TRUE,"GEM Total";#N/A,#N/A,TRUE,"Final Assembly";#N/A,#N/A,TRUE,"Cleaning";#N/A,#N/A,TRUE,"Schooping,Clearing";#N/A,#N/A,TRUE,"Winding"}</definedName>
    <definedName name="wrn.weekly._.scrap._.report..."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icor." hidden="1">{#N/A,#N/A,FALSE,"FACTSHEETS";#N/A,#N/A,FALSE,"pump";#N/A,#N/A,FALSE,"filter"}</definedName>
    <definedName name="wrn.wicor._1" hidden="1">{#N/A,#N/A,FALSE,"FACTSHEETS";#N/A,#N/A,FALSE,"pump";#N/A,#N/A,FALSE,"filter"}</definedName>
    <definedName name="wrn.wicor._1_1" hidden="1">{#N/A,#N/A,FALSE,"FACTSHEETS";#N/A,#N/A,FALSE,"pump";#N/A,#N/A,FALSE,"filter"}</definedName>
    <definedName name="wrn.work._.paper._.shcedules." hidden="1">{"summary1",#N/A,FALSE,"Summary of Values";"summary2",#N/A,FALSE,"Summary of Values";"weighted average returns",#N/A,FALSE,"WACC and WARA";"fixed asset detail",#N/A,FALSE,"Fixed Asset Detail"}</definedName>
    <definedName name="wrn.work._.paper._.shcedules._1" hidden="1">{"summary1",#N/A,FALSE,"Summary of Values";"summary2",#N/A,FALSE,"Summary of Values";"weighted average returns",#N/A,FALSE,"WACC and WARA";"fixed asset detail",#N/A,FALSE,"Fixed Asset Detail"}</definedName>
    <definedName name="wrn.work._.paper._.shcedules._1_1" hidden="1">{"summary1",#N/A,FALSE,"Summary of Values";"summary2",#N/A,FALSE,"Summary of Values";"weighted average returns",#N/A,FALSE,"WACC and WARA";"fixed asset detail",#N/A,FALSE,"Fixed Asset Detail"}</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감가." hidden="1">{#N/A,#N/A,FALSE,"buildings"}</definedName>
    <definedName name="wrn.成本预测全表." hidden="1">{"已付情况表",#N/A,FALSE,"成本测算 (3)";"折算各货币成本",#N/A,FALSE,"成本测算 (3)"}</definedName>
    <definedName name="wrn.单位成本1." hidden="1">{#N/A,#N/A,FALSE,"成本表[一期计算1] (2)"}</definedName>
    <definedName name="wrn.单位成本2." hidden="1">{#N/A,#N/A,FALSE,"成本表[一期计算1] (2)"}</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1.summary" hidden="1">{#N/A,#N/A,TRUE,"KEY DATA";#N/A,#N/A,TRUE,"KEY DATA Base Case";#N/A,#N/A,TRUE,"JULY";#N/A,#N/A,TRUE,"AUG";#N/A,#N/A,TRUE,"SEPT";#N/A,#N/A,TRUE,"3Q"}</definedName>
    <definedName name="wrn1.summary.." hidden="1">{#N/A,#N/A,TRUE,"KEY DATA";#N/A,#N/A,TRUE,"KEY DATA Base Case";#N/A,#N/A,TRUE,"JULY";#N/A,#N/A,TRUE,"AUG";#N/A,#N/A,TRUE,"SEPT";#N/A,#N/A,TRUE,"3Q"}</definedName>
    <definedName name="wrn1.summary.._1" hidden="1">{#N/A,#N/A,TRUE,"KEY DATA";#N/A,#N/A,TRUE,"KEY DATA Base Case";#N/A,#N/A,TRUE,"JULY";#N/A,#N/A,TRUE,"AUG";#N/A,#N/A,TRUE,"SEPT";#N/A,#N/A,TRUE,"3Q"}</definedName>
    <definedName name="wrn1.summary.._1_1" hidden="1">{#N/A,#N/A,TRUE,"KEY DATA";#N/A,#N/A,TRUE,"KEY DATA Base Case";#N/A,#N/A,TRUE,"JULY";#N/A,#N/A,TRUE,"AUG";#N/A,#N/A,TRUE,"SEPT";#N/A,#N/A,TRUE,"3Q"}</definedName>
    <definedName name="wrn1.summary_1" hidden="1">{#N/A,#N/A,TRUE,"KEY DATA";#N/A,#N/A,TRUE,"KEY DATA Base Case";#N/A,#N/A,TRUE,"JULY";#N/A,#N/A,TRUE,"AUG";#N/A,#N/A,TRUE,"SEPT";#N/A,#N/A,TRUE,"3Q"}</definedName>
    <definedName name="wrn1.summary_1_1" hidden="1">{#N/A,#N/A,TRUE,"KEY DATA";#N/A,#N/A,TRUE,"KEY DATA Base Case";#N/A,#N/A,TRUE,"JULY";#N/A,#N/A,TRUE,"AUG";#N/A,#N/A,TRUE,"SEPT";#N/A,#N/A,TRUE,"3Q"}</definedName>
    <definedName name="wrn100.gb" hidden="1">{#N/A,#N/A,FALSE,"资产负债表";#N/A,#N/A,FALSE,"资产负债表"}</definedName>
    <definedName name="wuchung" localSheetId="22">#REF!</definedName>
    <definedName name="wuchung" localSheetId="23">#REF!</definedName>
    <definedName name="wuchung">#REF!</definedName>
    <definedName name="Wuxi" localSheetId="22">#REF!</definedName>
    <definedName name="Wuxi" localSheetId="23">#REF!</definedName>
    <definedName name="Wuxi">#REF!</definedName>
    <definedName name="WUXI1" localSheetId="22" hidden="1">#REF!</definedName>
    <definedName name="WUXI1" localSheetId="23" hidden="1">#REF!</definedName>
    <definedName name="WUXI1" hidden="1">#REF!</definedName>
    <definedName name="wuyebili" localSheetId="22">#REF!,#REF!,#REF!,#REF!,#REF!,#REF!,#REF!,#REF!,#REF!</definedName>
    <definedName name="wuyebili" localSheetId="23">#REF!,#REF!,#REF!,#REF!,#REF!,#REF!,#REF!,#REF!,#REF!</definedName>
    <definedName name="wuyebili">#REF!,#REF!,#REF!,#REF!,#REF!,#REF!,#REF!,#REF!,#REF!</definedName>
    <definedName name="wwww"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x" hidden="1">{#N/A,#N/A,FALSE,"Aging Summary";#N/A,#N/A,FALSE,"Ratio Analysis";#N/A,#N/A,FALSE,"Test 120 Day Accts";#N/A,#N/A,FALSE,"Tickmarks"}</definedName>
    <definedName name="x_1" hidden="1">{#N/A,#N/A,FALSE,"Aging Summary";#N/A,#N/A,FALSE,"Ratio Analysis";#N/A,#N/A,FALSE,"Test 120 Day Accts";#N/A,#N/A,FALSE,"Tickmarks"}</definedName>
    <definedName name="x_1_1" hidden="1">{#N/A,#N/A,FALSE,"Aging Summary";#N/A,#N/A,FALSE,"Ratio Analysis";#N/A,#N/A,FALSE,"Test 120 Day Accts";#N/A,#N/A,FALSE,"Tickmarks"}</definedName>
    <definedName name="xdfsd" hidden="1">{#N/A,#N/A,TRUE,"Acquirer_Cases_Input";#N/A,#N/A,TRUE,"Acquirer_Input";#N/A,#N/A,TRUE,"Acquirer"}</definedName>
    <definedName name="xdfsd_1" hidden="1">{#N/A,#N/A,TRUE,"Acquirer_Cases_Input";#N/A,#N/A,TRUE,"Acquirer_Input";#N/A,#N/A,TRUE,"Acquirer"}</definedName>
    <definedName name="xdfsd_1_1" hidden="1">{#N/A,#N/A,TRUE,"Acquirer_Cases_Input";#N/A,#N/A,TRUE,"Acquirer_Input";#N/A,#N/A,TRUE,"Acquirer"}</definedName>
    <definedName name="XREF_COLUMN_2" localSheetId="22" hidden="1">#REF!</definedName>
    <definedName name="XREF_COLUMN_2" localSheetId="23" hidden="1">#REF!</definedName>
    <definedName name="XREF_COLUMN_2" localSheetId="51" hidden="1">#REF!</definedName>
    <definedName name="XREF_COLUMN_2" hidden="1">#REF!</definedName>
    <definedName name="XREF_COLUMN_26" localSheetId="22" hidden="1">#REF!</definedName>
    <definedName name="XREF_COLUMN_26" localSheetId="23" hidden="1">#REF!</definedName>
    <definedName name="XREF_COLUMN_26" localSheetId="51" hidden="1">#REF!</definedName>
    <definedName name="XREF_COLUMN_26" hidden="1">#REF!</definedName>
    <definedName name="XREF_COLUMN_29" localSheetId="22" hidden="1">#REF!</definedName>
    <definedName name="XREF_COLUMN_29" localSheetId="23" hidden="1">#REF!</definedName>
    <definedName name="XREF_COLUMN_29" localSheetId="51" hidden="1">#REF!</definedName>
    <definedName name="XREF_COLUMN_29" hidden="1">#REF!</definedName>
    <definedName name="XREF_COLUMN_3" localSheetId="22" hidden="1">#REF!</definedName>
    <definedName name="XREF_COLUMN_3" localSheetId="23" hidden="1">#REF!</definedName>
    <definedName name="XREF_COLUMN_3" localSheetId="51" hidden="1">#REF!</definedName>
    <definedName name="XREF_COLUMN_3" hidden="1">#REF!</definedName>
    <definedName name="XREF_COLUMN_32" localSheetId="22" hidden="1">#REF!</definedName>
    <definedName name="XREF_COLUMN_32" localSheetId="23" hidden="1">#REF!</definedName>
    <definedName name="XREF_COLUMN_32" localSheetId="51" hidden="1">#REF!</definedName>
    <definedName name="XREF_COLUMN_32" hidden="1">#REF!</definedName>
    <definedName name="XREF_COLUMN_34" localSheetId="22" hidden="1">#REF!</definedName>
    <definedName name="XREF_COLUMN_34" localSheetId="23" hidden="1">#REF!</definedName>
    <definedName name="XREF_COLUMN_34" localSheetId="51" hidden="1">#REF!</definedName>
    <definedName name="XREF_COLUMN_34" hidden="1">#REF!</definedName>
    <definedName name="XREF_COLUMN_35" localSheetId="22" hidden="1">#REF!</definedName>
    <definedName name="XREF_COLUMN_35" localSheetId="23" hidden="1">#REF!</definedName>
    <definedName name="XREF_COLUMN_35" localSheetId="51" hidden="1">#REF!</definedName>
    <definedName name="XREF_COLUMN_35" hidden="1">#REF!</definedName>
    <definedName name="XREF_COLUMN_36" localSheetId="22" hidden="1">#REF!</definedName>
    <definedName name="XREF_COLUMN_36" localSheetId="23" hidden="1">#REF!</definedName>
    <definedName name="XREF_COLUMN_36" localSheetId="51" hidden="1">#REF!</definedName>
    <definedName name="XREF_COLUMN_36" hidden="1">#REF!</definedName>
    <definedName name="XREF_COLUMN_4" localSheetId="22" hidden="1">#REF!</definedName>
    <definedName name="XREF_COLUMN_4" localSheetId="23" hidden="1">#REF!</definedName>
    <definedName name="XREF_COLUMN_4" localSheetId="51" hidden="1">#REF!</definedName>
    <definedName name="XREF_COLUMN_4" hidden="1">#REF!</definedName>
    <definedName name="XREF_COLUMN_5" localSheetId="22" hidden="1">#REF!</definedName>
    <definedName name="XREF_COLUMN_5" localSheetId="23" hidden="1">#REF!</definedName>
    <definedName name="XREF_COLUMN_5" localSheetId="51" hidden="1">#REF!</definedName>
    <definedName name="XREF_COLUMN_5" hidden="1">#REF!</definedName>
    <definedName name="XREF_COLUMN_6" localSheetId="22" hidden="1">#REF!</definedName>
    <definedName name="XREF_COLUMN_6" localSheetId="23" hidden="1">#REF!</definedName>
    <definedName name="XREF_COLUMN_6" localSheetId="51" hidden="1">#REF!</definedName>
    <definedName name="XREF_COLUMN_6" hidden="1">#REF!</definedName>
    <definedName name="XRefActiveRow" localSheetId="22" hidden="1">#REF!</definedName>
    <definedName name="XRefActiveRow" localSheetId="23" hidden="1">#REF!</definedName>
    <definedName name="XRefActiveRow" localSheetId="51" hidden="1">#REF!</definedName>
    <definedName name="XRefActiveRow" hidden="1">#REF!</definedName>
    <definedName name="XRefColumnsCount" hidden="1">1</definedName>
    <definedName name="XRefCopy10" localSheetId="22" hidden="1">#REF!</definedName>
    <definedName name="XRefCopy10" localSheetId="23" hidden="1">#REF!</definedName>
    <definedName name="XRefCopy10" localSheetId="51" hidden="1">#REF!</definedName>
    <definedName name="XRefCopy10" hidden="1">#REF!</definedName>
    <definedName name="XRefCopy100Row" localSheetId="22" hidden="1">#REF!</definedName>
    <definedName name="XRefCopy100Row" localSheetId="23" hidden="1">#REF!</definedName>
    <definedName name="XRefCopy100Row" localSheetId="51" hidden="1">#REF!</definedName>
    <definedName name="XRefCopy100Row" hidden="1">#REF!</definedName>
    <definedName name="XRefCopy102Row" localSheetId="22" hidden="1">#REF!</definedName>
    <definedName name="XRefCopy102Row" localSheetId="23" hidden="1">#REF!</definedName>
    <definedName name="XRefCopy102Row" localSheetId="51" hidden="1">#REF!</definedName>
    <definedName name="XRefCopy102Row" hidden="1">#REF!</definedName>
    <definedName name="XRefCopy103Row" localSheetId="22" hidden="1">#REF!</definedName>
    <definedName name="XRefCopy103Row" localSheetId="23" hidden="1">#REF!</definedName>
    <definedName name="XRefCopy103Row" localSheetId="51" hidden="1">#REF!</definedName>
    <definedName name="XRefCopy103Row" hidden="1">#REF!</definedName>
    <definedName name="XRefCopy104Row" localSheetId="22" hidden="1">#REF!</definedName>
    <definedName name="XRefCopy104Row" localSheetId="23" hidden="1">#REF!</definedName>
    <definedName name="XRefCopy104Row" localSheetId="51" hidden="1">#REF!</definedName>
    <definedName name="XRefCopy104Row" hidden="1">#REF!</definedName>
    <definedName name="XRefCopy105Row" localSheetId="22" hidden="1">#REF!</definedName>
    <definedName name="XRefCopy105Row" localSheetId="23" hidden="1">#REF!</definedName>
    <definedName name="XRefCopy105Row" localSheetId="51" hidden="1">#REF!</definedName>
    <definedName name="XRefCopy105Row" hidden="1">#REF!</definedName>
    <definedName name="XRefCopy106Row" localSheetId="22" hidden="1">#REF!</definedName>
    <definedName name="XRefCopy106Row" localSheetId="23" hidden="1">#REF!</definedName>
    <definedName name="XRefCopy106Row" localSheetId="51" hidden="1">#REF!</definedName>
    <definedName name="XRefCopy106Row" hidden="1">#REF!</definedName>
    <definedName name="XRefCopy107Row" localSheetId="22" hidden="1">#REF!</definedName>
    <definedName name="XRefCopy107Row" localSheetId="23" hidden="1">#REF!</definedName>
    <definedName name="XRefCopy107Row" localSheetId="51" hidden="1">#REF!</definedName>
    <definedName name="XRefCopy107Row" hidden="1">#REF!</definedName>
    <definedName name="XRefCopy108Row" localSheetId="22" hidden="1">#REF!</definedName>
    <definedName name="XRefCopy108Row" localSheetId="23" hidden="1">#REF!</definedName>
    <definedName name="XRefCopy108Row" localSheetId="51" hidden="1">#REF!</definedName>
    <definedName name="XRefCopy108Row" hidden="1">#REF!</definedName>
    <definedName name="XRefCopy109Row" localSheetId="22" hidden="1">#REF!</definedName>
    <definedName name="XRefCopy109Row" localSheetId="23" hidden="1">#REF!</definedName>
    <definedName name="XRefCopy109Row" localSheetId="51" hidden="1">#REF!</definedName>
    <definedName name="XRefCopy109Row" hidden="1">#REF!</definedName>
    <definedName name="XRefCopy10Row" localSheetId="22" hidden="1">#REF!</definedName>
    <definedName name="XRefCopy10Row" localSheetId="23" hidden="1">#REF!</definedName>
    <definedName name="XRefCopy10Row" localSheetId="51" hidden="1">#REF!</definedName>
    <definedName name="XRefCopy10Row" hidden="1">#REF!</definedName>
    <definedName name="XRefCopy111Row" localSheetId="22" hidden="1">#REF!</definedName>
    <definedName name="XRefCopy111Row" localSheetId="23" hidden="1">#REF!</definedName>
    <definedName name="XRefCopy111Row" localSheetId="51" hidden="1">#REF!</definedName>
    <definedName name="XRefCopy111Row" hidden="1">#REF!</definedName>
    <definedName name="XRefCopy112Row" localSheetId="22" hidden="1">#REF!</definedName>
    <definedName name="XRefCopy112Row" localSheetId="23" hidden="1">#REF!</definedName>
    <definedName name="XRefCopy112Row" localSheetId="51" hidden="1">#REF!</definedName>
    <definedName name="XRefCopy112Row" hidden="1">#REF!</definedName>
    <definedName name="XRefCopy113Row" localSheetId="22" hidden="1">#REF!</definedName>
    <definedName name="XRefCopy113Row" localSheetId="23" hidden="1">#REF!</definedName>
    <definedName name="XRefCopy113Row" localSheetId="51" hidden="1">#REF!</definedName>
    <definedName name="XRefCopy113Row" hidden="1">#REF!</definedName>
    <definedName name="XRefCopy114Row" localSheetId="22" hidden="1">#REF!</definedName>
    <definedName name="XRefCopy114Row" localSheetId="23" hidden="1">#REF!</definedName>
    <definedName name="XRefCopy114Row" localSheetId="51" hidden="1">#REF!</definedName>
    <definedName name="XRefCopy114Row" hidden="1">#REF!</definedName>
    <definedName name="XRefCopy115Row" localSheetId="22" hidden="1">#REF!</definedName>
    <definedName name="XRefCopy115Row" localSheetId="23" hidden="1">#REF!</definedName>
    <definedName name="XRefCopy115Row" localSheetId="51" hidden="1">#REF!</definedName>
    <definedName name="XRefCopy115Row" hidden="1">#REF!</definedName>
    <definedName name="XRefCopy116Row" localSheetId="22" hidden="1">#REF!</definedName>
    <definedName name="XRefCopy116Row" localSheetId="23" hidden="1">#REF!</definedName>
    <definedName name="XRefCopy116Row" localSheetId="51" hidden="1">#REF!</definedName>
    <definedName name="XRefCopy116Row" hidden="1">#REF!</definedName>
    <definedName name="XRefCopy117Row" localSheetId="22" hidden="1">#REF!</definedName>
    <definedName name="XRefCopy117Row" localSheetId="23" hidden="1">#REF!</definedName>
    <definedName name="XRefCopy117Row" localSheetId="51" hidden="1">#REF!</definedName>
    <definedName name="XRefCopy117Row" hidden="1">#REF!</definedName>
    <definedName name="XRefCopy119Row" localSheetId="22" hidden="1">#REF!</definedName>
    <definedName name="XRefCopy119Row" localSheetId="23" hidden="1">#REF!</definedName>
    <definedName name="XRefCopy119Row" localSheetId="51" hidden="1">#REF!</definedName>
    <definedName name="XRefCopy119Row" hidden="1">#REF!</definedName>
    <definedName name="XRefCopy11Row" localSheetId="22" hidden="1">#REF!</definedName>
    <definedName name="XRefCopy11Row" localSheetId="23" hidden="1">#REF!</definedName>
    <definedName name="XRefCopy11Row" localSheetId="51" hidden="1">#REF!</definedName>
    <definedName name="XRefCopy11Row" hidden="1">#REF!</definedName>
    <definedName name="XRefCopy12" localSheetId="22" hidden="1">#REF!</definedName>
    <definedName name="XRefCopy12" localSheetId="23" hidden="1">#REF!</definedName>
    <definedName name="XRefCopy12" localSheetId="51" hidden="1">#REF!</definedName>
    <definedName name="XRefCopy12" hidden="1">#REF!</definedName>
    <definedName name="XRefCopy120Row" localSheetId="22" hidden="1">#REF!</definedName>
    <definedName name="XRefCopy120Row" localSheetId="23" hidden="1">#REF!</definedName>
    <definedName name="XRefCopy120Row" localSheetId="51" hidden="1">#REF!</definedName>
    <definedName name="XRefCopy120Row" hidden="1">#REF!</definedName>
    <definedName name="XRefCopy121Row" localSheetId="22" hidden="1">#REF!</definedName>
    <definedName name="XRefCopy121Row" localSheetId="23" hidden="1">#REF!</definedName>
    <definedName name="XRefCopy121Row" localSheetId="51" hidden="1">#REF!</definedName>
    <definedName name="XRefCopy121Row" hidden="1">#REF!</definedName>
    <definedName name="XRefCopy122Row" localSheetId="22" hidden="1">#REF!</definedName>
    <definedName name="XRefCopy122Row" localSheetId="23" hidden="1">#REF!</definedName>
    <definedName name="XRefCopy122Row" localSheetId="51" hidden="1">#REF!</definedName>
    <definedName name="XRefCopy122Row" hidden="1">#REF!</definedName>
    <definedName name="XRefCopy123Row" localSheetId="22" hidden="1">#REF!</definedName>
    <definedName name="XRefCopy123Row" localSheetId="23" hidden="1">#REF!</definedName>
    <definedName name="XRefCopy123Row" localSheetId="51" hidden="1">#REF!</definedName>
    <definedName name="XRefCopy123Row" hidden="1">#REF!</definedName>
    <definedName name="XRefCopy124Row" localSheetId="22" hidden="1">#REF!</definedName>
    <definedName name="XRefCopy124Row" localSheetId="23" hidden="1">#REF!</definedName>
    <definedName name="XRefCopy124Row" localSheetId="51" hidden="1">#REF!</definedName>
    <definedName name="XRefCopy124Row" hidden="1">#REF!</definedName>
    <definedName name="XRefCopy125Row" localSheetId="22" hidden="1">#REF!</definedName>
    <definedName name="XRefCopy125Row" localSheetId="23" hidden="1">#REF!</definedName>
    <definedName name="XRefCopy125Row" localSheetId="51" hidden="1">#REF!</definedName>
    <definedName name="XRefCopy125Row" hidden="1">#REF!</definedName>
    <definedName name="XRefCopy126Row" localSheetId="22" hidden="1">#REF!</definedName>
    <definedName name="XRefCopy126Row" localSheetId="23" hidden="1">#REF!</definedName>
    <definedName name="XRefCopy126Row" localSheetId="51" hidden="1">#REF!</definedName>
    <definedName name="XRefCopy126Row" hidden="1">#REF!</definedName>
    <definedName name="XRefCopy127Row" localSheetId="22" hidden="1">#REF!</definedName>
    <definedName name="XRefCopy127Row" localSheetId="23" hidden="1">#REF!</definedName>
    <definedName name="XRefCopy127Row" localSheetId="51" hidden="1">#REF!</definedName>
    <definedName name="XRefCopy127Row" hidden="1">#REF!</definedName>
    <definedName name="XRefCopy128Row" localSheetId="22" hidden="1">#REF!</definedName>
    <definedName name="XRefCopy128Row" localSheetId="23" hidden="1">#REF!</definedName>
    <definedName name="XRefCopy128Row" localSheetId="51" hidden="1">#REF!</definedName>
    <definedName name="XRefCopy128Row" hidden="1">#REF!</definedName>
    <definedName name="XRefCopy129Row" localSheetId="22" hidden="1">#REF!</definedName>
    <definedName name="XRefCopy129Row" localSheetId="23" hidden="1">#REF!</definedName>
    <definedName name="XRefCopy129Row" localSheetId="51" hidden="1">#REF!</definedName>
    <definedName name="XRefCopy129Row" hidden="1">#REF!</definedName>
    <definedName name="XRefCopy130Row" localSheetId="22" hidden="1">#REF!</definedName>
    <definedName name="XRefCopy130Row" localSheetId="23" hidden="1">#REF!</definedName>
    <definedName name="XRefCopy130Row" localSheetId="51" hidden="1">#REF!</definedName>
    <definedName name="XRefCopy130Row" hidden="1">#REF!</definedName>
    <definedName name="XRefCopy131Row" localSheetId="22" hidden="1">#REF!</definedName>
    <definedName name="XRefCopy131Row" localSheetId="23" hidden="1">#REF!</definedName>
    <definedName name="XRefCopy131Row" localSheetId="51" hidden="1">#REF!</definedName>
    <definedName name="XRefCopy131Row" hidden="1">#REF!</definedName>
    <definedName name="XRefCopy132Row" localSheetId="22" hidden="1">#REF!</definedName>
    <definedName name="XRefCopy132Row" localSheetId="23" hidden="1">#REF!</definedName>
    <definedName name="XRefCopy132Row" localSheetId="51" hidden="1">#REF!</definedName>
    <definedName name="XRefCopy132Row" hidden="1">#REF!</definedName>
    <definedName name="XRefCopy133Row" localSheetId="22" hidden="1">#REF!</definedName>
    <definedName name="XRefCopy133Row" localSheetId="23" hidden="1">#REF!</definedName>
    <definedName name="XRefCopy133Row" localSheetId="51" hidden="1">#REF!</definedName>
    <definedName name="XRefCopy133Row" hidden="1">#REF!</definedName>
    <definedName name="XRefCopy134Row" localSheetId="22" hidden="1">#REF!</definedName>
    <definedName name="XRefCopy134Row" localSheetId="23" hidden="1">#REF!</definedName>
    <definedName name="XRefCopy134Row" localSheetId="51" hidden="1">#REF!</definedName>
    <definedName name="XRefCopy134Row" hidden="1">#REF!</definedName>
    <definedName name="XRefCopy136Row" localSheetId="22" hidden="1">#REF!</definedName>
    <definedName name="XRefCopy136Row" localSheetId="23" hidden="1">#REF!</definedName>
    <definedName name="XRefCopy136Row" localSheetId="51" hidden="1">#REF!</definedName>
    <definedName name="XRefCopy136Row" hidden="1">#REF!</definedName>
    <definedName name="XRefCopy137Row" localSheetId="22" hidden="1">#REF!</definedName>
    <definedName name="XRefCopy137Row" localSheetId="23" hidden="1">#REF!</definedName>
    <definedName name="XRefCopy137Row" localSheetId="51" hidden="1">#REF!</definedName>
    <definedName name="XRefCopy137Row" hidden="1">#REF!</definedName>
    <definedName name="XRefCopy138Row" localSheetId="22" hidden="1">#REF!</definedName>
    <definedName name="XRefCopy138Row" localSheetId="23" hidden="1">#REF!</definedName>
    <definedName name="XRefCopy138Row" localSheetId="51" hidden="1">#REF!</definedName>
    <definedName name="XRefCopy138Row" hidden="1">#REF!</definedName>
    <definedName name="XRefCopy139Row" localSheetId="22" hidden="1">#REF!</definedName>
    <definedName name="XRefCopy139Row" localSheetId="23" hidden="1">#REF!</definedName>
    <definedName name="XRefCopy139Row" localSheetId="51" hidden="1">#REF!</definedName>
    <definedName name="XRefCopy139Row" hidden="1">#REF!</definedName>
    <definedName name="XRefCopy13Row" localSheetId="22" hidden="1">#REF!</definedName>
    <definedName name="XRefCopy13Row" localSheetId="23" hidden="1">#REF!</definedName>
    <definedName name="XRefCopy13Row" localSheetId="51" hidden="1">#REF!</definedName>
    <definedName name="XRefCopy13Row" hidden="1">#REF!</definedName>
    <definedName name="XRefCopy14" localSheetId="22" hidden="1">#REF!</definedName>
    <definedName name="XRefCopy14" localSheetId="23" hidden="1">#REF!</definedName>
    <definedName name="XRefCopy14" localSheetId="51" hidden="1">#REF!</definedName>
    <definedName name="XRefCopy14" hidden="1">#REF!</definedName>
    <definedName name="XRefCopy141Row" localSheetId="22" hidden="1">#REF!</definedName>
    <definedName name="XRefCopy141Row" localSheetId="23" hidden="1">#REF!</definedName>
    <definedName name="XRefCopy141Row" localSheetId="51" hidden="1">#REF!</definedName>
    <definedName name="XRefCopy141Row" hidden="1">#REF!</definedName>
    <definedName name="XRefCopy142Row" localSheetId="22" hidden="1">#REF!</definedName>
    <definedName name="XRefCopy142Row" localSheetId="23" hidden="1">#REF!</definedName>
    <definedName name="XRefCopy142Row" localSheetId="51" hidden="1">#REF!</definedName>
    <definedName name="XRefCopy142Row" hidden="1">#REF!</definedName>
    <definedName name="XRefCopy143Row" localSheetId="22" hidden="1">#REF!</definedName>
    <definedName name="XRefCopy143Row" localSheetId="23" hidden="1">#REF!</definedName>
    <definedName name="XRefCopy143Row" localSheetId="51" hidden="1">#REF!</definedName>
    <definedName name="XRefCopy143Row" hidden="1">#REF!</definedName>
    <definedName name="XRefCopy144Row" localSheetId="22" hidden="1">#REF!</definedName>
    <definedName name="XRefCopy144Row" localSheetId="23" hidden="1">#REF!</definedName>
    <definedName name="XRefCopy144Row" localSheetId="51" hidden="1">#REF!</definedName>
    <definedName name="XRefCopy144Row" hidden="1">#REF!</definedName>
    <definedName name="XRefCopy145Row" localSheetId="22" hidden="1">#REF!</definedName>
    <definedName name="XRefCopy145Row" localSheetId="23" hidden="1">#REF!</definedName>
    <definedName name="XRefCopy145Row" localSheetId="51" hidden="1">#REF!</definedName>
    <definedName name="XRefCopy145Row" hidden="1">#REF!</definedName>
    <definedName name="XRefCopy146Row" localSheetId="22" hidden="1">#REF!</definedName>
    <definedName name="XRefCopy146Row" localSheetId="23" hidden="1">#REF!</definedName>
    <definedName name="XRefCopy146Row" localSheetId="51" hidden="1">#REF!</definedName>
    <definedName name="XRefCopy146Row" hidden="1">#REF!</definedName>
    <definedName name="XRefCopy148Row" localSheetId="22" hidden="1">#REF!</definedName>
    <definedName name="XRefCopy148Row" localSheetId="23" hidden="1">#REF!</definedName>
    <definedName name="XRefCopy148Row" localSheetId="51" hidden="1">#REF!</definedName>
    <definedName name="XRefCopy148Row" hidden="1">#REF!</definedName>
    <definedName name="XRefCopy14Row" localSheetId="22" hidden="1">#REF!</definedName>
    <definedName name="XRefCopy14Row" localSheetId="23" hidden="1">#REF!</definedName>
    <definedName name="XRefCopy14Row" localSheetId="51" hidden="1">#REF!</definedName>
    <definedName name="XRefCopy14Row" hidden="1">#REF!</definedName>
    <definedName name="XRefCopy150Row" localSheetId="22" hidden="1">#REF!</definedName>
    <definedName name="XRefCopy150Row" localSheetId="23" hidden="1">#REF!</definedName>
    <definedName name="XRefCopy150Row" localSheetId="51" hidden="1">#REF!</definedName>
    <definedName name="XRefCopy150Row" hidden="1">#REF!</definedName>
    <definedName name="XRefCopy151Row" localSheetId="22" hidden="1">#REF!</definedName>
    <definedName name="XRefCopy151Row" localSheetId="23" hidden="1">#REF!</definedName>
    <definedName name="XRefCopy151Row" localSheetId="51" hidden="1">#REF!</definedName>
    <definedName name="XRefCopy151Row" hidden="1">#REF!</definedName>
    <definedName name="XRefCopy152Row" localSheetId="22" hidden="1">#REF!</definedName>
    <definedName name="XRefCopy152Row" localSheetId="23" hidden="1">#REF!</definedName>
    <definedName name="XRefCopy152Row" localSheetId="51" hidden="1">#REF!</definedName>
    <definedName name="XRefCopy152Row" hidden="1">#REF!</definedName>
    <definedName name="XRefCopy153Row" localSheetId="22" hidden="1">#REF!</definedName>
    <definedName name="XRefCopy153Row" localSheetId="23" hidden="1">#REF!</definedName>
    <definedName name="XRefCopy153Row" localSheetId="51" hidden="1">#REF!</definedName>
    <definedName name="XRefCopy153Row" hidden="1">#REF!</definedName>
    <definedName name="XRefCopy154Row" localSheetId="22" hidden="1">#REF!</definedName>
    <definedName name="XRefCopy154Row" localSheetId="23" hidden="1">#REF!</definedName>
    <definedName name="XRefCopy154Row" localSheetId="51" hidden="1">#REF!</definedName>
    <definedName name="XRefCopy154Row" hidden="1">#REF!</definedName>
    <definedName name="XRefCopy155Row" localSheetId="22" hidden="1">#REF!</definedName>
    <definedName name="XRefCopy155Row" localSheetId="23" hidden="1">#REF!</definedName>
    <definedName name="XRefCopy155Row" localSheetId="51" hidden="1">#REF!</definedName>
    <definedName name="XRefCopy155Row" hidden="1">#REF!</definedName>
    <definedName name="XRefCopy156Row" localSheetId="22" hidden="1">#REF!</definedName>
    <definedName name="XRefCopy156Row" localSheetId="23" hidden="1">#REF!</definedName>
    <definedName name="XRefCopy156Row" localSheetId="51" hidden="1">#REF!</definedName>
    <definedName name="XRefCopy156Row" hidden="1">#REF!</definedName>
    <definedName name="XRefCopy157Row" localSheetId="22" hidden="1">#REF!</definedName>
    <definedName name="XRefCopy157Row" localSheetId="23" hidden="1">#REF!</definedName>
    <definedName name="XRefCopy157Row" localSheetId="51" hidden="1">#REF!</definedName>
    <definedName name="XRefCopy157Row" hidden="1">#REF!</definedName>
    <definedName name="XRefCopy158Row" localSheetId="22" hidden="1">#REF!</definedName>
    <definedName name="XRefCopy158Row" localSheetId="23" hidden="1">#REF!</definedName>
    <definedName name="XRefCopy158Row" localSheetId="51" hidden="1">#REF!</definedName>
    <definedName name="XRefCopy158Row" hidden="1">#REF!</definedName>
    <definedName name="XRefCopy159Row" localSheetId="22" hidden="1">#REF!</definedName>
    <definedName name="XRefCopy159Row" localSheetId="23" hidden="1">#REF!</definedName>
    <definedName name="XRefCopy159Row" localSheetId="51" hidden="1">#REF!</definedName>
    <definedName name="XRefCopy159Row" hidden="1">#REF!</definedName>
    <definedName name="XRefCopy15Row" localSheetId="22" hidden="1">#REF!</definedName>
    <definedName name="XRefCopy15Row" localSheetId="23" hidden="1">#REF!</definedName>
    <definedName name="XRefCopy15Row" localSheetId="51" hidden="1">#REF!</definedName>
    <definedName name="XRefCopy15Row" hidden="1">#REF!</definedName>
    <definedName name="XRefCopy160Row" localSheetId="22" hidden="1">#REF!</definedName>
    <definedName name="XRefCopy160Row" localSheetId="23" hidden="1">#REF!</definedName>
    <definedName name="XRefCopy160Row" localSheetId="51" hidden="1">#REF!</definedName>
    <definedName name="XRefCopy160Row" hidden="1">#REF!</definedName>
    <definedName name="XRefCopy161Row" localSheetId="22" hidden="1">#REF!</definedName>
    <definedName name="XRefCopy161Row" localSheetId="23" hidden="1">#REF!</definedName>
    <definedName name="XRefCopy161Row" localSheetId="51" hidden="1">#REF!</definedName>
    <definedName name="XRefCopy161Row" hidden="1">#REF!</definedName>
    <definedName name="XRefCopy162Row" localSheetId="22" hidden="1">#REF!</definedName>
    <definedName name="XRefCopy162Row" localSheetId="23" hidden="1">#REF!</definedName>
    <definedName name="XRefCopy162Row" localSheetId="51" hidden="1">#REF!</definedName>
    <definedName name="XRefCopy162Row" hidden="1">#REF!</definedName>
    <definedName name="XRefCopy163Row" localSheetId="22" hidden="1">#REF!</definedName>
    <definedName name="XRefCopy163Row" localSheetId="23" hidden="1">#REF!</definedName>
    <definedName name="XRefCopy163Row" localSheetId="51" hidden="1">#REF!</definedName>
    <definedName name="XRefCopy163Row" hidden="1">#REF!</definedName>
    <definedName name="XRefCopy164Row" localSheetId="22" hidden="1">#REF!</definedName>
    <definedName name="XRefCopy164Row" localSheetId="23" hidden="1">#REF!</definedName>
    <definedName name="XRefCopy164Row" localSheetId="51" hidden="1">#REF!</definedName>
    <definedName name="XRefCopy164Row" hidden="1">#REF!</definedName>
    <definedName name="XRefCopy165Row" localSheetId="22" hidden="1">#REF!</definedName>
    <definedName name="XRefCopy165Row" localSheetId="23" hidden="1">#REF!</definedName>
    <definedName name="XRefCopy165Row" localSheetId="51" hidden="1">#REF!</definedName>
    <definedName name="XRefCopy165Row" hidden="1">#REF!</definedName>
    <definedName name="XRefCopy166Row" localSheetId="22" hidden="1">#REF!</definedName>
    <definedName name="XRefCopy166Row" localSheetId="23" hidden="1">#REF!</definedName>
    <definedName name="XRefCopy166Row" localSheetId="51" hidden="1">#REF!</definedName>
    <definedName name="XRefCopy166Row" hidden="1">#REF!</definedName>
    <definedName name="XRefCopy167Row" localSheetId="22" hidden="1">#REF!</definedName>
    <definedName name="XRefCopy167Row" localSheetId="23" hidden="1">#REF!</definedName>
    <definedName name="XRefCopy167Row" localSheetId="51" hidden="1">#REF!</definedName>
    <definedName name="XRefCopy167Row" hidden="1">#REF!</definedName>
    <definedName name="XRefCopy168Row" localSheetId="22" hidden="1">#REF!</definedName>
    <definedName name="XRefCopy168Row" localSheetId="23" hidden="1">#REF!</definedName>
    <definedName name="XRefCopy168Row" localSheetId="51" hidden="1">#REF!</definedName>
    <definedName name="XRefCopy168Row" hidden="1">#REF!</definedName>
    <definedName name="XRefCopy169Row" localSheetId="22" hidden="1">#REF!</definedName>
    <definedName name="XRefCopy169Row" localSheetId="23" hidden="1">#REF!</definedName>
    <definedName name="XRefCopy169Row" localSheetId="51" hidden="1">#REF!</definedName>
    <definedName name="XRefCopy169Row" hidden="1">#REF!</definedName>
    <definedName name="XRefCopy16Row" localSheetId="22" hidden="1">#REF!</definedName>
    <definedName name="XRefCopy16Row" localSheetId="23" hidden="1">#REF!</definedName>
    <definedName name="XRefCopy16Row" localSheetId="51" hidden="1">#REF!</definedName>
    <definedName name="XRefCopy16Row" hidden="1">#REF!</definedName>
    <definedName name="XRefCopy17" localSheetId="22" hidden="1">#REF!</definedName>
    <definedName name="XRefCopy17" localSheetId="23" hidden="1">#REF!</definedName>
    <definedName name="XRefCopy17" localSheetId="51" hidden="1">#REF!</definedName>
    <definedName name="XRefCopy17" hidden="1">#REF!</definedName>
    <definedName name="XRefCopy171Row" localSheetId="22" hidden="1">#REF!</definedName>
    <definedName name="XRefCopy171Row" localSheetId="23" hidden="1">#REF!</definedName>
    <definedName name="XRefCopy171Row" localSheetId="51" hidden="1">#REF!</definedName>
    <definedName name="XRefCopy171Row" hidden="1">#REF!</definedName>
    <definedName name="XRefCopy172Row" localSheetId="22" hidden="1">#REF!</definedName>
    <definedName name="XRefCopy172Row" localSheetId="23" hidden="1">#REF!</definedName>
    <definedName name="XRefCopy172Row" localSheetId="51" hidden="1">#REF!</definedName>
    <definedName name="XRefCopy172Row" hidden="1">#REF!</definedName>
    <definedName name="XRefCopy173Row" localSheetId="22" hidden="1">#REF!</definedName>
    <definedName name="XRefCopy173Row" localSheetId="23" hidden="1">#REF!</definedName>
    <definedName name="XRefCopy173Row" localSheetId="51" hidden="1">#REF!</definedName>
    <definedName name="XRefCopy173Row" hidden="1">#REF!</definedName>
    <definedName name="XRefCopy175Row" localSheetId="22" hidden="1">#REF!</definedName>
    <definedName name="XRefCopy175Row" localSheetId="23" hidden="1">#REF!</definedName>
    <definedName name="XRefCopy175Row" localSheetId="51" hidden="1">#REF!</definedName>
    <definedName name="XRefCopy175Row" hidden="1">#REF!</definedName>
    <definedName name="XRefCopy176Row" localSheetId="22" hidden="1">#REF!</definedName>
    <definedName name="XRefCopy176Row" localSheetId="23" hidden="1">#REF!</definedName>
    <definedName name="XRefCopy176Row" localSheetId="51" hidden="1">#REF!</definedName>
    <definedName name="XRefCopy176Row" hidden="1">#REF!</definedName>
    <definedName name="XRefCopy177Row" localSheetId="22" hidden="1">#REF!</definedName>
    <definedName name="XRefCopy177Row" localSheetId="23" hidden="1">#REF!</definedName>
    <definedName name="XRefCopy177Row" localSheetId="51" hidden="1">#REF!</definedName>
    <definedName name="XRefCopy177Row" hidden="1">#REF!</definedName>
    <definedName name="XRefCopy178Row" localSheetId="22" hidden="1">#REF!</definedName>
    <definedName name="XRefCopy178Row" localSheetId="23" hidden="1">#REF!</definedName>
    <definedName name="XRefCopy178Row" localSheetId="51" hidden="1">#REF!</definedName>
    <definedName name="XRefCopy178Row" hidden="1">#REF!</definedName>
    <definedName name="XRefCopy179Row" localSheetId="22" hidden="1">#REF!</definedName>
    <definedName name="XRefCopy179Row" localSheetId="23" hidden="1">#REF!</definedName>
    <definedName name="XRefCopy179Row" localSheetId="51" hidden="1">#REF!</definedName>
    <definedName name="XRefCopy179Row" hidden="1">#REF!</definedName>
    <definedName name="XRefCopy17Row" localSheetId="22" hidden="1">#REF!</definedName>
    <definedName name="XRefCopy17Row" localSheetId="23" hidden="1">#REF!</definedName>
    <definedName name="XRefCopy17Row" localSheetId="51" hidden="1">#REF!</definedName>
    <definedName name="XRefCopy17Row" hidden="1">#REF!</definedName>
    <definedName name="XRefCopy180Row" localSheetId="22" hidden="1">#REF!</definedName>
    <definedName name="XRefCopy180Row" localSheetId="23" hidden="1">#REF!</definedName>
    <definedName name="XRefCopy180Row" localSheetId="51" hidden="1">#REF!</definedName>
    <definedName name="XRefCopy180Row" hidden="1">#REF!</definedName>
    <definedName name="XRefCopy182Row" localSheetId="22" hidden="1">#REF!</definedName>
    <definedName name="XRefCopy182Row" localSheetId="23" hidden="1">#REF!</definedName>
    <definedName name="XRefCopy182Row" localSheetId="51" hidden="1">#REF!</definedName>
    <definedName name="XRefCopy182Row" hidden="1">#REF!</definedName>
    <definedName name="XRefCopy183Row" localSheetId="22" hidden="1">#REF!</definedName>
    <definedName name="XRefCopy183Row" localSheetId="23" hidden="1">#REF!</definedName>
    <definedName name="XRefCopy183Row" localSheetId="51" hidden="1">#REF!</definedName>
    <definedName name="XRefCopy183Row" hidden="1">#REF!</definedName>
    <definedName name="XRefCopy184Row" localSheetId="22" hidden="1">#REF!</definedName>
    <definedName name="XRefCopy184Row" localSheetId="23" hidden="1">#REF!</definedName>
    <definedName name="XRefCopy184Row" localSheetId="51" hidden="1">#REF!</definedName>
    <definedName name="XRefCopy184Row" hidden="1">#REF!</definedName>
    <definedName name="XRefCopy185Row" localSheetId="22" hidden="1">#REF!</definedName>
    <definedName name="XRefCopy185Row" localSheetId="23" hidden="1">#REF!</definedName>
    <definedName name="XRefCopy185Row" localSheetId="51" hidden="1">#REF!</definedName>
    <definedName name="XRefCopy185Row" hidden="1">#REF!</definedName>
    <definedName name="XRefCopy186Row" localSheetId="22" hidden="1">#REF!</definedName>
    <definedName name="XRefCopy186Row" localSheetId="23" hidden="1">#REF!</definedName>
    <definedName name="XRefCopy186Row" localSheetId="51" hidden="1">#REF!</definedName>
    <definedName name="XRefCopy186Row" hidden="1">#REF!</definedName>
    <definedName name="XRefCopy187Row" localSheetId="22" hidden="1">#REF!</definedName>
    <definedName name="XRefCopy187Row" localSheetId="23" hidden="1">#REF!</definedName>
    <definedName name="XRefCopy187Row" localSheetId="51" hidden="1">#REF!</definedName>
    <definedName name="XRefCopy187Row" hidden="1">#REF!</definedName>
    <definedName name="XRefCopy188Row" localSheetId="22" hidden="1">#REF!</definedName>
    <definedName name="XRefCopy188Row" localSheetId="23" hidden="1">#REF!</definedName>
    <definedName name="XRefCopy188Row" localSheetId="51" hidden="1">#REF!</definedName>
    <definedName name="XRefCopy188Row" hidden="1">#REF!</definedName>
    <definedName name="XRefCopy189Row" localSheetId="22" hidden="1">#REF!</definedName>
    <definedName name="XRefCopy189Row" localSheetId="23" hidden="1">#REF!</definedName>
    <definedName name="XRefCopy189Row" localSheetId="51" hidden="1">#REF!</definedName>
    <definedName name="XRefCopy189Row" hidden="1">#REF!</definedName>
    <definedName name="XRefCopy18Row" localSheetId="22" hidden="1">#REF!</definedName>
    <definedName name="XRefCopy18Row" localSheetId="23" hidden="1">#REF!</definedName>
    <definedName name="XRefCopy18Row" localSheetId="51" hidden="1">#REF!</definedName>
    <definedName name="XRefCopy18Row" hidden="1">#REF!</definedName>
    <definedName name="XRefCopy190Row" localSheetId="22" hidden="1">#REF!</definedName>
    <definedName name="XRefCopy190Row" localSheetId="23" hidden="1">#REF!</definedName>
    <definedName name="XRefCopy190Row" localSheetId="51" hidden="1">#REF!</definedName>
    <definedName name="XRefCopy190Row" hidden="1">#REF!</definedName>
    <definedName name="XRefCopy191Row" localSheetId="22" hidden="1">#REF!</definedName>
    <definedName name="XRefCopy191Row" localSheetId="23" hidden="1">#REF!</definedName>
    <definedName name="XRefCopy191Row" localSheetId="51" hidden="1">#REF!</definedName>
    <definedName name="XRefCopy191Row" hidden="1">#REF!</definedName>
    <definedName name="XRefCopy192Row" localSheetId="22" hidden="1">#REF!</definedName>
    <definedName name="XRefCopy192Row" localSheetId="23" hidden="1">#REF!</definedName>
    <definedName name="XRefCopy192Row" localSheetId="51" hidden="1">#REF!</definedName>
    <definedName name="XRefCopy192Row" hidden="1">#REF!</definedName>
    <definedName name="XRefCopy194Row" localSheetId="22" hidden="1">#REF!</definedName>
    <definedName name="XRefCopy194Row" localSheetId="23" hidden="1">#REF!</definedName>
    <definedName name="XRefCopy194Row" localSheetId="51" hidden="1">#REF!</definedName>
    <definedName name="XRefCopy194Row" hidden="1">#REF!</definedName>
    <definedName name="XRefCopy195Row" localSheetId="22" hidden="1">#REF!</definedName>
    <definedName name="XRefCopy195Row" localSheetId="23" hidden="1">#REF!</definedName>
    <definedName name="XRefCopy195Row" localSheetId="51" hidden="1">#REF!</definedName>
    <definedName name="XRefCopy195Row" hidden="1">#REF!</definedName>
    <definedName name="XRefCopy196Row" localSheetId="22" hidden="1">#REF!</definedName>
    <definedName name="XRefCopy196Row" localSheetId="23" hidden="1">#REF!</definedName>
    <definedName name="XRefCopy196Row" localSheetId="51" hidden="1">#REF!</definedName>
    <definedName name="XRefCopy196Row" hidden="1">#REF!</definedName>
    <definedName name="XRefCopy197Row" localSheetId="22" hidden="1">#REF!</definedName>
    <definedName name="XRefCopy197Row" localSheetId="23" hidden="1">#REF!</definedName>
    <definedName name="XRefCopy197Row" localSheetId="51" hidden="1">#REF!</definedName>
    <definedName name="XRefCopy197Row" hidden="1">#REF!</definedName>
    <definedName name="XRefCopy198Row" localSheetId="22" hidden="1">#REF!</definedName>
    <definedName name="XRefCopy198Row" localSheetId="23" hidden="1">#REF!</definedName>
    <definedName name="XRefCopy198Row" localSheetId="51" hidden="1">#REF!</definedName>
    <definedName name="XRefCopy198Row" hidden="1">#REF!</definedName>
    <definedName name="XRefCopy199Row" localSheetId="22" hidden="1">#REF!</definedName>
    <definedName name="XRefCopy199Row" localSheetId="23" hidden="1">#REF!</definedName>
    <definedName name="XRefCopy199Row" localSheetId="51" hidden="1">#REF!</definedName>
    <definedName name="XRefCopy199Row" hidden="1">#REF!</definedName>
    <definedName name="XRefCopy19Row" localSheetId="22" hidden="1">#REF!</definedName>
    <definedName name="XRefCopy19Row" localSheetId="23" hidden="1">#REF!</definedName>
    <definedName name="XRefCopy19Row" localSheetId="51" hidden="1">#REF!</definedName>
    <definedName name="XRefCopy19Row" hidden="1">#REF!</definedName>
    <definedName name="XRefCopy1Row" localSheetId="22" hidden="1">#REF!</definedName>
    <definedName name="XRefCopy1Row" localSheetId="23" hidden="1">#REF!</definedName>
    <definedName name="XRefCopy1Row" localSheetId="51" hidden="1">#REF!</definedName>
    <definedName name="XRefCopy1Row" hidden="1">#REF!</definedName>
    <definedName name="XRefCopy2" localSheetId="22" hidden="1">#REF!</definedName>
    <definedName name="XRefCopy2" localSheetId="23" hidden="1">#REF!</definedName>
    <definedName name="XRefCopy2" localSheetId="51" hidden="1">#REF!</definedName>
    <definedName name="XRefCopy2" hidden="1">#REF!</definedName>
    <definedName name="XRefCopy20" localSheetId="22" hidden="1">#REF!</definedName>
    <definedName name="XRefCopy20" localSheetId="23" hidden="1">#REF!</definedName>
    <definedName name="XRefCopy20" localSheetId="51" hidden="1">#REF!</definedName>
    <definedName name="XRefCopy20" hidden="1">#REF!</definedName>
    <definedName name="XRefCopy200Row" localSheetId="22" hidden="1">#REF!</definedName>
    <definedName name="XRefCopy200Row" localSheetId="23" hidden="1">#REF!</definedName>
    <definedName name="XRefCopy200Row" localSheetId="51" hidden="1">#REF!</definedName>
    <definedName name="XRefCopy200Row" hidden="1">#REF!</definedName>
    <definedName name="XRefCopy201Row" localSheetId="22" hidden="1">#REF!</definedName>
    <definedName name="XRefCopy201Row" localSheetId="23" hidden="1">#REF!</definedName>
    <definedName name="XRefCopy201Row" localSheetId="51" hidden="1">#REF!</definedName>
    <definedName name="XRefCopy201Row" hidden="1">#REF!</definedName>
    <definedName name="XRefCopy203Row" localSheetId="22" hidden="1">#REF!</definedName>
    <definedName name="XRefCopy203Row" localSheetId="23" hidden="1">#REF!</definedName>
    <definedName name="XRefCopy203Row" localSheetId="51" hidden="1">#REF!</definedName>
    <definedName name="XRefCopy203Row" hidden="1">#REF!</definedName>
    <definedName name="XRefCopy204Row" localSheetId="22" hidden="1">#REF!</definedName>
    <definedName name="XRefCopy204Row" localSheetId="23" hidden="1">#REF!</definedName>
    <definedName name="XRefCopy204Row" localSheetId="51" hidden="1">#REF!</definedName>
    <definedName name="XRefCopy204Row" hidden="1">#REF!</definedName>
    <definedName name="XRefCopy205Row" localSheetId="22" hidden="1">#REF!</definedName>
    <definedName name="XRefCopy205Row" localSheetId="23" hidden="1">#REF!</definedName>
    <definedName name="XRefCopy205Row" localSheetId="51" hidden="1">#REF!</definedName>
    <definedName name="XRefCopy205Row" hidden="1">#REF!</definedName>
    <definedName name="XRefCopy206Row" localSheetId="22" hidden="1">#REF!</definedName>
    <definedName name="XRefCopy206Row" localSheetId="23" hidden="1">#REF!</definedName>
    <definedName name="XRefCopy206Row" localSheetId="51" hidden="1">#REF!</definedName>
    <definedName name="XRefCopy206Row" hidden="1">#REF!</definedName>
    <definedName name="XRefCopy207Row" localSheetId="22" hidden="1">#REF!</definedName>
    <definedName name="XRefCopy207Row" localSheetId="23" hidden="1">#REF!</definedName>
    <definedName name="XRefCopy207Row" localSheetId="51" hidden="1">#REF!</definedName>
    <definedName name="XRefCopy207Row" hidden="1">#REF!</definedName>
    <definedName name="XRefCopy208Row" localSheetId="22" hidden="1">#REF!</definedName>
    <definedName name="XRefCopy208Row" localSheetId="23" hidden="1">#REF!</definedName>
    <definedName name="XRefCopy208Row" localSheetId="51" hidden="1">#REF!</definedName>
    <definedName name="XRefCopy208Row" hidden="1">#REF!</definedName>
    <definedName name="XRefCopy209Row" localSheetId="22" hidden="1">#REF!</definedName>
    <definedName name="XRefCopy209Row" localSheetId="23" hidden="1">#REF!</definedName>
    <definedName name="XRefCopy209Row" localSheetId="51" hidden="1">#REF!</definedName>
    <definedName name="XRefCopy209Row" hidden="1">#REF!</definedName>
    <definedName name="XRefCopy20Row" localSheetId="22" hidden="1">#REF!</definedName>
    <definedName name="XRefCopy20Row" localSheetId="23" hidden="1">#REF!</definedName>
    <definedName name="XRefCopy20Row" localSheetId="51" hidden="1">#REF!</definedName>
    <definedName name="XRefCopy20Row" hidden="1">#REF!</definedName>
    <definedName name="XRefCopy210Row" localSheetId="22" hidden="1">#REF!</definedName>
    <definedName name="XRefCopy210Row" localSheetId="23" hidden="1">#REF!</definedName>
    <definedName name="XRefCopy210Row" localSheetId="51" hidden="1">#REF!</definedName>
    <definedName name="XRefCopy210Row" hidden="1">#REF!</definedName>
    <definedName name="XRefCopy211Row" localSheetId="22" hidden="1">#REF!</definedName>
    <definedName name="XRefCopy211Row" localSheetId="23" hidden="1">#REF!</definedName>
    <definedName name="XRefCopy211Row" localSheetId="51" hidden="1">#REF!</definedName>
    <definedName name="XRefCopy211Row" hidden="1">#REF!</definedName>
    <definedName name="XRefCopy212Row" localSheetId="22" hidden="1">#REF!</definedName>
    <definedName name="XRefCopy212Row" localSheetId="23" hidden="1">#REF!</definedName>
    <definedName name="XRefCopy212Row" localSheetId="51" hidden="1">#REF!</definedName>
    <definedName name="XRefCopy212Row" hidden="1">#REF!</definedName>
    <definedName name="XRefCopy213Row" localSheetId="22" hidden="1">#REF!</definedName>
    <definedName name="XRefCopy213Row" localSheetId="23" hidden="1">#REF!</definedName>
    <definedName name="XRefCopy213Row" localSheetId="51" hidden="1">#REF!</definedName>
    <definedName name="XRefCopy213Row" hidden="1">#REF!</definedName>
    <definedName name="XRefCopy214Row" localSheetId="22" hidden="1">#REF!</definedName>
    <definedName name="XRefCopy214Row" localSheetId="23" hidden="1">#REF!</definedName>
    <definedName name="XRefCopy214Row" localSheetId="51" hidden="1">#REF!</definedName>
    <definedName name="XRefCopy214Row" hidden="1">#REF!</definedName>
    <definedName name="XRefCopy215Row" localSheetId="22" hidden="1">#REF!</definedName>
    <definedName name="XRefCopy215Row" localSheetId="23" hidden="1">#REF!</definedName>
    <definedName name="XRefCopy215Row" localSheetId="51" hidden="1">#REF!</definedName>
    <definedName name="XRefCopy215Row" hidden="1">#REF!</definedName>
    <definedName name="XRefCopy21Row" localSheetId="22" hidden="1">#REF!</definedName>
    <definedName name="XRefCopy21Row" localSheetId="23" hidden="1">#REF!</definedName>
    <definedName name="XRefCopy21Row" localSheetId="51" hidden="1">#REF!</definedName>
    <definedName name="XRefCopy21Row" hidden="1">#REF!</definedName>
    <definedName name="XRefCopy22" localSheetId="22" hidden="1">#REF!</definedName>
    <definedName name="XRefCopy22" localSheetId="23" hidden="1">#REF!</definedName>
    <definedName name="XRefCopy22" localSheetId="51" hidden="1">#REF!</definedName>
    <definedName name="XRefCopy22" hidden="1">#REF!</definedName>
    <definedName name="XRefCopy221Row" localSheetId="22" hidden="1">#REF!</definedName>
    <definedName name="XRefCopy221Row" localSheetId="23" hidden="1">#REF!</definedName>
    <definedName name="XRefCopy221Row" localSheetId="51" hidden="1">#REF!</definedName>
    <definedName name="XRefCopy221Row" hidden="1">#REF!</definedName>
    <definedName name="XRefCopy222Row" localSheetId="22" hidden="1">#REF!</definedName>
    <definedName name="XRefCopy222Row" localSheetId="23" hidden="1">#REF!</definedName>
    <definedName name="XRefCopy222Row" localSheetId="51" hidden="1">#REF!</definedName>
    <definedName name="XRefCopy222Row" hidden="1">#REF!</definedName>
    <definedName name="XRefCopy223Row" localSheetId="22" hidden="1">#REF!</definedName>
    <definedName name="XRefCopy223Row" localSheetId="23" hidden="1">#REF!</definedName>
    <definedName name="XRefCopy223Row" localSheetId="51" hidden="1">#REF!</definedName>
    <definedName name="XRefCopy223Row" hidden="1">#REF!</definedName>
    <definedName name="XRefCopy224Row" localSheetId="22" hidden="1">#REF!</definedName>
    <definedName name="XRefCopy224Row" localSheetId="23" hidden="1">#REF!</definedName>
    <definedName name="XRefCopy224Row" localSheetId="51" hidden="1">#REF!</definedName>
    <definedName name="XRefCopy224Row" hidden="1">#REF!</definedName>
    <definedName name="XRefCopy225Row" localSheetId="22" hidden="1">#REF!</definedName>
    <definedName name="XRefCopy225Row" localSheetId="23" hidden="1">#REF!</definedName>
    <definedName name="XRefCopy225Row" localSheetId="51" hidden="1">#REF!</definedName>
    <definedName name="XRefCopy225Row" hidden="1">#REF!</definedName>
    <definedName name="XRefCopy226Row" localSheetId="22" hidden="1">#REF!</definedName>
    <definedName name="XRefCopy226Row" localSheetId="23" hidden="1">#REF!</definedName>
    <definedName name="XRefCopy226Row" localSheetId="51" hidden="1">#REF!</definedName>
    <definedName name="XRefCopy226Row" hidden="1">#REF!</definedName>
    <definedName name="XRefCopy227Row" localSheetId="22" hidden="1">#REF!</definedName>
    <definedName name="XRefCopy227Row" localSheetId="23" hidden="1">#REF!</definedName>
    <definedName name="XRefCopy227Row" localSheetId="51" hidden="1">#REF!</definedName>
    <definedName name="XRefCopy227Row" hidden="1">#REF!</definedName>
    <definedName name="XRefCopy229Row" localSheetId="22" hidden="1">#REF!</definedName>
    <definedName name="XRefCopy229Row" localSheetId="23" hidden="1">#REF!</definedName>
    <definedName name="XRefCopy229Row" localSheetId="51" hidden="1">#REF!</definedName>
    <definedName name="XRefCopy229Row" hidden="1">#REF!</definedName>
    <definedName name="XRefCopy22Row" localSheetId="22" hidden="1">#REF!</definedName>
    <definedName name="XRefCopy22Row" localSheetId="23" hidden="1">#REF!</definedName>
    <definedName name="XRefCopy22Row" localSheetId="51" hidden="1">#REF!</definedName>
    <definedName name="XRefCopy22Row" hidden="1">#REF!</definedName>
    <definedName name="XRefCopy23" localSheetId="22" hidden="1">#REF!</definedName>
    <definedName name="XRefCopy23" localSheetId="23" hidden="1">#REF!</definedName>
    <definedName name="XRefCopy23" localSheetId="51" hidden="1">#REF!</definedName>
    <definedName name="XRefCopy23" hidden="1">#REF!</definedName>
    <definedName name="XRefCopy230Row" localSheetId="22" hidden="1">#REF!</definedName>
    <definedName name="XRefCopy230Row" localSheetId="23" hidden="1">#REF!</definedName>
    <definedName name="XRefCopy230Row" localSheetId="51" hidden="1">#REF!</definedName>
    <definedName name="XRefCopy230Row" hidden="1">#REF!</definedName>
    <definedName name="XRefCopy231Row" localSheetId="22" hidden="1">#REF!</definedName>
    <definedName name="XRefCopy231Row" localSheetId="23" hidden="1">#REF!</definedName>
    <definedName name="XRefCopy231Row" localSheetId="51" hidden="1">#REF!</definedName>
    <definedName name="XRefCopy231Row" hidden="1">#REF!</definedName>
    <definedName name="XRefCopy232Row" localSheetId="22" hidden="1">#REF!</definedName>
    <definedName name="XRefCopy232Row" localSheetId="23" hidden="1">#REF!</definedName>
    <definedName name="XRefCopy232Row" localSheetId="51" hidden="1">#REF!</definedName>
    <definedName name="XRefCopy232Row" hidden="1">#REF!</definedName>
    <definedName name="XRefCopy233Row" localSheetId="22" hidden="1">#REF!</definedName>
    <definedName name="XRefCopy233Row" localSheetId="23" hidden="1">#REF!</definedName>
    <definedName name="XRefCopy233Row" localSheetId="51" hidden="1">#REF!</definedName>
    <definedName name="XRefCopy233Row" hidden="1">#REF!</definedName>
    <definedName name="XRefCopy234Row" localSheetId="22" hidden="1">#REF!</definedName>
    <definedName name="XRefCopy234Row" localSheetId="23" hidden="1">#REF!</definedName>
    <definedName name="XRefCopy234Row" localSheetId="51" hidden="1">#REF!</definedName>
    <definedName name="XRefCopy234Row" hidden="1">#REF!</definedName>
    <definedName name="XRefCopy23Row" localSheetId="22" hidden="1">#REF!</definedName>
    <definedName name="XRefCopy23Row" localSheetId="23" hidden="1">#REF!</definedName>
    <definedName name="XRefCopy23Row" localSheetId="51" hidden="1">#REF!</definedName>
    <definedName name="XRefCopy23Row" hidden="1">#REF!</definedName>
    <definedName name="XRefCopy242Row" localSheetId="22" hidden="1">#REF!</definedName>
    <definedName name="XRefCopy242Row" localSheetId="23" hidden="1">#REF!</definedName>
    <definedName name="XRefCopy242Row" localSheetId="51" hidden="1">#REF!</definedName>
    <definedName name="XRefCopy242Row" hidden="1">#REF!</definedName>
    <definedName name="XRefCopy243Row" localSheetId="22" hidden="1">#REF!</definedName>
    <definedName name="XRefCopy243Row" localSheetId="23" hidden="1">#REF!</definedName>
    <definedName name="XRefCopy243Row" localSheetId="51" hidden="1">#REF!</definedName>
    <definedName name="XRefCopy243Row" hidden="1">#REF!</definedName>
    <definedName name="XRefCopy244Row" localSheetId="22" hidden="1">#REF!</definedName>
    <definedName name="XRefCopy244Row" localSheetId="23" hidden="1">#REF!</definedName>
    <definedName name="XRefCopy244Row" localSheetId="51" hidden="1">#REF!</definedName>
    <definedName name="XRefCopy244Row" hidden="1">#REF!</definedName>
    <definedName name="XRefCopy245Row" localSheetId="22" hidden="1">#REF!</definedName>
    <definedName name="XRefCopy245Row" localSheetId="23" hidden="1">#REF!</definedName>
    <definedName name="XRefCopy245Row" localSheetId="51" hidden="1">#REF!</definedName>
    <definedName name="XRefCopy245Row" hidden="1">#REF!</definedName>
    <definedName name="XRefCopy246Row" localSheetId="22" hidden="1">#REF!</definedName>
    <definedName name="XRefCopy246Row" localSheetId="23" hidden="1">#REF!</definedName>
    <definedName name="XRefCopy246Row" localSheetId="51" hidden="1">#REF!</definedName>
    <definedName name="XRefCopy246Row" hidden="1">#REF!</definedName>
    <definedName name="XRefCopy247Row" localSheetId="22" hidden="1">#REF!</definedName>
    <definedName name="XRefCopy247Row" localSheetId="23" hidden="1">#REF!</definedName>
    <definedName name="XRefCopy247Row" localSheetId="51" hidden="1">#REF!</definedName>
    <definedName name="XRefCopy247Row" hidden="1">#REF!</definedName>
    <definedName name="XRefCopy248Row" localSheetId="22" hidden="1">#REF!</definedName>
    <definedName name="XRefCopy248Row" localSheetId="23" hidden="1">#REF!</definedName>
    <definedName name="XRefCopy248Row" localSheetId="51" hidden="1">#REF!</definedName>
    <definedName name="XRefCopy248Row" hidden="1">#REF!</definedName>
    <definedName name="XRefCopy24Row" localSheetId="22" hidden="1">#REF!</definedName>
    <definedName name="XRefCopy24Row" localSheetId="23" hidden="1">#REF!</definedName>
    <definedName name="XRefCopy24Row" localSheetId="51" hidden="1">#REF!</definedName>
    <definedName name="XRefCopy24Row" hidden="1">#REF!</definedName>
    <definedName name="XRefCopy25" localSheetId="22" hidden="1">#REF!</definedName>
    <definedName name="XRefCopy25" localSheetId="23" hidden="1">#REF!</definedName>
    <definedName name="XRefCopy25" localSheetId="51" hidden="1">#REF!</definedName>
    <definedName name="XRefCopy25" hidden="1">#REF!</definedName>
    <definedName name="XRefCopy250Row" localSheetId="22" hidden="1">#REF!</definedName>
    <definedName name="XRefCopy250Row" localSheetId="23" hidden="1">#REF!</definedName>
    <definedName name="XRefCopy250Row" localSheetId="51" hidden="1">#REF!</definedName>
    <definedName name="XRefCopy250Row" hidden="1">#REF!</definedName>
    <definedName name="XRefCopy251Row" localSheetId="22" hidden="1">#REF!</definedName>
    <definedName name="XRefCopy251Row" localSheetId="23" hidden="1">#REF!</definedName>
    <definedName name="XRefCopy251Row" localSheetId="51" hidden="1">#REF!</definedName>
    <definedName name="XRefCopy251Row" hidden="1">#REF!</definedName>
    <definedName name="XRefCopy252Row" localSheetId="22" hidden="1">#REF!</definedName>
    <definedName name="XRefCopy252Row" localSheetId="23" hidden="1">#REF!</definedName>
    <definedName name="XRefCopy252Row" localSheetId="51" hidden="1">#REF!</definedName>
    <definedName name="XRefCopy252Row" hidden="1">#REF!</definedName>
    <definedName name="XRefCopy254Row" localSheetId="22" hidden="1">#REF!</definedName>
    <definedName name="XRefCopy254Row" localSheetId="23" hidden="1">#REF!</definedName>
    <definedName name="XRefCopy254Row" localSheetId="51" hidden="1">#REF!</definedName>
    <definedName name="XRefCopy254Row" hidden="1">#REF!</definedName>
    <definedName name="XRefCopy255Row" localSheetId="22" hidden="1">#REF!</definedName>
    <definedName name="XRefCopy255Row" localSheetId="23" hidden="1">#REF!</definedName>
    <definedName name="XRefCopy255Row" localSheetId="51" hidden="1">#REF!</definedName>
    <definedName name="XRefCopy255Row" hidden="1">#REF!</definedName>
    <definedName name="XRefCopy256Row" localSheetId="22" hidden="1">#REF!</definedName>
    <definedName name="XRefCopy256Row" localSheetId="23" hidden="1">#REF!</definedName>
    <definedName name="XRefCopy256Row" localSheetId="51" hidden="1">#REF!</definedName>
    <definedName name="XRefCopy256Row" hidden="1">#REF!</definedName>
    <definedName name="XRefCopy257Row" localSheetId="22" hidden="1">#REF!</definedName>
    <definedName name="XRefCopy257Row" localSheetId="23" hidden="1">#REF!</definedName>
    <definedName name="XRefCopy257Row" localSheetId="51" hidden="1">#REF!</definedName>
    <definedName name="XRefCopy257Row" hidden="1">#REF!</definedName>
    <definedName name="XRefCopy258Row" localSheetId="22" hidden="1">#REF!</definedName>
    <definedName name="XRefCopy258Row" localSheetId="23" hidden="1">#REF!</definedName>
    <definedName name="XRefCopy258Row" localSheetId="51" hidden="1">#REF!</definedName>
    <definedName name="XRefCopy258Row" hidden="1">#REF!</definedName>
    <definedName name="XRefCopy259Row" localSheetId="22" hidden="1">#REF!</definedName>
    <definedName name="XRefCopy259Row" localSheetId="23" hidden="1">#REF!</definedName>
    <definedName name="XRefCopy259Row" localSheetId="51" hidden="1">#REF!</definedName>
    <definedName name="XRefCopy259Row" hidden="1">#REF!</definedName>
    <definedName name="XRefCopy25Row" localSheetId="22" hidden="1">#REF!</definedName>
    <definedName name="XRefCopy25Row" localSheetId="23" hidden="1">#REF!</definedName>
    <definedName name="XRefCopy25Row" localSheetId="51" hidden="1">#REF!</definedName>
    <definedName name="XRefCopy25Row" hidden="1">#REF!</definedName>
    <definedName name="XRefCopy26" localSheetId="22" hidden="1">#REF!</definedName>
    <definedName name="XRefCopy26" localSheetId="23" hidden="1">#REF!</definedName>
    <definedName name="XRefCopy26" localSheetId="51" hidden="1">#REF!</definedName>
    <definedName name="XRefCopy26" hidden="1">#REF!</definedName>
    <definedName name="XRefCopy260Row" localSheetId="22" hidden="1">#REF!</definedName>
    <definedName name="XRefCopy260Row" localSheetId="23" hidden="1">#REF!</definedName>
    <definedName name="XRefCopy260Row" localSheetId="51" hidden="1">#REF!</definedName>
    <definedName name="XRefCopy260Row" hidden="1">#REF!</definedName>
    <definedName name="XRefCopy261Row" localSheetId="22" hidden="1">#REF!</definedName>
    <definedName name="XRefCopy261Row" localSheetId="23" hidden="1">#REF!</definedName>
    <definedName name="XRefCopy261Row" localSheetId="51" hidden="1">#REF!</definedName>
    <definedName name="XRefCopy261Row" hidden="1">#REF!</definedName>
    <definedName name="XRefCopy262Row" localSheetId="22" hidden="1">#REF!</definedName>
    <definedName name="XRefCopy262Row" localSheetId="23" hidden="1">#REF!</definedName>
    <definedName name="XRefCopy262Row" localSheetId="51" hidden="1">#REF!</definedName>
    <definedName name="XRefCopy262Row" hidden="1">#REF!</definedName>
    <definedName name="XRefCopy263Row" localSheetId="22" hidden="1">#REF!</definedName>
    <definedName name="XRefCopy263Row" localSheetId="23" hidden="1">#REF!</definedName>
    <definedName name="XRefCopy263Row" localSheetId="51" hidden="1">#REF!</definedName>
    <definedName name="XRefCopy263Row" hidden="1">#REF!</definedName>
    <definedName name="XRefCopy264Row" localSheetId="22" hidden="1">#REF!</definedName>
    <definedName name="XRefCopy264Row" localSheetId="23" hidden="1">#REF!</definedName>
    <definedName name="XRefCopy264Row" localSheetId="51" hidden="1">#REF!</definedName>
    <definedName name="XRefCopy264Row" hidden="1">#REF!</definedName>
    <definedName name="XRefCopy26Row" localSheetId="22" hidden="1">#REF!</definedName>
    <definedName name="XRefCopy26Row" localSheetId="23" hidden="1">#REF!</definedName>
    <definedName name="XRefCopy26Row" localSheetId="51" hidden="1">#REF!</definedName>
    <definedName name="XRefCopy26Row" hidden="1">#REF!</definedName>
    <definedName name="XRefCopy27Row" localSheetId="22" hidden="1">#REF!</definedName>
    <definedName name="XRefCopy27Row" localSheetId="23" hidden="1">#REF!</definedName>
    <definedName name="XRefCopy27Row" localSheetId="51" hidden="1">#REF!</definedName>
    <definedName name="XRefCopy27Row" hidden="1">#REF!</definedName>
    <definedName name="XRefCopy28Row" localSheetId="22" hidden="1">#REF!</definedName>
    <definedName name="XRefCopy28Row" localSheetId="23" hidden="1">#REF!</definedName>
    <definedName name="XRefCopy28Row" localSheetId="51" hidden="1">#REF!</definedName>
    <definedName name="XRefCopy28Row" hidden="1">#REF!</definedName>
    <definedName name="XRefCopy29Row" localSheetId="22" hidden="1">#REF!</definedName>
    <definedName name="XRefCopy29Row" localSheetId="23" hidden="1">#REF!</definedName>
    <definedName name="XRefCopy29Row" localSheetId="51" hidden="1">#REF!</definedName>
    <definedName name="XRefCopy29Row" hidden="1">#REF!</definedName>
    <definedName name="XRefCopy2Row" localSheetId="22" hidden="1">#REF!</definedName>
    <definedName name="XRefCopy2Row" localSheetId="23" hidden="1">#REF!</definedName>
    <definedName name="XRefCopy2Row" localSheetId="51" hidden="1">#REF!</definedName>
    <definedName name="XRefCopy2Row" hidden="1">#REF!</definedName>
    <definedName name="XRefCopy3" localSheetId="22" hidden="1">#REF!</definedName>
    <definedName name="XRefCopy3" localSheetId="23" hidden="1">#REF!</definedName>
    <definedName name="XRefCopy3" localSheetId="51" hidden="1">#REF!</definedName>
    <definedName name="XRefCopy3" hidden="1">#REF!</definedName>
    <definedName name="XRefCopy30Row" localSheetId="22" hidden="1">#REF!</definedName>
    <definedName name="XRefCopy30Row" localSheetId="23" hidden="1">#REF!</definedName>
    <definedName name="XRefCopy30Row" localSheetId="51" hidden="1">#REF!</definedName>
    <definedName name="XRefCopy30Row" hidden="1">#REF!</definedName>
    <definedName name="XRefCopy31Row" localSheetId="22" hidden="1">#REF!</definedName>
    <definedName name="XRefCopy31Row" localSheetId="23" hidden="1">#REF!</definedName>
    <definedName name="XRefCopy31Row" localSheetId="51" hidden="1">#REF!</definedName>
    <definedName name="XRefCopy31Row" hidden="1">#REF!</definedName>
    <definedName name="XRefCopy32Row" localSheetId="22" hidden="1">#REF!</definedName>
    <definedName name="XRefCopy32Row" localSheetId="23" hidden="1">#REF!</definedName>
    <definedName name="XRefCopy32Row" localSheetId="51" hidden="1">#REF!</definedName>
    <definedName name="XRefCopy32Row" hidden="1">#REF!</definedName>
    <definedName name="XRefCopy34" localSheetId="22" hidden="1">#REF!</definedName>
    <definedName name="XRefCopy34" localSheetId="23" hidden="1">#REF!</definedName>
    <definedName name="XRefCopy34" localSheetId="51" hidden="1">#REF!</definedName>
    <definedName name="XRefCopy34" hidden="1">#REF!</definedName>
    <definedName name="XRefCopy34Row" localSheetId="22" hidden="1">#REF!</definedName>
    <definedName name="XRefCopy34Row" localSheetId="23" hidden="1">#REF!</definedName>
    <definedName name="XRefCopy34Row" localSheetId="51" hidden="1">#REF!</definedName>
    <definedName name="XRefCopy34Row" hidden="1">#REF!</definedName>
    <definedName name="XRefCopy35Row" localSheetId="22" hidden="1">#REF!</definedName>
    <definedName name="XRefCopy35Row" localSheetId="23" hidden="1">#REF!</definedName>
    <definedName name="XRefCopy35Row" localSheetId="51" hidden="1">#REF!</definedName>
    <definedName name="XRefCopy35Row" hidden="1">#REF!</definedName>
    <definedName name="XRefCopy36Row" localSheetId="22" hidden="1">#REF!</definedName>
    <definedName name="XRefCopy36Row" localSheetId="23" hidden="1">#REF!</definedName>
    <definedName name="XRefCopy36Row" localSheetId="51" hidden="1">#REF!</definedName>
    <definedName name="XRefCopy36Row" hidden="1">#REF!</definedName>
    <definedName name="XRefCopy37Row" localSheetId="22" hidden="1">#REF!</definedName>
    <definedName name="XRefCopy37Row" localSheetId="23" hidden="1">#REF!</definedName>
    <definedName name="XRefCopy37Row" localSheetId="51" hidden="1">#REF!</definedName>
    <definedName name="XRefCopy37Row" hidden="1">#REF!</definedName>
    <definedName name="XRefCopy38Row" localSheetId="22" hidden="1">#REF!</definedName>
    <definedName name="XRefCopy38Row" localSheetId="23" hidden="1">#REF!</definedName>
    <definedName name="XRefCopy38Row" localSheetId="51" hidden="1">#REF!</definedName>
    <definedName name="XRefCopy38Row" hidden="1">#REF!</definedName>
    <definedName name="XRefCopy3Row" localSheetId="22" hidden="1">#REF!</definedName>
    <definedName name="XRefCopy3Row" localSheetId="23" hidden="1">#REF!</definedName>
    <definedName name="XRefCopy3Row" localSheetId="51" hidden="1">#REF!</definedName>
    <definedName name="XRefCopy3Row" hidden="1">#REF!</definedName>
    <definedName name="XRefCopy4" localSheetId="22" hidden="1">#REF!</definedName>
    <definedName name="XRefCopy4" localSheetId="23" hidden="1">#REF!</definedName>
    <definedName name="XRefCopy4" localSheetId="51" hidden="1">#REF!</definedName>
    <definedName name="XRefCopy4" hidden="1">#REF!</definedName>
    <definedName name="XRefCopy41Row" localSheetId="22" hidden="1">#REF!</definedName>
    <definedName name="XRefCopy41Row" localSheetId="23" hidden="1">#REF!</definedName>
    <definedName name="XRefCopy41Row" localSheetId="51" hidden="1">#REF!</definedName>
    <definedName name="XRefCopy41Row" hidden="1">#REF!</definedName>
    <definedName name="XRefCopy42Row" localSheetId="22" hidden="1">#REF!</definedName>
    <definedName name="XRefCopy42Row" localSheetId="23" hidden="1">#REF!</definedName>
    <definedName name="XRefCopy42Row" localSheetId="51" hidden="1">#REF!</definedName>
    <definedName name="XRefCopy42Row" hidden="1">#REF!</definedName>
    <definedName name="XRefCopy43Row" localSheetId="22" hidden="1">#REF!</definedName>
    <definedName name="XRefCopy43Row" localSheetId="23" hidden="1">#REF!</definedName>
    <definedName name="XRefCopy43Row" localSheetId="51" hidden="1">#REF!</definedName>
    <definedName name="XRefCopy43Row" hidden="1">#REF!</definedName>
    <definedName name="XRefCopy44Row" localSheetId="22" hidden="1">#REF!</definedName>
    <definedName name="XRefCopy44Row" localSheetId="23" hidden="1">#REF!</definedName>
    <definedName name="XRefCopy44Row" localSheetId="51" hidden="1">#REF!</definedName>
    <definedName name="XRefCopy44Row" hidden="1">#REF!</definedName>
    <definedName name="XRefCopy46Row" localSheetId="22" hidden="1">#REF!</definedName>
    <definedName name="XRefCopy46Row" localSheetId="23" hidden="1">#REF!</definedName>
    <definedName name="XRefCopy46Row" localSheetId="51" hidden="1">#REF!</definedName>
    <definedName name="XRefCopy46Row" hidden="1">#REF!</definedName>
    <definedName name="XRefCopy47Row" localSheetId="22" hidden="1">#REF!</definedName>
    <definedName name="XRefCopy47Row" localSheetId="23" hidden="1">#REF!</definedName>
    <definedName name="XRefCopy47Row" localSheetId="51" hidden="1">#REF!</definedName>
    <definedName name="XRefCopy47Row" hidden="1">#REF!</definedName>
    <definedName name="XRefCopy48Row" localSheetId="22" hidden="1">#REF!</definedName>
    <definedName name="XRefCopy48Row" localSheetId="23" hidden="1">#REF!</definedName>
    <definedName name="XRefCopy48Row" localSheetId="51" hidden="1">#REF!</definedName>
    <definedName name="XRefCopy48Row" hidden="1">#REF!</definedName>
    <definedName name="XRefCopy49Row" localSheetId="22" hidden="1">#REF!</definedName>
    <definedName name="XRefCopy49Row" localSheetId="23" hidden="1">#REF!</definedName>
    <definedName name="XRefCopy49Row" localSheetId="51" hidden="1">#REF!</definedName>
    <definedName name="XRefCopy49Row" hidden="1">#REF!</definedName>
    <definedName name="XRefCopy4Row" localSheetId="22" hidden="1">#REF!</definedName>
    <definedName name="XRefCopy4Row" localSheetId="23" hidden="1">#REF!</definedName>
    <definedName name="XRefCopy4Row" localSheetId="51" hidden="1">#REF!</definedName>
    <definedName name="XRefCopy4Row" hidden="1">#REF!</definedName>
    <definedName name="XRefCopy5" localSheetId="22" hidden="1">#REF!</definedName>
    <definedName name="XRefCopy5" localSheetId="23" hidden="1">#REF!</definedName>
    <definedName name="XRefCopy5" localSheetId="51" hidden="1">#REF!</definedName>
    <definedName name="XRefCopy5" hidden="1">#REF!</definedName>
    <definedName name="XRefCopy50Row" localSheetId="22" hidden="1">#REF!</definedName>
    <definedName name="XRefCopy50Row" localSheetId="23" hidden="1">#REF!</definedName>
    <definedName name="XRefCopy50Row" localSheetId="51" hidden="1">#REF!</definedName>
    <definedName name="XRefCopy50Row" hidden="1">#REF!</definedName>
    <definedName name="XRefCopy52Row" localSheetId="22" hidden="1">#REF!</definedName>
    <definedName name="XRefCopy52Row" localSheetId="23" hidden="1">#REF!</definedName>
    <definedName name="XRefCopy52Row" localSheetId="51" hidden="1">#REF!</definedName>
    <definedName name="XRefCopy52Row" hidden="1">#REF!</definedName>
    <definedName name="XRefCopy53Row" localSheetId="22" hidden="1">#REF!</definedName>
    <definedName name="XRefCopy53Row" localSheetId="23" hidden="1">#REF!</definedName>
    <definedName name="XRefCopy53Row" localSheetId="51" hidden="1">#REF!</definedName>
    <definedName name="XRefCopy53Row" hidden="1">#REF!</definedName>
    <definedName name="XRefCopy54Row" localSheetId="22" hidden="1">#REF!</definedName>
    <definedName name="XRefCopy54Row" localSheetId="23" hidden="1">#REF!</definedName>
    <definedName name="XRefCopy54Row" localSheetId="51" hidden="1">#REF!</definedName>
    <definedName name="XRefCopy54Row" hidden="1">#REF!</definedName>
    <definedName name="XRefCopy55Row" localSheetId="22" hidden="1">#REF!</definedName>
    <definedName name="XRefCopy55Row" localSheetId="23" hidden="1">#REF!</definedName>
    <definedName name="XRefCopy55Row" localSheetId="51" hidden="1">#REF!</definedName>
    <definedName name="XRefCopy55Row" hidden="1">#REF!</definedName>
    <definedName name="XRefCopy56Row" localSheetId="22" hidden="1">#REF!</definedName>
    <definedName name="XRefCopy56Row" localSheetId="23" hidden="1">#REF!</definedName>
    <definedName name="XRefCopy56Row" localSheetId="51" hidden="1">#REF!</definedName>
    <definedName name="XRefCopy56Row" hidden="1">#REF!</definedName>
    <definedName name="XRefCopy58Row" localSheetId="22" hidden="1">#REF!</definedName>
    <definedName name="XRefCopy58Row" localSheetId="23" hidden="1">#REF!</definedName>
    <definedName name="XRefCopy58Row" localSheetId="51" hidden="1">#REF!</definedName>
    <definedName name="XRefCopy58Row" hidden="1">#REF!</definedName>
    <definedName name="XRefCopy59Row" localSheetId="22" hidden="1">#REF!</definedName>
    <definedName name="XRefCopy59Row" localSheetId="23" hidden="1">#REF!</definedName>
    <definedName name="XRefCopy59Row" localSheetId="51" hidden="1">#REF!</definedName>
    <definedName name="XRefCopy59Row" hidden="1">#REF!</definedName>
    <definedName name="XRefCopy5Row" localSheetId="22" hidden="1">#REF!</definedName>
    <definedName name="XRefCopy5Row" localSheetId="23" hidden="1">#REF!</definedName>
    <definedName name="XRefCopy5Row" localSheetId="51" hidden="1">#REF!</definedName>
    <definedName name="XRefCopy5Row" hidden="1">#REF!</definedName>
    <definedName name="XRefCopy6" localSheetId="22" hidden="1">#REF!</definedName>
    <definedName name="XRefCopy6" localSheetId="23" hidden="1">#REF!</definedName>
    <definedName name="XRefCopy6" localSheetId="51" hidden="1">#REF!</definedName>
    <definedName name="XRefCopy6" hidden="1">#REF!</definedName>
    <definedName name="XRefCopy60Row" localSheetId="22" hidden="1">#REF!</definedName>
    <definedName name="XRefCopy60Row" localSheetId="23" hidden="1">#REF!</definedName>
    <definedName name="XRefCopy60Row" localSheetId="51" hidden="1">#REF!</definedName>
    <definedName name="XRefCopy60Row" hidden="1">#REF!</definedName>
    <definedName name="XRefCopy62Row" localSheetId="22" hidden="1">#REF!</definedName>
    <definedName name="XRefCopy62Row" localSheetId="23" hidden="1">#REF!</definedName>
    <definedName name="XRefCopy62Row" localSheetId="51" hidden="1">#REF!</definedName>
    <definedName name="XRefCopy62Row" hidden="1">#REF!</definedName>
    <definedName name="XRefCopy63Row" localSheetId="22" hidden="1">#REF!</definedName>
    <definedName name="XRefCopy63Row" localSheetId="23" hidden="1">#REF!</definedName>
    <definedName name="XRefCopy63Row" localSheetId="51" hidden="1">#REF!</definedName>
    <definedName name="XRefCopy63Row" hidden="1">#REF!</definedName>
    <definedName name="XRefCopy64Row" localSheetId="22" hidden="1">#REF!</definedName>
    <definedName name="XRefCopy64Row" localSheetId="23" hidden="1">#REF!</definedName>
    <definedName name="XRefCopy64Row" localSheetId="51" hidden="1">#REF!</definedName>
    <definedName name="XRefCopy64Row" hidden="1">#REF!</definedName>
    <definedName name="XRefCopy65Row" localSheetId="22" hidden="1">#REF!</definedName>
    <definedName name="XRefCopy65Row" localSheetId="23" hidden="1">#REF!</definedName>
    <definedName name="XRefCopy65Row" localSheetId="51" hidden="1">#REF!</definedName>
    <definedName name="XRefCopy65Row" hidden="1">#REF!</definedName>
    <definedName name="XRefCopy66Row" localSheetId="22" hidden="1">#REF!</definedName>
    <definedName name="XRefCopy66Row" localSheetId="23" hidden="1">#REF!</definedName>
    <definedName name="XRefCopy66Row" localSheetId="51" hidden="1">#REF!</definedName>
    <definedName name="XRefCopy66Row" hidden="1">#REF!</definedName>
    <definedName name="XRefCopy67" localSheetId="22" hidden="1">#REF!</definedName>
    <definedName name="XRefCopy67" localSheetId="23" hidden="1">#REF!</definedName>
    <definedName name="XRefCopy67" localSheetId="51" hidden="1">#REF!</definedName>
    <definedName name="XRefCopy67" hidden="1">#REF!</definedName>
    <definedName name="XRefCopy68Row" localSheetId="22" hidden="1">#REF!</definedName>
    <definedName name="XRefCopy68Row" localSheetId="23" hidden="1">#REF!</definedName>
    <definedName name="XRefCopy68Row" localSheetId="51" hidden="1">#REF!</definedName>
    <definedName name="XRefCopy68Row" hidden="1">#REF!</definedName>
    <definedName name="XRefCopy69Row" localSheetId="22" hidden="1">#REF!</definedName>
    <definedName name="XRefCopy69Row" localSheetId="23" hidden="1">#REF!</definedName>
    <definedName name="XRefCopy69Row" localSheetId="51" hidden="1">#REF!</definedName>
    <definedName name="XRefCopy69Row" hidden="1">#REF!</definedName>
    <definedName name="XRefCopy6Row" localSheetId="22" hidden="1">#REF!</definedName>
    <definedName name="XRefCopy6Row" localSheetId="23" hidden="1">#REF!</definedName>
    <definedName name="XRefCopy6Row" localSheetId="51" hidden="1">#REF!</definedName>
    <definedName name="XRefCopy6Row" hidden="1">#REF!</definedName>
    <definedName name="XRefCopy7" localSheetId="22" hidden="1">#REF!</definedName>
    <definedName name="XRefCopy7" localSheetId="23" hidden="1">#REF!</definedName>
    <definedName name="XRefCopy7" localSheetId="51" hidden="1">#REF!</definedName>
    <definedName name="XRefCopy7" hidden="1">#REF!</definedName>
    <definedName name="XRefCopy70Row" localSheetId="22" hidden="1">#REF!</definedName>
    <definedName name="XRefCopy70Row" localSheetId="23" hidden="1">#REF!</definedName>
    <definedName name="XRefCopy70Row" localSheetId="51" hidden="1">#REF!</definedName>
    <definedName name="XRefCopy70Row" hidden="1">#REF!</definedName>
    <definedName name="XRefCopy71Row" localSheetId="22" hidden="1">#REF!</definedName>
    <definedName name="XRefCopy71Row" localSheetId="23" hidden="1">#REF!</definedName>
    <definedName name="XRefCopy71Row" localSheetId="51" hidden="1">#REF!</definedName>
    <definedName name="XRefCopy71Row" hidden="1">#REF!</definedName>
    <definedName name="XRefCopy73" localSheetId="22" hidden="1">#REF!</definedName>
    <definedName name="XRefCopy73" localSheetId="23" hidden="1">#REF!</definedName>
    <definedName name="XRefCopy73" localSheetId="51" hidden="1">#REF!</definedName>
    <definedName name="XRefCopy73" hidden="1">#REF!</definedName>
    <definedName name="XRefCopy73Row" localSheetId="22" hidden="1">#REF!</definedName>
    <definedName name="XRefCopy73Row" localSheetId="23" hidden="1">#REF!</definedName>
    <definedName name="XRefCopy73Row" localSheetId="51" hidden="1">#REF!</definedName>
    <definedName name="XRefCopy73Row" hidden="1">#REF!</definedName>
    <definedName name="XRefCopy74Row" localSheetId="22" hidden="1">#REF!</definedName>
    <definedName name="XRefCopy74Row" localSheetId="23" hidden="1">#REF!</definedName>
    <definedName name="XRefCopy74Row" localSheetId="51" hidden="1">#REF!</definedName>
    <definedName name="XRefCopy74Row" hidden="1">#REF!</definedName>
    <definedName name="XRefCopy75Row" localSheetId="22" hidden="1">#REF!</definedName>
    <definedName name="XRefCopy75Row" localSheetId="23" hidden="1">#REF!</definedName>
    <definedName name="XRefCopy75Row" localSheetId="51" hidden="1">#REF!</definedName>
    <definedName name="XRefCopy75Row" hidden="1">#REF!</definedName>
    <definedName name="XRefCopy76Row" localSheetId="22" hidden="1">#REF!</definedName>
    <definedName name="XRefCopy76Row" localSheetId="23" hidden="1">#REF!</definedName>
    <definedName name="XRefCopy76Row" localSheetId="51" hidden="1">#REF!</definedName>
    <definedName name="XRefCopy76Row" hidden="1">#REF!</definedName>
    <definedName name="XRefCopy77Row" localSheetId="22" hidden="1">#REF!</definedName>
    <definedName name="XRefCopy77Row" localSheetId="23" hidden="1">#REF!</definedName>
    <definedName name="XRefCopy77Row" localSheetId="51" hidden="1">#REF!</definedName>
    <definedName name="XRefCopy77Row" hidden="1">#REF!</definedName>
    <definedName name="XRefCopy78Row" localSheetId="22" hidden="1">#REF!</definedName>
    <definedName name="XRefCopy78Row" localSheetId="23" hidden="1">#REF!</definedName>
    <definedName name="XRefCopy78Row" localSheetId="51" hidden="1">#REF!</definedName>
    <definedName name="XRefCopy78Row" hidden="1">#REF!</definedName>
    <definedName name="XRefCopy79Row" localSheetId="22" hidden="1">#REF!</definedName>
    <definedName name="XRefCopy79Row" localSheetId="23" hidden="1">#REF!</definedName>
    <definedName name="XRefCopy79Row" localSheetId="51" hidden="1">#REF!</definedName>
    <definedName name="XRefCopy79Row" hidden="1">#REF!</definedName>
    <definedName name="XRefCopy7Row" localSheetId="22" hidden="1">#REF!</definedName>
    <definedName name="XRefCopy7Row" localSheetId="23" hidden="1">#REF!</definedName>
    <definedName name="XRefCopy7Row" localSheetId="51" hidden="1">#REF!</definedName>
    <definedName name="XRefCopy7Row" hidden="1">#REF!</definedName>
    <definedName name="XRefCopy8" localSheetId="22" hidden="1">#REF!</definedName>
    <definedName name="XRefCopy8" localSheetId="23" hidden="1">#REF!</definedName>
    <definedName name="XRefCopy8" localSheetId="51" hidden="1">#REF!</definedName>
    <definedName name="XRefCopy8" hidden="1">#REF!</definedName>
    <definedName name="XRefCopy80Row" localSheetId="22" hidden="1">#REF!</definedName>
    <definedName name="XRefCopy80Row" localSheetId="23" hidden="1">#REF!</definedName>
    <definedName name="XRefCopy80Row" localSheetId="51" hidden="1">#REF!</definedName>
    <definedName name="XRefCopy80Row" hidden="1">#REF!</definedName>
    <definedName name="XRefCopy81Row" localSheetId="22" hidden="1">#REF!</definedName>
    <definedName name="XRefCopy81Row" localSheetId="23" hidden="1">#REF!</definedName>
    <definedName name="XRefCopy81Row" localSheetId="51" hidden="1">#REF!</definedName>
    <definedName name="XRefCopy81Row" hidden="1">#REF!</definedName>
    <definedName name="XRefCopy82Row" localSheetId="22" hidden="1">#REF!</definedName>
    <definedName name="XRefCopy82Row" localSheetId="23" hidden="1">#REF!</definedName>
    <definedName name="XRefCopy82Row" localSheetId="51" hidden="1">#REF!</definedName>
    <definedName name="XRefCopy82Row" hidden="1">#REF!</definedName>
    <definedName name="XRefCopy84Row" localSheetId="22" hidden="1">#REF!</definedName>
    <definedName name="XRefCopy84Row" localSheetId="23" hidden="1">#REF!</definedName>
    <definedName name="XRefCopy84Row" localSheetId="51" hidden="1">#REF!</definedName>
    <definedName name="XRefCopy84Row" hidden="1">#REF!</definedName>
    <definedName name="XRefCopy85Row" localSheetId="22" hidden="1">#REF!</definedName>
    <definedName name="XRefCopy85Row" localSheetId="23" hidden="1">#REF!</definedName>
    <definedName name="XRefCopy85Row" localSheetId="51" hidden="1">#REF!</definedName>
    <definedName name="XRefCopy85Row" hidden="1">#REF!</definedName>
    <definedName name="XRefCopy86Row" localSheetId="22" hidden="1">#REF!</definedName>
    <definedName name="XRefCopy86Row" localSheetId="23" hidden="1">#REF!</definedName>
    <definedName name="XRefCopy86Row" localSheetId="51" hidden="1">#REF!</definedName>
    <definedName name="XRefCopy86Row" hidden="1">#REF!</definedName>
    <definedName name="XRefCopy87Row" localSheetId="22" hidden="1">#REF!</definedName>
    <definedName name="XRefCopy87Row" localSheetId="23" hidden="1">#REF!</definedName>
    <definedName name="XRefCopy87Row" localSheetId="51" hidden="1">#REF!</definedName>
    <definedName name="XRefCopy87Row" hidden="1">#REF!</definedName>
    <definedName name="XRefCopy88Row" localSheetId="22" hidden="1">#REF!</definedName>
    <definedName name="XRefCopy88Row" localSheetId="23" hidden="1">#REF!</definedName>
    <definedName name="XRefCopy88Row" localSheetId="51" hidden="1">#REF!</definedName>
    <definedName name="XRefCopy88Row" hidden="1">#REF!</definedName>
    <definedName name="XRefCopy89Row" localSheetId="22" hidden="1">#REF!</definedName>
    <definedName name="XRefCopy89Row" localSheetId="23" hidden="1">#REF!</definedName>
    <definedName name="XRefCopy89Row" localSheetId="51" hidden="1">#REF!</definedName>
    <definedName name="XRefCopy89Row" hidden="1">#REF!</definedName>
    <definedName name="XRefCopy8Row" localSheetId="22" hidden="1">#REF!</definedName>
    <definedName name="XRefCopy8Row" localSheetId="23" hidden="1">#REF!</definedName>
    <definedName name="XRefCopy8Row" localSheetId="51" hidden="1">#REF!</definedName>
    <definedName name="XRefCopy8Row" hidden="1">#REF!</definedName>
    <definedName name="XRefCopy9" localSheetId="22" hidden="1">#REF!</definedName>
    <definedName name="XRefCopy9" localSheetId="23" hidden="1">#REF!</definedName>
    <definedName name="XRefCopy9" localSheetId="51" hidden="1">#REF!</definedName>
    <definedName name="XRefCopy9" hidden="1">#REF!</definedName>
    <definedName name="XRefCopy90Row" localSheetId="22" hidden="1">#REF!</definedName>
    <definedName name="XRefCopy90Row" localSheetId="23" hidden="1">#REF!</definedName>
    <definedName name="XRefCopy90Row" localSheetId="51" hidden="1">#REF!</definedName>
    <definedName name="XRefCopy90Row" hidden="1">#REF!</definedName>
    <definedName name="XRefCopy91Row" localSheetId="22" hidden="1">#REF!</definedName>
    <definedName name="XRefCopy91Row" localSheetId="23" hidden="1">#REF!</definedName>
    <definedName name="XRefCopy91Row" localSheetId="51" hidden="1">#REF!</definedName>
    <definedName name="XRefCopy91Row" hidden="1">#REF!</definedName>
    <definedName name="XRefCopy92Row" localSheetId="22" hidden="1">#REF!</definedName>
    <definedName name="XRefCopy92Row" localSheetId="23" hidden="1">#REF!</definedName>
    <definedName name="XRefCopy92Row" localSheetId="51" hidden="1">#REF!</definedName>
    <definedName name="XRefCopy92Row" hidden="1">#REF!</definedName>
    <definedName name="XRefCopy93Row" localSheetId="22" hidden="1">#REF!</definedName>
    <definedName name="XRefCopy93Row" localSheetId="23" hidden="1">#REF!</definedName>
    <definedName name="XRefCopy93Row" localSheetId="51" hidden="1">#REF!</definedName>
    <definedName name="XRefCopy93Row" hidden="1">#REF!</definedName>
    <definedName name="XRefCopy94Row" localSheetId="22" hidden="1">#REF!</definedName>
    <definedName name="XRefCopy94Row" localSheetId="23" hidden="1">#REF!</definedName>
    <definedName name="XRefCopy94Row" localSheetId="51" hidden="1">#REF!</definedName>
    <definedName name="XRefCopy94Row" hidden="1">#REF!</definedName>
    <definedName name="XRefCopy95Row" localSheetId="22" hidden="1">#REF!</definedName>
    <definedName name="XRefCopy95Row" localSheetId="23" hidden="1">#REF!</definedName>
    <definedName name="XRefCopy95Row" localSheetId="51" hidden="1">#REF!</definedName>
    <definedName name="XRefCopy95Row" hidden="1">#REF!</definedName>
    <definedName name="XRefCopy96Row" localSheetId="22" hidden="1">#REF!</definedName>
    <definedName name="XRefCopy96Row" localSheetId="23" hidden="1">#REF!</definedName>
    <definedName name="XRefCopy96Row" localSheetId="51" hidden="1">#REF!</definedName>
    <definedName name="XRefCopy96Row" hidden="1">#REF!</definedName>
    <definedName name="XRefCopy99Row" localSheetId="22" hidden="1">#REF!</definedName>
    <definedName name="XRefCopy99Row" localSheetId="23" hidden="1">#REF!</definedName>
    <definedName name="XRefCopy99Row" localSheetId="51" hidden="1">#REF!</definedName>
    <definedName name="XRefCopy99Row" hidden="1">#REF!</definedName>
    <definedName name="XRefCopy9Row" localSheetId="22" hidden="1">#REF!</definedName>
    <definedName name="XRefCopy9Row" localSheetId="23" hidden="1">#REF!</definedName>
    <definedName name="XRefCopy9Row" localSheetId="51" hidden="1">#REF!</definedName>
    <definedName name="XRefCopy9Row" hidden="1">#REF!</definedName>
    <definedName name="XRefCopyRangeCount" hidden="1">1</definedName>
    <definedName name="XRefPaste1" localSheetId="22" hidden="1">#REF!</definedName>
    <definedName name="XRefPaste1" localSheetId="23" hidden="1">#REF!</definedName>
    <definedName name="XRefPaste1" localSheetId="51" hidden="1">#REF!</definedName>
    <definedName name="XRefPaste1" hidden="1">#REF!</definedName>
    <definedName name="XRefPaste100Row" localSheetId="22" hidden="1">#REF!</definedName>
    <definedName name="XRefPaste100Row" localSheetId="23" hidden="1">#REF!</definedName>
    <definedName name="XRefPaste100Row" localSheetId="51" hidden="1">#REF!</definedName>
    <definedName name="XRefPaste100Row" hidden="1">#REF!</definedName>
    <definedName name="XRefPaste101Row" localSheetId="22" hidden="1">#REF!</definedName>
    <definedName name="XRefPaste101Row" localSheetId="23" hidden="1">#REF!</definedName>
    <definedName name="XRefPaste101Row" localSheetId="51" hidden="1">#REF!</definedName>
    <definedName name="XRefPaste101Row" hidden="1">#REF!</definedName>
    <definedName name="XRefPaste102Row" localSheetId="22" hidden="1">#REF!</definedName>
    <definedName name="XRefPaste102Row" localSheetId="23" hidden="1">#REF!</definedName>
    <definedName name="XRefPaste102Row" localSheetId="51" hidden="1">#REF!</definedName>
    <definedName name="XRefPaste102Row" hidden="1">#REF!</definedName>
    <definedName name="XRefPaste103Row" localSheetId="22" hidden="1">#REF!</definedName>
    <definedName name="XRefPaste103Row" localSheetId="23" hidden="1">#REF!</definedName>
    <definedName name="XRefPaste103Row" localSheetId="51" hidden="1">#REF!</definedName>
    <definedName name="XRefPaste103Row" hidden="1">#REF!</definedName>
    <definedName name="XRefPaste104Row" localSheetId="22" hidden="1">#REF!</definedName>
    <definedName name="XRefPaste104Row" localSheetId="23" hidden="1">#REF!</definedName>
    <definedName name="XRefPaste104Row" localSheetId="51" hidden="1">#REF!</definedName>
    <definedName name="XRefPaste104Row" hidden="1">#REF!</definedName>
    <definedName name="XRefPaste105Row" localSheetId="22" hidden="1">#REF!</definedName>
    <definedName name="XRefPaste105Row" localSheetId="23" hidden="1">#REF!</definedName>
    <definedName name="XRefPaste105Row" localSheetId="51" hidden="1">#REF!</definedName>
    <definedName name="XRefPaste105Row" hidden="1">#REF!</definedName>
    <definedName name="XRefPaste106Row" localSheetId="22" hidden="1">#REF!</definedName>
    <definedName name="XRefPaste106Row" localSheetId="23" hidden="1">#REF!</definedName>
    <definedName name="XRefPaste106Row" localSheetId="51" hidden="1">#REF!</definedName>
    <definedName name="XRefPaste106Row" hidden="1">#REF!</definedName>
    <definedName name="XRefPaste107Row" localSheetId="22" hidden="1">#REF!</definedName>
    <definedName name="XRefPaste107Row" localSheetId="23" hidden="1">#REF!</definedName>
    <definedName name="XRefPaste107Row" localSheetId="51" hidden="1">#REF!</definedName>
    <definedName name="XRefPaste107Row" hidden="1">#REF!</definedName>
    <definedName name="XRefPaste108Row" localSheetId="22" hidden="1">#REF!</definedName>
    <definedName name="XRefPaste108Row" localSheetId="23" hidden="1">#REF!</definedName>
    <definedName name="XRefPaste108Row" localSheetId="51" hidden="1">#REF!</definedName>
    <definedName name="XRefPaste108Row" hidden="1">#REF!</definedName>
    <definedName name="XRefPaste109Row" localSheetId="22" hidden="1">#REF!</definedName>
    <definedName name="XRefPaste109Row" localSheetId="23" hidden="1">#REF!</definedName>
    <definedName name="XRefPaste109Row" localSheetId="51" hidden="1">#REF!</definedName>
    <definedName name="XRefPaste109Row" hidden="1">#REF!</definedName>
    <definedName name="XRefPaste110Row" localSheetId="22" hidden="1">#REF!</definedName>
    <definedName name="XRefPaste110Row" localSheetId="23" hidden="1">#REF!</definedName>
    <definedName name="XRefPaste110Row" localSheetId="51" hidden="1">#REF!</definedName>
    <definedName name="XRefPaste110Row" hidden="1">#REF!</definedName>
    <definedName name="XRefPaste111Row" localSheetId="22" hidden="1">#REF!</definedName>
    <definedName name="XRefPaste111Row" localSheetId="23" hidden="1">#REF!</definedName>
    <definedName name="XRefPaste111Row" localSheetId="51" hidden="1">#REF!</definedName>
    <definedName name="XRefPaste111Row" hidden="1">#REF!</definedName>
    <definedName name="XRefPaste112Row" localSheetId="22" hidden="1">#REF!</definedName>
    <definedName name="XRefPaste112Row" localSheetId="23" hidden="1">#REF!</definedName>
    <definedName name="XRefPaste112Row" localSheetId="51" hidden="1">#REF!</definedName>
    <definedName name="XRefPaste112Row" hidden="1">#REF!</definedName>
    <definedName name="XRefPaste113Row" localSheetId="22" hidden="1">#REF!</definedName>
    <definedName name="XRefPaste113Row" localSheetId="23" hidden="1">#REF!</definedName>
    <definedName name="XRefPaste113Row" localSheetId="51" hidden="1">#REF!</definedName>
    <definedName name="XRefPaste113Row" hidden="1">#REF!</definedName>
    <definedName name="XRefPaste114Row" localSheetId="22" hidden="1">#REF!</definedName>
    <definedName name="XRefPaste114Row" localSheetId="23" hidden="1">#REF!</definedName>
    <definedName name="XRefPaste114Row" localSheetId="51" hidden="1">#REF!</definedName>
    <definedName name="XRefPaste114Row" hidden="1">#REF!</definedName>
    <definedName name="XRefPaste115Row" localSheetId="22" hidden="1">#REF!</definedName>
    <definedName name="XRefPaste115Row" localSheetId="23" hidden="1">#REF!</definedName>
    <definedName name="XRefPaste115Row" localSheetId="51" hidden="1">#REF!</definedName>
    <definedName name="XRefPaste115Row" hidden="1">#REF!</definedName>
    <definedName name="XRefPaste117Row" localSheetId="22" hidden="1">#REF!</definedName>
    <definedName name="XRefPaste117Row" localSheetId="23" hidden="1">#REF!</definedName>
    <definedName name="XRefPaste117Row" localSheetId="51" hidden="1">#REF!</definedName>
    <definedName name="XRefPaste117Row" hidden="1">#REF!</definedName>
    <definedName name="XRefPaste120Row" localSheetId="22" hidden="1">#REF!</definedName>
    <definedName name="XRefPaste120Row" localSheetId="23" hidden="1">#REF!</definedName>
    <definedName name="XRefPaste120Row" localSheetId="51" hidden="1">#REF!</definedName>
    <definedName name="XRefPaste120Row" hidden="1">#REF!</definedName>
    <definedName name="XRefPaste122Row" localSheetId="22" hidden="1">#REF!</definedName>
    <definedName name="XRefPaste122Row" localSheetId="23" hidden="1">#REF!</definedName>
    <definedName name="XRefPaste122Row" localSheetId="51" hidden="1">#REF!</definedName>
    <definedName name="XRefPaste122Row" hidden="1">#REF!</definedName>
    <definedName name="XRefPaste123Row" localSheetId="22" hidden="1">#REF!</definedName>
    <definedName name="XRefPaste123Row" localSheetId="23" hidden="1">#REF!</definedName>
    <definedName name="XRefPaste123Row" localSheetId="51" hidden="1">#REF!</definedName>
    <definedName name="XRefPaste123Row" hidden="1">#REF!</definedName>
    <definedName name="XRefPaste125Row" localSheetId="22" hidden="1">#REF!</definedName>
    <definedName name="XRefPaste125Row" localSheetId="23" hidden="1">#REF!</definedName>
    <definedName name="XRefPaste125Row" localSheetId="51" hidden="1">#REF!</definedName>
    <definedName name="XRefPaste125Row" hidden="1">#REF!</definedName>
    <definedName name="XRefPaste126Row" localSheetId="22" hidden="1">#REF!</definedName>
    <definedName name="XRefPaste126Row" localSheetId="23" hidden="1">#REF!</definedName>
    <definedName name="XRefPaste126Row" localSheetId="51" hidden="1">#REF!</definedName>
    <definedName name="XRefPaste126Row" hidden="1">#REF!</definedName>
    <definedName name="XRefPaste127Row" localSheetId="22" hidden="1">#REF!</definedName>
    <definedName name="XRefPaste127Row" localSheetId="23" hidden="1">#REF!</definedName>
    <definedName name="XRefPaste127Row" localSheetId="51" hidden="1">#REF!</definedName>
    <definedName name="XRefPaste127Row" hidden="1">#REF!</definedName>
    <definedName name="XRefPaste129Row" localSheetId="22" hidden="1">#REF!</definedName>
    <definedName name="XRefPaste129Row" localSheetId="23" hidden="1">#REF!</definedName>
    <definedName name="XRefPaste129Row" localSheetId="51" hidden="1">#REF!</definedName>
    <definedName name="XRefPaste129Row" hidden="1">#REF!</definedName>
    <definedName name="XRefPaste131Row" localSheetId="22" hidden="1">#REF!</definedName>
    <definedName name="XRefPaste131Row" localSheetId="23" hidden="1">#REF!</definedName>
    <definedName name="XRefPaste131Row" localSheetId="51" hidden="1">#REF!</definedName>
    <definedName name="XRefPaste131Row" hidden="1">#REF!</definedName>
    <definedName name="XRefPaste132Row" localSheetId="22" hidden="1">#REF!</definedName>
    <definedName name="XRefPaste132Row" localSheetId="23" hidden="1">#REF!</definedName>
    <definedName name="XRefPaste132Row" localSheetId="51" hidden="1">#REF!</definedName>
    <definedName name="XRefPaste132Row" hidden="1">#REF!</definedName>
    <definedName name="XRefPaste134" localSheetId="22" hidden="1">#REF!</definedName>
    <definedName name="XRefPaste134" localSheetId="23" hidden="1">#REF!</definedName>
    <definedName name="XRefPaste134" localSheetId="51" hidden="1">#REF!</definedName>
    <definedName name="XRefPaste134" hidden="1">#REF!</definedName>
    <definedName name="XRefPaste134Row" localSheetId="22" hidden="1">#REF!</definedName>
    <definedName name="XRefPaste134Row" localSheetId="23" hidden="1">#REF!</definedName>
    <definedName name="XRefPaste134Row" localSheetId="51" hidden="1">#REF!</definedName>
    <definedName name="XRefPaste134Row" hidden="1">#REF!</definedName>
    <definedName name="XRefPaste136Row" localSheetId="22" hidden="1">#REF!</definedName>
    <definedName name="XRefPaste136Row" localSheetId="23" hidden="1">#REF!</definedName>
    <definedName name="XRefPaste136Row" localSheetId="51" hidden="1">#REF!</definedName>
    <definedName name="XRefPaste136Row" hidden="1">#REF!</definedName>
    <definedName name="XRefPaste138Row" localSheetId="22" hidden="1">#REF!</definedName>
    <definedName name="XRefPaste138Row" localSheetId="23" hidden="1">#REF!</definedName>
    <definedName name="XRefPaste138Row" localSheetId="51" hidden="1">#REF!</definedName>
    <definedName name="XRefPaste138Row" hidden="1">#REF!</definedName>
    <definedName name="XRefPaste144" localSheetId="22" hidden="1">#REF!</definedName>
    <definedName name="XRefPaste144" localSheetId="23" hidden="1">#REF!</definedName>
    <definedName name="XRefPaste144" localSheetId="51" hidden="1">#REF!</definedName>
    <definedName name="XRefPaste144" hidden="1">#REF!</definedName>
    <definedName name="XRefPaste144Row" localSheetId="22" hidden="1">#REF!</definedName>
    <definedName name="XRefPaste144Row" localSheetId="23" hidden="1">#REF!</definedName>
    <definedName name="XRefPaste144Row" localSheetId="51" hidden="1">#REF!</definedName>
    <definedName name="XRefPaste144Row" hidden="1">#REF!</definedName>
    <definedName name="XRefPaste145Row" localSheetId="22" hidden="1">#REF!</definedName>
    <definedName name="XRefPaste145Row" localSheetId="23" hidden="1">#REF!</definedName>
    <definedName name="XRefPaste145Row" localSheetId="51" hidden="1">#REF!</definedName>
    <definedName name="XRefPaste145Row" hidden="1">#REF!</definedName>
    <definedName name="XRefPaste148Row" localSheetId="22" hidden="1">#REF!</definedName>
    <definedName name="XRefPaste148Row" localSheetId="23" hidden="1">#REF!</definedName>
    <definedName name="XRefPaste148Row" localSheetId="51" hidden="1">#REF!</definedName>
    <definedName name="XRefPaste148Row" hidden="1">#REF!</definedName>
    <definedName name="XRefPaste150Row" localSheetId="22" hidden="1">#REF!</definedName>
    <definedName name="XRefPaste150Row" localSheetId="23" hidden="1">#REF!</definedName>
    <definedName name="XRefPaste150Row" localSheetId="51" hidden="1">#REF!</definedName>
    <definedName name="XRefPaste150Row" hidden="1">#REF!</definedName>
    <definedName name="XRefPaste151Row" localSheetId="22" hidden="1">#REF!</definedName>
    <definedName name="XRefPaste151Row" localSheetId="23" hidden="1">#REF!</definedName>
    <definedName name="XRefPaste151Row" localSheetId="51" hidden="1">#REF!</definedName>
    <definedName name="XRefPaste151Row" hidden="1">#REF!</definedName>
    <definedName name="XRefPaste152Row" localSheetId="22" hidden="1">#REF!</definedName>
    <definedName name="XRefPaste152Row" localSheetId="23" hidden="1">#REF!</definedName>
    <definedName name="XRefPaste152Row" localSheetId="51" hidden="1">#REF!</definedName>
    <definedName name="XRefPaste152Row" hidden="1">#REF!</definedName>
    <definedName name="XRefPaste153Row" localSheetId="22" hidden="1">#REF!</definedName>
    <definedName name="XRefPaste153Row" localSheetId="23" hidden="1">#REF!</definedName>
    <definedName name="XRefPaste153Row" localSheetId="51" hidden="1">#REF!</definedName>
    <definedName name="XRefPaste153Row" hidden="1">#REF!</definedName>
    <definedName name="XRefPaste154Row" localSheetId="22" hidden="1">#REF!</definedName>
    <definedName name="XRefPaste154Row" localSheetId="23" hidden="1">#REF!</definedName>
    <definedName name="XRefPaste154Row" localSheetId="51" hidden="1">#REF!</definedName>
    <definedName name="XRefPaste154Row" hidden="1">#REF!</definedName>
    <definedName name="XRefPaste155Row" localSheetId="22" hidden="1">#REF!</definedName>
    <definedName name="XRefPaste155Row" localSheetId="23" hidden="1">#REF!</definedName>
    <definedName name="XRefPaste155Row" localSheetId="51" hidden="1">#REF!</definedName>
    <definedName name="XRefPaste155Row" hidden="1">#REF!</definedName>
    <definedName name="XRefPaste157Row" localSheetId="22" hidden="1">#REF!</definedName>
    <definedName name="XRefPaste157Row" localSheetId="23" hidden="1">#REF!</definedName>
    <definedName name="XRefPaste157Row" localSheetId="51" hidden="1">#REF!</definedName>
    <definedName name="XRefPaste157Row" hidden="1">#REF!</definedName>
    <definedName name="XRefPaste158Row" localSheetId="22" hidden="1">#REF!</definedName>
    <definedName name="XRefPaste158Row" localSheetId="23" hidden="1">#REF!</definedName>
    <definedName name="XRefPaste158Row" localSheetId="51" hidden="1">#REF!</definedName>
    <definedName name="XRefPaste158Row" hidden="1">#REF!</definedName>
    <definedName name="XRefPaste159Row" localSheetId="22" hidden="1">#REF!</definedName>
    <definedName name="XRefPaste159Row" localSheetId="23" hidden="1">#REF!</definedName>
    <definedName name="XRefPaste159Row" localSheetId="51" hidden="1">#REF!</definedName>
    <definedName name="XRefPaste159Row" hidden="1">#REF!</definedName>
    <definedName name="XRefPaste16" localSheetId="22" hidden="1">#REF!</definedName>
    <definedName name="XRefPaste16" localSheetId="23" hidden="1">#REF!</definedName>
    <definedName name="XRefPaste16" localSheetId="51" hidden="1">#REF!</definedName>
    <definedName name="XRefPaste16" hidden="1">#REF!</definedName>
    <definedName name="XRefPaste160Row" localSheetId="22" hidden="1">#REF!</definedName>
    <definedName name="XRefPaste160Row" localSheetId="23" hidden="1">#REF!</definedName>
    <definedName name="XRefPaste160Row" localSheetId="51" hidden="1">#REF!</definedName>
    <definedName name="XRefPaste160Row" hidden="1">#REF!</definedName>
    <definedName name="XRefPaste162Row" localSheetId="22" hidden="1">#REF!</definedName>
    <definedName name="XRefPaste162Row" localSheetId="23" hidden="1">#REF!</definedName>
    <definedName name="XRefPaste162Row" localSheetId="51" hidden="1">#REF!</definedName>
    <definedName name="XRefPaste162Row" hidden="1">#REF!</definedName>
    <definedName name="XRefPaste163Row" localSheetId="22" hidden="1">#REF!</definedName>
    <definedName name="XRefPaste163Row" localSheetId="23" hidden="1">#REF!</definedName>
    <definedName name="XRefPaste163Row" localSheetId="51" hidden="1">#REF!</definedName>
    <definedName name="XRefPaste163Row" hidden="1">#REF!</definedName>
    <definedName name="XRefPaste164Row" localSheetId="22" hidden="1">#REF!</definedName>
    <definedName name="XRefPaste164Row" localSheetId="23" hidden="1">#REF!</definedName>
    <definedName name="XRefPaste164Row" localSheetId="51" hidden="1">#REF!</definedName>
    <definedName name="XRefPaste164Row" hidden="1">#REF!</definedName>
    <definedName name="XRefPaste165Row" localSheetId="22" hidden="1">#REF!</definedName>
    <definedName name="XRefPaste165Row" localSheetId="23" hidden="1">#REF!</definedName>
    <definedName name="XRefPaste165Row" localSheetId="51" hidden="1">#REF!</definedName>
    <definedName name="XRefPaste165Row" hidden="1">#REF!</definedName>
    <definedName name="XRefPaste166Row" localSheetId="22" hidden="1">#REF!</definedName>
    <definedName name="XRefPaste166Row" localSheetId="23" hidden="1">#REF!</definedName>
    <definedName name="XRefPaste166Row" localSheetId="51" hidden="1">#REF!</definedName>
    <definedName name="XRefPaste166Row" hidden="1">#REF!</definedName>
    <definedName name="XRefPaste167Row" localSheetId="22" hidden="1">#REF!</definedName>
    <definedName name="XRefPaste167Row" localSheetId="23" hidden="1">#REF!</definedName>
    <definedName name="XRefPaste167Row" localSheetId="51" hidden="1">#REF!</definedName>
    <definedName name="XRefPaste167Row" hidden="1">#REF!</definedName>
    <definedName name="XRefPaste168" localSheetId="22" hidden="1">#REF!</definedName>
    <definedName name="XRefPaste168" localSheetId="23" hidden="1">#REF!</definedName>
    <definedName name="XRefPaste168" localSheetId="51" hidden="1">#REF!</definedName>
    <definedName name="XRefPaste168" hidden="1">#REF!</definedName>
    <definedName name="XRefPaste168Row" localSheetId="22" hidden="1">#REF!</definedName>
    <definedName name="XRefPaste168Row" localSheetId="23" hidden="1">#REF!</definedName>
    <definedName name="XRefPaste168Row" localSheetId="51" hidden="1">#REF!</definedName>
    <definedName name="XRefPaste168Row" hidden="1">#REF!</definedName>
    <definedName name="XRefPaste16Row" localSheetId="22" hidden="1">#REF!</definedName>
    <definedName name="XRefPaste16Row" localSheetId="23" hidden="1">#REF!</definedName>
    <definedName name="XRefPaste16Row" localSheetId="51" hidden="1">#REF!</definedName>
    <definedName name="XRefPaste16Row" hidden="1">#REF!</definedName>
    <definedName name="XRefPaste17" localSheetId="22" hidden="1">#REF!</definedName>
    <definedName name="XRefPaste17" localSheetId="23" hidden="1">#REF!</definedName>
    <definedName name="XRefPaste17" localSheetId="51" hidden="1">#REF!</definedName>
    <definedName name="XRefPaste17" hidden="1">#REF!</definedName>
    <definedName name="XRefPaste19" localSheetId="22" hidden="1">#REF!</definedName>
    <definedName name="XRefPaste19" localSheetId="23" hidden="1">#REF!</definedName>
    <definedName name="XRefPaste19" localSheetId="51" hidden="1">#REF!</definedName>
    <definedName name="XRefPaste19" hidden="1">#REF!</definedName>
    <definedName name="XRefPaste1Row" localSheetId="22" hidden="1">#REF!</definedName>
    <definedName name="XRefPaste1Row" localSheetId="23" hidden="1">#REF!</definedName>
    <definedName name="XRefPaste1Row" localSheetId="51" hidden="1">#REF!</definedName>
    <definedName name="XRefPaste1Row" hidden="1">#REF!</definedName>
    <definedName name="XRefPaste2" localSheetId="22" hidden="1">#REF!</definedName>
    <definedName name="XRefPaste2" localSheetId="23" hidden="1">#REF!</definedName>
    <definedName name="XRefPaste2" localSheetId="51" hidden="1">#REF!</definedName>
    <definedName name="XRefPaste2" hidden="1">#REF!</definedName>
    <definedName name="XRefPaste22" localSheetId="22" hidden="1">#REF!</definedName>
    <definedName name="XRefPaste22" localSheetId="23" hidden="1">#REF!</definedName>
    <definedName name="XRefPaste22" localSheetId="51" hidden="1">#REF!</definedName>
    <definedName name="XRefPaste22" hidden="1">#REF!</definedName>
    <definedName name="XRefPaste22Row" localSheetId="22" hidden="1">#REF!</definedName>
    <definedName name="XRefPaste22Row" localSheetId="23" hidden="1">#REF!</definedName>
    <definedName name="XRefPaste22Row" localSheetId="51" hidden="1">#REF!</definedName>
    <definedName name="XRefPaste22Row" hidden="1">#REF!</definedName>
    <definedName name="XRefPaste24" localSheetId="22" hidden="1">#REF!</definedName>
    <definedName name="XRefPaste24" localSheetId="23" hidden="1">#REF!</definedName>
    <definedName name="XRefPaste24" localSheetId="51" hidden="1">#REF!</definedName>
    <definedName name="XRefPaste24" hidden="1">#REF!</definedName>
    <definedName name="XRefPaste25" localSheetId="22" hidden="1">#REF!</definedName>
    <definedName name="XRefPaste25" localSheetId="23" hidden="1">#REF!</definedName>
    <definedName name="XRefPaste25" localSheetId="51" hidden="1">#REF!</definedName>
    <definedName name="XRefPaste25" hidden="1">#REF!</definedName>
    <definedName name="XRefPaste26" localSheetId="22" hidden="1">#REF!</definedName>
    <definedName name="XRefPaste26" localSheetId="23" hidden="1">#REF!</definedName>
    <definedName name="XRefPaste26" localSheetId="51" hidden="1">#REF!</definedName>
    <definedName name="XRefPaste26" hidden="1">#REF!</definedName>
    <definedName name="XRefPaste27" localSheetId="22" hidden="1">#REF!</definedName>
    <definedName name="XRefPaste27" localSheetId="23" hidden="1">#REF!</definedName>
    <definedName name="XRefPaste27" localSheetId="51" hidden="1">#REF!</definedName>
    <definedName name="XRefPaste27" hidden="1">#REF!</definedName>
    <definedName name="XRefPaste28" localSheetId="22" hidden="1">#REF!</definedName>
    <definedName name="XRefPaste28" localSheetId="23" hidden="1">#REF!</definedName>
    <definedName name="XRefPaste28" localSheetId="51" hidden="1">#REF!</definedName>
    <definedName name="XRefPaste28" hidden="1">#REF!</definedName>
    <definedName name="XRefPaste29" localSheetId="22" hidden="1">#REF!</definedName>
    <definedName name="XRefPaste29" localSheetId="23" hidden="1">#REF!</definedName>
    <definedName name="XRefPaste29" localSheetId="51" hidden="1">#REF!</definedName>
    <definedName name="XRefPaste29" hidden="1">#REF!</definedName>
    <definedName name="XRefPaste29Row" localSheetId="22" hidden="1">#REF!</definedName>
    <definedName name="XRefPaste29Row" localSheetId="23" hidden="1">#REF!</definedName>
    <definedName name="XRefPaste29Row" localSheetId="51" hidden="1">#REF!</definedName>
    <definedName name="XRefPaste29Row" hidden="1">#REF!</definedName>
    <definedName name="XRefPaste3" localSheetId="22" hidden="1">#REF!</definedName>
    <definedName name="XRefPaste3" localSheetId="23" hidden="1">#REF!</definedName>
    <definedName name="XRefPaste3" localSheetId="51" hidden="1">#REF!</definedName>
    <definedName name="XRefPaste3" hidden="1">#REF!</definedName>
    <definedName name="XRefPaste30" localSheetId="22" hidden="1">#REF!</definedName>
    <definedName name="XRefPaste30" localSheetId="23" hidden="1">#REF!</definedName>
    <definedName name="XRefPaste30" localSheetId="51" hidden="1">#REF!</definedName>
    <definedName name="XRefPaste30" hidden="1">#REF!</definedName>
    <definedName name="XRefPaste31" localSheetId="22" hidden="1">#REF!</definedName>
    <definedName name="XRefPaste31" localSheetId="23" hidden="1">#REF!</definedName>
    <definedName name="XRefPaste31" localSheetId="51" hidden="1">#REF!</definedName>
    <definedName name="XRefPaste31" hidden="1">#REF!</definedName>
    <definedName name="XRefPaste38Row" localSheetId="22" hidden="1">#REF!</definedName>
    <definedName name="XRefPaste38Row" localSheetId="23" hidden="1">#REF!</definedName>
    <definedName name="XRefPaste38Row" localSheetId="51" hidden="1">#REF!</definedName>
    <definedName name="XRefPaste38Row" hidden="1">#REF!</definedName>
    <definedName name="XRefPaste3Row" localSheetId="22" hidden="1">#REF!</definedName>
    <definedName name="XRefPaste3Row" localSheetId="23" hidden="1">#REF!</definedName>
    <definedName name="XRefPaste3Row" localSheetId="51" hidden="1">#REF!</definedName>
    <definedName name="XRefPaste3Row" hidden="1">#REF!</definedName>
    <definedName name="XRefPaste4" localSheetId="22" hidden="1">#REF!</definedName>
    <definedName name="XRefPaste4" localSheetId="23" hidden="1">#REF!</definedName>
    <definedName name="XRefPaste4" localSheetId="51" hidden="1">#REF!</definedName>
    <definedName name="XRefPaste4" hidden="1">#REF!</definedName>
    <definedName name="XRefPaste45Row" localSheetId="22" hidden="1">#REF!</definedName>
    <definedName name="XRefPaste45Row" localSheetId="23" hidden="1">#REF!</definedName>
    <definedName name="XRefPaste45Row" localSheetId="51" hidden="1">#REF!</definedName>
    <definedName name="XRefPaste45Row" hidden="1">#REF!</definedName>
    <definedName name="XRefPaste51Row" localSheetId="22" hidden="1">#REF!</definedName>
    <definedName name="XRefPaste51Row" localSheetId="23" hidden="1">#REF!</definedName>
    <definedName name="XRefPaste51Row" localSheetId="51" hidden="1">#REF!</definedName>
    <definedName name="XRefPaste51Row" hidden="1">#REF!</definedName>
    <definedName name="XRefPaste56Row" localSheetId="22" hidden="1">#REF!</definedName>
    <definedName name="XRefPaste56Row" localSheetId="23" hidden="1">#REF!</definedName>
    <definedName name="XRefPaste56Row" localSheetId="51" hidden="1">#REF!</definedName>
    <definedName name="XRefPaste56Row" hidden="1">#REF!</definedName>
    <definedName name="XRefPaste57Row" localSheetId="22" hidden="1">#REF!</definedName>
    <definedName name="XRefPaste57Row" localSheetId="23" hidden="1">#REF!</definedName>
    <definedName name="XRefPaste57Row" localSheetId="51" hidden="1">#REF!</definedName>
    <definedName name="XRefPaste57Row" hidden="1">#REF!</definedName>
    <definedName name="XRefPaste5Row" localSheetId="22" hidden="1">#REF!</definedName>
    <definedName name="XRefPaste5Row" localSheetId="23" hidden="1">#REF!</definedName>
    <definedName name="XRefPaste5Row" localSheetId="51" hidden="1">#REF!</definedName>
    <definedName name="XRefPaste5Row" hidden="1">#REF!</definedName>
    <definedName name="XRefPaste6" localSheetId="22" hidden="1">#REF!</definedName>
    <definedName name="XRefPaste6" localSheetId="23" hidden="1">#REF!</definedName>
    <definedName name="XRefPaste6" localSheetId="51" hidden="1">#REF!</definedName>
    <definedName name="XRefPaste6" hidden="1">#REF!</definedName>
    <definedName name="XRefPaste61Row" localSheetId="22" hidden="1">#REF!</definedName>
    <definedName name="XRefPaste61Row" localSheetId="23" hidden="1">#REF!</definedName>
    <definedName name="XRefPaste61Row" localSheetId="51" hidden="1">#REF!</definedName>
    <definedName name="XRefPaste61Row" hidden="1">#REF!</definedName>
    <definedName name="XRefPaste63Row" localSheetId="22" hidden="1">#REF!</definedName>
    <definedName name="XRefPaste63Row" localSheetId="23" hidden="1">#REF!</definedName>
    <definedName name="XRefPaste63Row" localSheetId="51" hidden="1">#REF!</definedName>
    <definedName name="XRefPaste63Row" hidden="1">#REF!</definedName>
    <definedName name="XRefPaste64Row" localSheetId="22" hidden="1">#REF!</definedName>
    <definedName name="XRefPaste64Row" localSheetId="23" hidden="1">#REF!</definedName>
    <definedName name="XRefPaste64Row" localSheetId="51" hidden="1">#REF!</definedName>
    <definedName name="XRefPaste64Row" hidden="1">#REF!</definedName>
    <definedName name="XRefPaste67Row" localSheetId="22" hidden="1">#REF!</definedName>
    <definedName name="XRefPaste67Row" localSheetId="23" hidden="1">#REF!</definedName>
    <definedName name="XRefPaste67Row" localSheetId="51" hidden="1">#REF!</definedName>
    <definedName name="XRefPaste67Row" hidden="1">#REF!</definedName>
    <definedName name="XRefPaste68Row" localSheetId="22" hidden="1">#REF!</definedName>
    <definedName name="XRefPaste68Row" localSheetId="23" hidden="1">#REF!</definedName>
    <definedName name="XRefPaste68Row" localSheetId="51" hidden="1">#REF!</definedName>
    <definedName name="XRefPaste68Row" hidden="1">#REF!</definedName>
    <definedName name="XRefPaste69Row" localSheetId="22" hidden="1">#REF!</definedName>
    <definedName name="XRefPaste69Row" localSheetId="23" hidden="1">#REF!</definedName>
    <definedName name="XRefPaste69Row" localSheetId="51" hidden="1">#REF!</definedName>
    <definedName name="XRefPaste69Row" hidden="1">#REF!</definedName>
    <definedName name="XRefPaste6Row" localSheetId="22" hidden="1">#REF!</definedName>
    <definedName name="XRefPaste6Row" localSheetId="23" hidden="1">#REF!</definedName>
    <definedName name="XRefPaste6Row" localSheetId="51" hidden="1">#REF!</definedName>
    <definedName name="XRefPaste6Row" hidden="1">#REF!</definedName>
    <definedName name="XRefPaste7" localSheetId="22" hidden="1">#REF!</definedName>
    <definedName name="XRefPaste7" localSheetId="23" hidden="1">#REF!</definedName>
    <definedName name="XRefPaste7" localSheetId="51" hidden="1">#REF!</definedName>
    <definedName name="XRefPaste7" hidden="1">#REF!</definedName>
    <definedName name="XRefPaste71Row" localSheetId="22" hidden="1">#REF!</definedName>
    <definedName name="XRefPaste71Row" localSheetId="23" hidden="1">#REF!</definedName>
    <definedName name="XRefPaste71Row" localSheetId="51" hidden="1">#REF!</definedName>
    <definedName name="XRefPaste71Row" hidden="1">#REF!</definedName>
    <definedName name="XRefPaste72Row" localSheetId="22" hidden="1">#REF!</definedName>
    <definedName name="XRefPaste72Row" localSheetId="23" hidden="1">#REF!</definedName>
    <definedName name="XRefPaste72Row" localSheetId="51" hidden="1">#REF!</definedName>
    <definedName name="XRefPaste72Row" hidden="1">#REF!</definedName>
    <definedName name="XRefPaste73Row" localSheetId="22" hidden="1">#REF!</definedName>
    <definedName name="XRefPaste73Row" localSheetId="23" hidden="1">#REF!</definedName>
    <definedName name="XRefPaste73Row" localSheetId="51" hidden="1">#REF!</definedName>
    <definedName name="XRefPaste73Row" hidden="1">#REF!</definedName>
    <definedName name="XRefPaste74Row" localSheetId="22" hidden="1">#REF!</definedName>
    <definedName name="XRefPaste74Row" localSheetId="23" hidden="1">#REF!</definedName>
    <definedName name="XRefPaste74Row" localSheetId="51" hidden="1">#REF!</definedName>
    <definedName name="XRefPaste74Row" hidden="1">#REF!</definedName>
    <definedName name="XRefPaste75Row" localSheetId="22" hidden="1">#REF!</definedName>
    <definedName name="XRefPaste75Row" localSheetId="23" hidden="1">#REF!</definedName>
    <definedName name="XRefPaste75Row" localSheetId="51" hidden="1">#REF!</definedName>
    <definedName name="XRefPaste75Row" hidden="1">#REF!</definedName>
    <definedName name="XRefPaste76Row" localSheetId="22" hidden="1">#REF!</definedName>
    <definedName name="XRefPaste76Row" localSheetId="23" hidden="1">#REF!</definedName>
    <definedName name="XRefPaste76Row" localSheetId="51" hidden="1">#REF!</definedName>
    <definedName name="XRefPaste76Row" hidden="1">#REF!</definedName>
    <definedName name="XRefPaste77Row" localSheetId="22" hidden="1">#REF!</definedName>
    <definedName name="XRefPaste77Row" localSheetId="23" hidden="1">#REF!</definedName>
    <definedName name="XRefPaste77Row" localSheetId="51" hidden="1">#REF!</definedName>
    <definedName name="XRefPaste77Row" hidden="1">#REF!</definedName>
    <definedName name="XRefPaste78Row" localSheetId="22" hidden="1">#REF!</definedName>
    <definedName name="XRefPaste78Row" localSheetId="23" hidden="1">#REF!</definedName>
    <definedName name="XRefPaste78Row" localSheetId="51" hidden="1">#REF!</definedName>
    <definedName name="XRefPaste78Row" hidden="1">#REF!</definedName>
    <definedName name="XRefPaste79Row" localSheetId="22" hidden="1">#REF!</definedName>
    <definedName name="XRefPaste79Row" localSheetId="23" hidden="1">#REF!</definedName>
    <definedName name="XRefPaste79Row" localSheetId="51" hidden="1">#REF!</definedName>
    <definedName name="XRefPaste79Row" hidden="1">#REF!</definedName>
    <definedName name="XRefPaste7Row" localSheetId="22" hidden="1">#REF!</definedName>
    <definedName name="XRefPaste7Row" localSheetId="23" hidden="1">#REF!</definedName>
    <definedName name="XRefPaste7Row" localSheetId="51" hidden="1">#REF!</definedName>
    <definedName name="XRefPaste7Row" hidden="1">#REF!</definedName>
    <definedName name="XRefPaste8" localSheetId="22" hidden="1">#REF!</definedName>
    <definedName name="XRefPaste8" localSheetId="23" hidden="1">#REF!</definedName>
    <definedName name="XRefPaste8" localSheetId="51" hidden="1">#REF!</definedName>
    <definedName name="XRefPaste8" hidden="1">#REF!</definedName>
    <definedName name="XRefPaste80Row" localSheetId="22" hidden="1">#REF!</definedName>
    <definedName name="XRefPaste80Row" localSheetId="23" hidden="1">#REF!</definedName>
    <definedName name="XRefPaste80Row" localSheetId="51" hidden="1">#REF!</definedName>
    <definedName name="XRefPaste80Row" hidden="1">#REF!</definedName>
    <definedName name="XRefPaste82Row" localSheetId="22" hidden="1">#REF!</definedName>
    <definedName name="XRefPaste82Row" localSheetId="23" hidden="1">#REF!</definedName>
    <definedName name="XRefPaste82Row" localSheetId="51" hidden="1">#REF!</definedName>
    <definedName name="XRefPaste82Row" hidden="1">#REF!</definedName>
    <definedName name="XRefPaste83Row" localSheetId="22" hidden="1">#REF!</definedName>
    <definedName name="XRefPaste83Row" localSheetId="23" hidden="1">#REF!</definedName>
    <definedName name="XRefPaste83Row" localSheetId="51" hidden="1">#REF!</definedName>
    <definedName name="XRefPaste83Row" hidden="1">#REF!</definedName>
    <definedName name="XRefPaste84Row" localSheetId="22" hidden="1">#REF!</definedName>
    <definedName name="XRefPaste84Row" localSheetId="23" hidden="1">#REF!</definedName>
    <definedName name="XRefPaste84Row" localSheetId="51" hidden="1">#REF!</definedName>
    <definedName name="XRefPaste84Row" hidden="1">#REF!</definedName>
    <definedName name="XRefPaste86Row" localSheetId="22" hidden="1">#REF!</definedName>
    <definedName name="XRefPaste86Row" localSheetId="23" hidden="1">#REF!</definedName>
    <definedName name="XRefPaste86Row" localSheetId="51" hidden="1">#REF!</definedName>
    <definedName name="XRefPaste86Row" hidden="1">#REF!</definedName>
    <definedName name="XRefPaste87Row" localSheetId="22" hidden="1">#REF!</definedName>
    <definedName name="XRefPaste87Row" localSheetId="23" hidden="1">#REF!</definedName>
    <definedName name="XRefPaste87Row" localSheetId="51" hidden="1">#REF!</definedName>
    <definedName name="XRefPaste87Row" hidden="1">#REF!</definedName>
    <definedName name="XRefPaste88Row" localSheetId="22" hidden="1">#REF!</definedName>
    <definedName name="XRefPaste88Row" localSheetId="23" hidden="1">#REF!</definedName>
    <definedName name="XRefPaste88Row" localSheetId="51" hidden="1">#REF!</definedName>
    <definedName name="XRefPaste88Row" hidden="1">#REF!</definedName>
    <definedName name="XRefPaste89Row" localSheetId="22" hidden="1">#REF!</definedName>
    <definedName name="XRefPaste89Row" localSheetId="23" hidden="1">#REF!</definedName>
    <definedName name="XRefPaste89Row" localSheetId="51" hidden="1">#REF!</definedName>
    <definedName name="XRefPaste89Row" hidden="1">#REF!</definedName>
    <definedName name="XRefPaste8Row" localSheetId="22" hidden="1">#REF!</definedName>
    <definedName name="XRefPaste8Row" localSheetId="23" hidden="1">#REF!</definedName>
    <definedName name="XRefPaste8Row" localSheetId="51" hidden="1">#REF!</definedName>
    <definedName name="XRefPaste8Row" hidden="1">#REF!</definedName>
    <definedName name="XRefPaste9" localSheetId="22" hidden="1">#REF!</definedName>
    <definedName name="XRefPaste9" localSheetId="23" hidden="1">#REF!</definedName>
    <definedName name="XRefPaste9" localSheetId="51" hidden="1">#REF!</definedName>
    <definedName name="XRefPaste9" hidden="1">#REF!</definedName>
    <definedName name="XRefPaste90Row" localSheetId="22" hidden="1">#REF!</definedName>
    <definedName name="XRefPaste90Row" localSheetId="23" hidden="1">#REF!</definedName>
    <definedName name="XRefPaste90Row" localSheetId="51" hidden="1">#REF!</definedName>
    <definedName name="XRefPaste90Row" hidden="1">#REF!</definedName>
    <definedName name="XRefPaste91Row" localSheetId="22" hidden="1">#REF!</definedName>
    <definedName name="XRefPaste91Row" localSheetId="23" hidden="1">#REF!</definedName>
    <definedName name="XRefPaste91Row" localSheetId="51" hidden="1">#REF!</definedName>
    <definedName name="XRefPaste91Row" hidden="1">#REF!</definedName>
    <definedName name="XRefPaste93Row" localSheetId="22" hidden="1">#REF!</definedName>
    <definedName name="XRefPaste93Row" localSheetId="23" hidden="1">#REF!</definedName>
    <definedName name="XRefPaste93Row" localSheetId="51" hidden="1">#REF!</definedName>
    <definedName name="XRefPaste93Row" hidden="1">#REF!</definedName>
    <definedName name="XRefPaste94Row" localSheetId="22" hidden="1">#REF!</definedName>
    <definedName name="XRefPaste94Row" localSheetId="23" hidden="1">#REF!</definedName>
    <definedName name="XRefPaste94Row" localSheetId="51" hidden="1">#REF!</definedName>
    <definedName name="XRefPaste94Row" hidden="1">#REF!</definedName>
    <definedName name="XRefPaste95Row" localSheetId="22" hidden="1">#REF!</definedName>
    <definedName name="XRefPaste95Row" localSheetId="23" hidden="1">#REF!</definedName>
    <definedName name="XRefPaste95Row" localSheetId="51" hidden="1">#REF!</definedName>
    <definedName name="XRefPaste95Row" hidden="1">#REF!</definedName>
    <definedName name="XRefPaste96Row" localSheetId="22" hidden="1">#REF!</definedName>
    <definedName name="XRefPaste96Row" localSheetId="23" hidden="1">#REF!</definedName>
    <definedName name="XRefPaste96Row" localSheetId="51" hidden="1">#REF!</definedName>
    <definedName name="XRefPaste96Row" hidden="1">#REF!</definedName>
    <definedName name="XRefPaste97Row" localSheetId="22" hidden="1">#REF!</definedName>
    <definedName name="XRefPaste97Row" localSheetId="23" hidden="1">#REF!</definedName>
    <definedName name="XRefPaste97Row" localSheetId="51" hidden="1">#REF!</definedName>
    <definedName name="XRefPaste97Row" hidden="1">#REF!</definedName>
    <definedName name="XRefPaste99Row" localSheetId="22" hidden="1">#REF!</definedName>
    <definedName name="XRefPaste99Row" localSheetId="23" hidden="1">#REF!</definedName>
    <definedName name="XRefPaste99Row" localSheetId="51" hidden="1">#REF!</definedName>
    <definedName name="XRefPaste99Row" hidden="1">#REF!</definedName>
    <definedName name="XRefPasteRangeCount" hidden="1">15</definedName>
    <definedName name="xx" hidden="1">{"summary1",#N/A,FALSE,"Summary of Values";"summary2",#N/A,FALSE,"Summary of Values"}</definedName>
    <definedName name="xx_1" hidden="1">{"summary1",#N/A,FALSE,"Summary of Values";"summary2",#N/A,FALSE,"Summary of Values"}</definedName>
    <definedName name="xx_1_1" hidden="1">{"summary1",#N/A,FALSE,"Summary of Values";"summary2",#N/A,FALSE,"Summary of Values"}</definedName>
    <definedName name="xxm合同付款清单_0703_" localSheetId="22">#REF!</definedName>
    <definedName name="xxm合同付款清单_0703_" localSheetId="23">#REF!</definedName>
    <definedName name="xxm合同付款清单_0703_">#REF!</definedName>
    <definedName name="xxx" hidden="1">{"developed valuation",#N/A,FALSE,"Valuation Analysis";"developed income statement",#N/A,FALSE,"Abbreviated Income Statement";"inprocess valuation",#N/A,FALSE,"Valuation Analysis";"inprocess income statement",#N/A,FALSE,"Abbreviated Income Statement"}</definedName>
    <definedName name="xxx_1" hidden="1">{"developed valuation",#N/A,FALSE,"Valuation Analysis";"developed income statement",#N/A,FALSE,"Abbreviated Income Statement";"inprocess valuation",#N/A,FALSE,"Valuation Analysis";"inprocess income statement",#N/A,FALSE,"Abbreviated Income Statement"}</definedName>
    <definedName name="xxx_1_1" hidden="1">{"developed valuation",#N/A,FALSE,"Valuation Analysis";"developed income statement",#N/A,FALSE,"Abbreviated Income Statement";"inprocess valuation",#N/A,FALSE,"Valuation Analysis";"inprocess income statement",#N/A,FALSE,"Abbreviated Income Statement"}</definedName>
    <definedName name="xxxx" hidden="1">{"CSheet",#N/A,FALSE,"C";"SmCap",#N/A,FALSE,"VAL1";"GulfCoast",#N/A,FALSE,"VAL1";"nav",#N/A,FALSE,"NAV";"Summary",#N/A,FALSE,"NAV"}</definedName>
    <definedName name="xxxx_1" hidden="1">{"CSheet",#N/A,FALSE,"C";"SmCap",#N/A,FALSE,"VAL1";"GulfCoast",#N/A,FALSE,"VAL1";"nav",#N/A,FALSE,"NAV";"Summary",#N/A,FALSE,"NAV"}</definedName>
    <definedName name="xxxx_1_1" hidden="1">{"CSheet",#N/A,FALSE,"C";"SmCap",#N/A,FALSE,"VAL1";"GulfCoast",#N/A,FALSE,"VAL1";"nav",#N/A,FALSE,"NAV";"Summary",#N/A,FALSE,"NAV"}</definedName>
    <definedName name="xxxx1" hidden="1">{#N/A,#N/A,TRUE,"Funnel";#N/A,#N/A,TRUE,"FunnelMatrix"}</definedName>
    <definedName name="xxxx2" hidden="1">{#N/A,#N/A,TRUE,"Funnel";#N/A,#N/A,TRUE,"FunnelMatrix"}</definedName>
    <definedName name="xxxxx" hidden="1">{"Total",#N/A,FALSE,"Total Proved";"PDP",#N/A,FALSE,"Total Proved";"PNP",#N/A,FALSE,"Total Proved";"PUD",#N/A,FALSE,"Total Proved"}</definedName>
    <definedName name="xxxxx_1" hidden="1">{"Total",#N/A,FALSE,"Total Proved";"PDP",#N/A,FALSE,"Total Proved";"PNP",#N/A,FALSE,"Total Proved";"PUD",#N/A,FALSE,"Total Proved"}</definedName>
    <definedName name="xxxxx_1_1" hidden="1">{"Total",#N/A,FALSE,"Total Proved";"PDP",#N/A,FALSE,"Total Proved";"PNP",#N/A,FALSE,"Total Proved";"PUD",#N/A,FALSE,"Total Proved"}</definedName>
    <definedName name="xxxxxx" hidden="1">{"Total",#N/A,FALSE,"Total Proved + Probable";"PDP",#N/A,FALSE,"Total Proved + Probable";"PNP",#N/A,FALSE,"Total Proved + Probable";"PUD",#N/A,FALSE,"Total Proved + Probable";"Prob",#N/A,FALSE,"Total Proved + Probable"}</definedName>
    <definedName name="xxxxxx_1" hidden="1">{"Total",#N/A,FALSE,"Total Proved + Probable";"PDP",#N/A,FALSE,"Total Proved + Probable";"PNP",#N/A,FALSE,"Total Proved + Probable";"PUD",#N/A,FALSE,"Total Proved + Probable";"Prob",#N/A,FALSE,"Total Proved + Probable"}</definedName>
    <definedName name="xxxxxx_1_1" hidden="1">{"Total",#N/A,FALSE,"Total Proved + Probable";"PDP",#N/A,FALSE,"Total Proved + Probable";"PNP",#N/A,FALSE,"Total Proved + Probable";"PUD",#N/A,FALSE,"Total Proved + Probable";"Prob",#N/A,FALSE,"Total Proved + Probable"}</definedName>
    <definedName name="xxxxxxx" hidden="1">{"trademark1",#N/A,FALSE,"Trademark(s) and Trade Name(s)"}</definedName>
    <definedName name="xxxxxxx_1" hidden="1">{"trademark1",#N/A,FALSE,"Trademark(s) and Trade Name(s)"}</definedName>
    <definedName name="xxxxxxx_1_1" hidden="1">{"trademark1",#N/A,FALSE,"Trademark(s) and Trade Name(s)"}</definedName>
    <definedName name="xxxxxxxx" hidden="1">{"histincome",#N/A,FALSE,"hyfins";"closing balance",#N/A,FALSE,"hyfins"}</definedName>
    <definedName name="xxxxxxxx_1" hidden="1">{"histincome",#N/A,FALSE,"hyfins";"closing balance",#N/A,FALSE,"hyfins"}</definedName>
    <definedName name="xxxxxxxx_1_1" hidden="1">{"histincome",#N/A,FALSE,"hyfins";"closing balance",#N/A,FALSE,"hyfins"}</definedName>
    <definedName name="xyz" hidden="1">{"histincome",#N/A,FALSE,"hyfins";"closing balance",#N/A,FALSE,"hyfins"}</definedName>
    <definedName name="xyz_1" hidden="1">{"histincome",#N/A,FALSE,"hyfins";"closing balance",#N/A,FALSE,"hyfins"}</definedName>
    <definedName name="xyz_1_1" hidden="1">{"histincome",#N/A,FALSE,"hyfins";"closing balance",#N/A,FALSE,"hyfins"}</definedName>
    <definedName name="Y" localSheetId="22" hidden="1">#REF!</definedName>
    <definedName name="Y" localSheetId="23" hidden="1">#REF!</definedName>
    <definedName name="Y" localSheetId="51" hidden="1">#REF!</definedName>
    <definedName name="Y" hidden="1">#REF!</definedName>
    <definedName name="YB" localSheetId="22">#REF!</definedName>
    <definedName name="YB" localSheetId="23">#REF!</definedName>
    <definedName name="YB" localSheetId="51">#REF!</definedName>
    <definedName name="YB">#REF!</definedName>
    <definedName name="year" localSheetId="22">#REF!</definedName>
    <definedName name="year" localSheetId="23">#REF!</definedName>
    <definedName name="year">#REF!</definedName>
    <definedName name="Year_Of__Assessment_2003" localSheetId="22">'结果表 (1)'!year</definedName>
    <definedName name="Year_Of__Assessment_2003" localSheetId="23">'结果表 (2) '!year</definedName>
    <definedName name="Year_Of__Assessment_2003">year</definedName>
    <definedName name="Year1" localSheetId="22">#REF!</definedName>
    <definedName name="Year1" localSheetId="23">#REF!</definedName>
    <definedName name="Year1" localSheetId="51">#REF!</definedName>
    <definedName name="Year1">#REF!</definedName>
    <definedName name="Year2" localSheetId="22">#REF!</definedName>
    <definedName name="Year2" localSheetId="23">#REF!</definedName>
    <definedName name="Year2" localSheetId="51">#REF!</definedName>
    <definedName name="Year2">#REF!</definedName>
    <definedName name="Year3" localSheetId="22">#REF!</definedName>
    <definedName name="Year3" localSheetId="23">#REF!</definedName>
    <definedName name="Year3" localSheetId="51">#REF!</definedName>
    <definedName name="Year3">#REF!</definedName>
    <definedName name="YearRange" localSheetId="22">#REF!</definedName>
    <definedName name="YearRange" localSheetId="23">#REF!</definedName>
    <definedName name="YearRange" localSheetId="51">#REF!</definedName>
    <definedName name="YearRange">#REF!</definedName>
    <definedName name="yf" localSheetId="22">#REF!</definedName>
    <definedName name="yf" localSheetId="23">#REF!</definedName>
    <definedName name="yf" localSheetId="51">#REF!</definedName>
    <definedName name="yf">#REF!</definedName>
    <definedName name="yjyjytyjety" localSheetId="22" hidden="1">#REF!</definedName>
    <definedName name="yjyjytyjety" localSheetId="23" hidden="1">#REF!</definedName>
    <definedName name="yjyjytyjety" localSheetId="51" hidden="1">#REF!</definedName>
    <definedName name="yjyjytyjety" hidden="1">#REF!</definedName>
    <definedName name="yjyjyyyy" localSheetId="22" hidden="1">#REF!</definedName>
    <definedName name="yjyjyyyy" localSheetId="23" hidden="1">#REF!</definedName>
    <definedName name="yjyjyyyy" localSheetId="51" hidden="1">#REF!</definedName>
    <definedName name="yjyjyyyy" hidden="1">#REF!</definedName>
    <definedName name="youh" hidden="1">{#N/A,#N/A,FALSE,"AD_Purchase";#N/A,#N/A,FALSE,"Credit";#N/A,#N/A,FALSE,"PF Acquisition";#N/A,#N/A,FALSE,"PF Offering"}</definedName>
    <definedName name="youh_1" hidden="1">{#N/A,#N/A,FALSE,"AD_Purchase";#N/A,#N/A,FALSE,"Credit";#N/A,#N/A,FALSE,"PF Acquisition";#N/A,#N/A,FALSE,"PF Offering"}</definedName>
    <definedName name="youh_1_1" hidden="1">{#N/A,#N/A,FALSE,"AD_Purchase";#N/A,#N/A,FALSE,"Credit";#N/A,#N/A,FALSE,"PF Acquisition";#N/A,#N/A,FALSE,"PF Offering"}</definedName>
    <definedName name="yoyyiyyi" localSheetId="22" hidden="1">#REF!</definedName>
    <definedName name="yoyyiyyi" localSheetId="23" hidden="1">#REF!</definedName>
    <definedName name="yoyyiyyi" localSheetId="51" hidden="1">#REF!</definedName>
    <definedName name="yoyyiyyi" hidden="1">#REF!</definedName>
    <definedName name="YQ_HTBH" localSheetId="22">#REF!&amp;IF(AND(#REF!="",#REF!=""),"","-")&amp;IF(AND(#REF!&lt;&gt;"",#REF!&lt;&gt;""),#REF!&amp;"-"&amp;#REF!,IF(#REF!="",#REF!,#REF!))</definedName>
    <definedName name="YQ_HTBH" localSheetId="23">#REF!&amp;IF(AND(#REF!="",#REF!=""),"","-")&amp;IF(AND(#REF!&lt;&gt;"",#REF!&lt;&gt;""),#REF!&amp;"-"&amp;#REF!,IF(#REF!="",#REF!,#REF!))</definedName>
    <definedName name="YQ_HTBH">#REF!&amp;IF(AND(#REF!="",#REF!=""),"","-")&amp;IF(AND(#REF!&lt;&gt;"",#REF!&lt;&gt;""),#REF!&amp;"-"&amp;#REF!,IF(#REF!="",#REF!,#REF!))</definedName>
    <definedName name="YRH" localSheetId="22">#REF!</definedName>
    <definedName name="YRH" localSheetId="23">#REF!</definedName>
    <definedName name="YRH" localSheetId="51">#REF!</definedName>
    <definedName name="YRH">#REF!</definedName>
    <definedName name="ys" localSheetId="22">#REF!</definedName>
    <definedName name="ys" localSheetId="23">#REF!</definedName>
    <definedName name="ys" localSheetId="51">#REF!</definedName>
    <definedName name="ys">#REF!</definedName>
    <definedName name="yukfjfghkdhgjhdggdj" localSheetId="22" hidden="1">#REF!</definedName>
    <definedName name="yukfjfghkdhgjhdggdj" localSheetId="23" hidden="1">#REF!</definedName>
    <definedName name="yukfjfghkdhgjhdggdj" localSheetId="51" hidden="1">#REF!</definedName>
    <definedName name="yukfjfghkdhgjhdggdj" hidden="1">#REF!</definedName>
    <definedName name="yy" hidden="1">{#N/A,#N/A,TRUE,"Acquirer_Cases_Input";#N/A,#N/A,TRUE,"Acquirer_Input";#N/A,#N/A,TRUE,"Acquirer"}</definedName>
    <definedName name="yy_1" hidden="1">{#N/A,#N/A,TRUE,"Acquirer_Cases_Input";#N/A,#N/A,TRUE,"Acquirer_Input";#N/A,#N/A,TRUE,"Acquirer"}</definedName>
    <definedName name="yy_1_1" hidden="1">{#N/A,#N/A,TRUE,"Acquirer_Cases_Input";#N/A,#N/A,TRUE,"Acquirer_Input";#N/A,#N/A,TRUE,"Acquirer"}</definedName>
    <definedName name="yyy" hidden="1">{#N/A,#N/A,TRUE,"Fiber_Optic_Cable_Input ";#N/A,#N/A,TRUE,"Specialty_Fiber_Devices_Input";#N/A,#N/A,TRUE,"Optical_Fiber_Apparatus_Input"}</definedName>
    <definedName name="yyy_1" hidden="1">{#N/A,#N/A,TRUE,"Fiber_Optic_Cable_Input ";#N/A,#N/A,TRUE,"Specialty_Fiber_Devices_Input";#N/A,#N/A,TRUE,"Optical_Fiber_Apparatus_Input"}</definedName>
    <definedName name="yyy_1_1" hidden="1">{#N/A,#N/A,TRUE,"Fiber_Optic_Cable_Input ";#N/A,#N/A,TRUE,"Specialty_Fiber_Devices_Input";#N/A,#N/A,TRUE,"Optical_Fiber_Apparatus_Input"}</definedName>
    <definedName name="yyyyy"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Z" localSheetId="22" hidden="1">#REF!</definedName>
    <definedName name="Z" localSheetId="23" hidden="1">#REF!</definedName>
    <definedName name="Z" localSheetId="51" hidden="1">#REF!</definedName>
    <definedName name="Z" hidden="1">#REF!</definedName>
    <definedName name="z_1" hidden="1">{"CSheet",#N/A,FALSE,"C";"SmCap",#N/A,FALSE,"VAL1";"GulfCoast",#N/A,FALSE,"VAL1";"nav",#N/A,FALSE,"NAV";"Summary",#N/A,FALSE,"NAV"}</definedName>
    <definedName name="z_1_1" hidden="1">{"CSheet",#N/A,FALSE,"C";"SmCap",#N/A,FALSE,"VAL1";"GulfCoast",#N/A,FALSE,"VAL1";"nav",#N/A,FALSE,"NAV";"Summary",#N/A,FALSE,"NAV"}</definedName>
    <definedName name="Z_47D4C474_81EA_4562_A03B_66488F80C527_.wvu.FilterData" localSheetId="22" hidden="1">#REF!</definedName>
    <definedName name="Z_47D4C474_81EA_4562_A03B_66488F80C527_.wvu.FilterData" localSheetId="23" hidden="1">#REF!</definedName>
    <definedName name="Z_47D4C474_81EA_4562_A03B_66488F80C527_.wvu.FilterData" localSheetId="51" hidden="1">#REF!</definedName>
    <definedName name="Z_47D4C474_81EA_4562_A03B_66488F80C527_.wvu.FilterData" hidden="1">#REF!</definedName>
    <definedName name="Z_69236D49_722D_40B7_A111_ABD2A8204911_.wvu.PrintTitles" localSheetId="22" hidden="1">#REF!</definedName>
    <definedName name="Z_69236D49_722D_40B7_A111_ABD2A8204911_.wvu.PrintTitles" localSheetId="23" hidden="1">#REF!</definedName>
    <definedName name="Z_69236D49_722D_40B7_A111_ABD2A8204911_.wvu.PrintTitles" localSheetId="51" hidden="1">#REF!</definedName>
    <definedName name="Z_69236D49_722D_40B7_A111_ABD2A8204911_.wvu.PrintTitles" hidden="1">#REF!</definedName>
    <definedName name="Z_69236D49_722D_40B7_A111_ABD2A8204911_.wvu.Rows" localSheetId="22" hidden="1">#REF!,#REF!</definedName>
    <definedName name="Z_69236D49_722D_40B7_A111_ABD2A8204911_.wvu.Rows" localSheetId="23" hidden="1">#REF!,#REF!</definedName>
    <definedName name="Z_69236D49_722D_40B7_A111_ABD2A8204911_.wvu.Rows" localSheetId="51" hidden="1">#REF!,#REF!</definedName>
    <definedName name="Z_69236D49_722D_40B7_A111_ABD2A8204911_.wvu.Rows" hidden="1">#REF!,#REF!</definedName>
    <definedName name="Z_85E7D15F_9559_4B54_A2EE_DCCECE011EC4_.wvu.Cols" localSheetId="22" hidden="1">#REF!</definedName>
    <definedName name="Z_85E7D15F_9559_4B54_A2EE_DCCECE011EC4_.wvu.Cols" localSheetId="23" hidden="1">#REF!</definedName>
    <definedName name="Z_85E7D15F_9559_4B54_A2EE_DCCECE011EC4_.wvu.Cols" localSheetId="51" hidden="1">#REF!</definedName>
    <definedName name="Z_85E7D15F_9559_4B54_A2EE_DCCECE011EC4_.wvu.Cols" hidden="1">#REF!</definedName>
    <definedName name="Z_8DFF34A6_717E_47BE_B868_D1681DBE72CD_.wvu.Cols" localSheetId="22" hidden="1">#REF!</definedName>
    <definedName name="Z_8DFF34A6_717E_47BE_B868_D1681DBE72CD_.wvu.Cols" localSheetId="23" hidden="1">#REF!</definedName>
    <definedName name="Z_8DFF34A6_717E_47BE_B868_D1681DBE72CD_.wvu.Cols" localSheetId="51" hidden="1">#REF!</definedName>
    <definedName name="Z_8DFF34A6_717E_47BE_B868_D1681DBE72CD_.wvu.Cols" hidden="1">#REF!</definedName>
    <definedName name="Z_B8A42129_8AFC_4C88_A4BF_631F42E72A3A_.wvu.Cols" localSheetId="22" hidden="1">#REF!,#REF!,#REF!,#REF!,#REF!</definedName>
    <definedName name="Z_B8A42129_8AFC_4C88_A4BF_631F42E72A3A_.wvu.Cols" localSheetId="23" hidden="1">#REF!,#REF!,#REF!,#REF!,#REF!</definedName>
    <definedName name="Z_B8A42129_8AFC_4C88_A4BF_631F42E72A3A_.wvu.Cols" localSheetId="51" hidden="1">#REF!,#REF!,#REF!,#REF!,#REF!</definedName>
    <definedName name="Z_B8A42129_8AFC_4C88_A4BF_631F42E72A3A_.wvu.Cols" hidden="1">#REF!,#REF!,#REF!,#REF!,#REF!</definedName>
    <definedName name="Z_E738B51C_56AE_4F9F_8D8A_36AD6137B90D_.wvu.Cols" localSheetId="22" hidden="1">#REF!</definedName>
    <definedName name="Z_E738B51C_56AE_4F9F_8D8A_36AD6137B90D_.wvu.Cols" localSheetId="23" hidden="1">#REF!</definedName>
    <definedName name="Z_E738B51C_56AE_4F9F_8D8A_36AD6137B90D_.wvu.Cols" localSheetId="51" hidden="1">#REF!</definedName>
    <definedName name="Z_E738B51C_56AE_4F9F_8D8A_36AD6137B90D_.wvu.Cols" hidden="1">#REF!</definedName>
    <definedName name="Z_E738B51C_56AE_4F9F_8D8A_36AD6137B90D_.wvu.PrintArea" localSheetId="22" hidden="1">#REF!</definedName>
    <definedName name="Z_E738B51C_56AE_4F9F_8D8A_36AD6137B90D_.wvu.PrintArea" localSheetId="23" hidden="1">#REF!</definedName>
    <definedName name="Z_E738B51C_56AE_4F9F_8D8A_36AD6137B90D_.wvu.PrintArea" localSheetId="51" hidden="1">#REF!</definedName>
    <definedName name="Z_E738B51C_56AE_4F9F_8D8A_36AD6137B90D_.wvu.PrintArea" hidden="1">#REF!</definedName>
    <definedName name="Z_E738B51C_56AE_4F9F_8D8A_36AD6137B90D_.wvu.PrintTitles" localSheetId="22" hidden="1">#REF!,#REF!</definedName>
    <definedName name="Z_E738B51C_56AE_4F9F_8D8A_36AD6137B90D_.wvu.PrintTitles" localSheetId="23" hidden="1">#REF!,#REF!</definedName>
    <definedName name="Z_E738B51C_56AE_4F9F_8D8A_36AD6137B90D_.wvu.PrintTitles" localSheetId="51" hidden="1">#REF!,#REF!</definedName>
    <definedName name="Z_E738B51C_56AE_4F9F_8D8A_36AD6137B90D_.wvu.PrintTitles" hidden="1">#REF!,#REF!</definedName>
    <definedName name="Z_E738B51C_56AE_4F9F_8D8A_36AD6137B90D_.wvu.Rows" localSheetId="22" hidden="1">#REF!</definedName>
    <definedName name="Z_E738B51C_56AE_4F9F_8D8A_36AD6137B90D_.wvu.Rows" localSheetId="23" hidden="1">#REF!</definedName>
    <definedName name="Z_E738B51C_56AE_4F9F_8D8A_36AD6137B90D_.wvu.Rows" localSheetId="51" hidden="1">#REF!</definedName>
    <definedName name="Z_E738B51C_56AE_4F9F_8D8A_36AD6137B90D_.wvu.Rows" hidden="1">#REF!</definedName>
    <definedName name="zczczz" localSheetId="22" hidden="1">#REF!</definedName>
    <definedName name="zczczz" localSheetId="23" hidden="1">#REF!</definedName>
    <definedName name="zczczz" localSheetId="51" hidden="1">#REF!</definedName>
    <definedName name="zczczz" hidden="1">#REF!</definedName>
    <definedName name="zdf" hidden="1">{#N/A,#N/A,TRUE,"Falcons_Standalone";#N/A,#N/A,TRUE,"Target_Input";#N/A,#N/A,TRUE,"Target_Calendarized"}</definedName>
    <definedName name="zdf_1" hidden="1">{#N/A,#N/A,TRUE,"Falcons_Standalone";#N/A,#N/A,TRUE,"Target_Input";#N/A,#N/A,TRUE,"Target_Calendarized"}</definedName>
    <definedName name="zdf_1_1" hidden="1">{#N/A,#N/A,TRUE,"Falcons_Standalone";#N/A,#N/A,TRUE,"Target_Input";#N/A,#N/A,TRUE,"Target_Calendarized"}</definedName>
    <definedName name="zz" hidden="1">{"summary1",#N/A,FALSE,"Summary of Values";"summary2",#N/A,FALSE,"Summary of Values";"weighted average returns",#N/A,FALSE,"WACC and WARA";"fixed asset detail",#N/A,FALSE,"Fixed Asset Detail"}</definedName>
    <definedName name="zz_1" hidden="1">{"summary1",#N/A,FALSE,"Summary of Values";"summary2",#N/A,FALSE,"Summary of Values";"weighted average returns",#N/A,FALSE,"WACC and WARA";"fixed asset detail",#N/A,FALSE,"Fixed Asset Detail"}</definedName>
    <definedName name="zz_1_1" hidden="1">{"summary1",#N/A,FALSE,"Summary of Values";"summary2",#N/A,FALSE,"Summary of Values";"weighted average returns",#N/A,FALSE,"WACC and WARA";"fixed asset detail",#N/A,FALSE,"Fixed Asset Detail"}</definedName>
    <definedName name="zzz" hidden="1">{#N/A,#N/A,TRUE,"GEM Total";#N/A,#N/A,TRUE,"Final Assembly";#N/A,#N/A,TRUE,"Cleaning";#N/A,#N/A,TRUE,"Schooping,Clearing";#N/A,#N/A,TRUE,"Winding"}</definedName>
    <definedName name="zzz.." hidden="1">{#N/A,#N/A,TRUE,"GEM Total";#N/A,#N/A,TRUE,"Final Assembly";#N/A,#N/A,TRUE,"Cleaning";#N/A,#N/A,TRUE,"Schooping,Clearing";#N/A,#N/A,TRUE,"Winding"}</definedName>
    <definedName name="zzz.._1" hidden="1">{#N/A,#N/A,TRUE,"GEM Total";#N/A,#N/A,TRUE,"Final Assembly";#N/A,#N/A,TRUE,"Cleaning";#N/A,#N/A,TRUE,"Schooping,Clearing";#N/A,#N/A,TRUE,"Winding"}</definedName>
    <definedName name="zzz.._1_1" hidden="1">{#N/A,#N/A,TRUE,"GEM Total";#N/A,#N/A,TRUE,"Final Assembly";#N/A,#N/A,TRUE,"Cleaning";#N/A,#N/A,TRUE,"Schooping,Clearing";#N/A,#N/A,TRUE,"Winding"}</definedName>
    <definedName name="zzz_1" hidden="1">{#N/A,#N/A,TRUE,"GEM Total";#N/A,#N/A,TRUE,"Final Assembly";#N/A,#N/A,TRUE,"Cleaning";#N/A,#N/A,TRUE,"Schooping,Clearing";#N/A,#N/A,TRUE,"Winding"}</definedName>
    <definedName name="zzz_1_1" hidden="1">{#N/A,#N/A,TRUE,"GEM Total";#N/A,#N/A,TRUE,"Final Assembly";#N/A,#N/A,TRUE,"Cleaning";#N/A,#N/A,TRUE,"Schooping,Clearing";#N/A,#N/A,TRUE,"Winding"}</definedName>
    <definedName name="zzzz" hidden="1">{#N/A,#N/A,FALSE,"431"}</definedName>
    <definedName name="zzzzzzzz" localSheetId="22" hidden="1">#REF!</definedName>
    <definedName name="zzzzzzzz" localSheetId="23" hidden="1">#REF!</definedName>
    <definedName name="zzzzzzzz" localSheetId="51" hidden="1">#REF!</definedName>
    <definedName name="zzzzzzzz" hidden="1">#REF!</definedName>
    <definedName name="㌦ﾚｰﾄ" localSheetId="22">#REF!</definedName>
    <definedName name="㌦ﾚｰﾄ" localSheetId="23">#REF!</definedName>
    <definedName name="㌦ﾚｰﾄ">#REF!</definedName>
    <definedName name="가나" localSheetId="22">[0]!JEPUMS*!H14:XEY1048565</definedName>
    <definedName name="가나" localSheetId="23">[0]!JEPUMS*!H14:XEY1048565</definedName>
    <definedName name="가나">[0]!JEPUMS*!H14:XEY1048565</definedName>
    <definedName name="啊" localSheetId="22">#REF!</definedName>
    <definedName name="啊" localSheetId="23">#REF!</definedName>
    <definedName name="啊" localSheetId="51">#REF!</definedName>
    <definedName name="啊">#REF!</definedName>
    <definedName name="啊啊" localSheetId="22" hidden="1">#REF!</definedName>
    <definedName name="啊啊" localSheetId="23" hidden="1">#REF!</definedName>
    <definedName name="啊啊" hidden="1">#REF!</definedName>
    <definedName name="八级">区片价!$O$1:$O$40</definedName>
    <definedName name="把" hidden="1">{#N/A,#N/A,FALSE,"Virgin Flightdeck"}</definedName>
    <definedName name="把_1" hidden="1">{#N/A,#N/A,FALSE,"Virgin Flightdeck"}</definedName>
    <definedName name="把_1_1" hidden="1">{#N/A,#N/A,FALSE,"Virgin Flightdeck"}</definedName>
    <definedName name="공간" hidden="1">5</definedName>
    <definedName name="공기구" localSheetId="22">[0]!JEPUMS*!H14:XEY1048565</definedName>
    <definedName name="공기구" localSheetId="23">[0]!JEPUMS*!H14:XEY1048565</definedName>
    <definedName name="공기구">[0]!JEPUMS*!H14:XEY1048565</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办增1" localSheetId="22">#REF!</definedName>
    <definedName name="办增1" localSheetId="23">#REF!</definedName>
    <definedName name="办增1">#REF!</definedName>
    <definedName name="办增10" localSheetId="22">#REF!</definedName>
    <definedName name="办增10" localSheetId="23">#REF!</definedName>
    <definedName name="办增10">#REF!</definedName>
    <definedName name="办增2" localSheetId="22">#REF!</definedName>
    <definedName name="办增2" localSheetId="23">#REF!</definedName>
    <definedName name="办增2">#REF!</definedName>
    <definedName name="办增3" localSheetId="22">#REF!</definedName>
    <definedName name="办增3" localSheetId="23">#REF!</definedName>
    <definedName name="办增3">#REF!</definedName>
    <definedName name="办增4" localSheetId="22">#REF!</definedName>
    <definedName name="办增4" localSheetId="23">#REF!</definedName>
    <definedName name="办增4">#REF!</definedName>
    <definedName name="办增5" localSheetId="22">#REF!</definedName>
    <definedName name="办增5" localSheetId="23">#REF!</definedName>
    <definedName name="办增5">#REF!</definedName>
    <definedName name="办增6" localSheetId="22">#REF!</definedName>
    <definedName name="办增6" localSheetId="23">#REF!</definedName>
    <definedName name="办增6">#REF!</definedName>
    <definedName name="办增7" localSheetId="22">#REF!</definedName>
    <definedName name="办增7" localSheetId="23">#REF!</definedName>
    <definedName name="办增7">#REF!</definedName>
    <definedName name="办增8" localSheetId="22">#REF!</definedName>
    <definedName name="办增8" localSheetId="23">#REF!</definedName>
    <definedName name="办增8">#REF!</definedName>
    <definedName name="办增9" localSheetId="22">#REF!</definedName>
    <definedName name="办增9" localSheetId="23">#REF!</definedName>
    <definedName name="办增9">#REF!</definedName>
    <definedName name="구조지수" localSheetId="22">#REF!</definedName>
    <definedName name="구조지수" localSheetId="23">#REF!</definedName>
    <definedName name="구조지수">#REF!</definedName>
    <definedName name="报表" localSheetId="22">#REF!</definedName>
    <definedName name="报表" localSheetId="23">#REF!</definedName>
    <definedName name="报表" localSheetId="51">#REF!</definedName>
    <definedName name="报表">#REF!</definedName>
    <definedName name="本年利润" localSheetId="22">#REF!</definedName>
    <definedName name="本年利润" localSheetId="23">#REF!</definedName>
    <definedName name="本年利润" localSheetId="51">#REF!</definedName>
    <definedName name="本年利润">#REF!</definedName>
    <definedName name="금융상거래출자비율" localSheetId="22">#REF!</definedName>
    <definedName name="금융상거래출자비율" localSheetId="23">#REF!</definedName>
    <definedName name="금융상거래출자비율">#REF!</definedName>
    <definedName name="금호채권" localSheetId="22">#REF!</definedName>
    <definedName name="금호채권" localSheetId="23">#REF!</definedName>
    <definedName name="금호채권">#REF!</definedName>
    <definedName name="比例" localSheetId="22">#REF!</definedName>
    <definedName name="比例" localSheetId="23">#REF!</definedName>
    <definedName name="比例">#REF!</definedName>
    <definedName name="编号" localSheetId="22">#REF!</definedName>
    <definedName name="编号" localSheetId="23">#REF!</definedName>
    <definedName name="编号">#REF!</definedName>
    <definedName name="编号2" localSheetId="22">#REF!</definedName>
    <definedName name="编号2" localSheetId="23">#REF!</definedName>
    <definedName name="编号2">#REF!</definedName>
    <definedName name="变动率" localSheetId="22">#REF!</definedName>
    <definedName name="变动率" localSheetId="23">#REF!</definedName>
    <definedName name="变动率">#REF!</definedName>
    <definedName name="标杆" localSheetId="22">#REF!</definedName>
    <definedName name="标杆" localSheetId="23">#REF!</definedName>
    <definedName name="标杆">#REF!</definedName>
    <definedName name="表p" localSheetId="22">#REF!</definedName>
    <definedName name="表p" localSheetId="23">#REF!</definedName>
    <definedName name="表p">#REF!</definedName>
    <definedName name="表头" localSheetId="22">#REF!,#REF!,#REF!,#REF!</definedName>
    <definedName name="表头" localSheetId="23">#REF!,#REF!,#REF!,#REF!</definedName>
    <definedName name="表头">#REF!,#REF!,#REF!,#REF!</definedName>
    <definedName name="别增1" localSheetId="22">#REF!</definedName>
    <definedName name="别增1" localSheetId="23">#REF!</definedName>
    <definedName name="别增1">#REF!</definedName>
    <definedName name="别增10" localSheetId="22">#REF!</definedName>
    <definedName name="别增10" localSheetId="23">#REF!</definedName>
    <definedName name="别增10">#REF!</definedName>
    <definedName name="别增2" localSheetId="22">#REF!</definedName>
    <definedName name="别增2" localSheetId="23">#REF!</definedName>
    <definedName name="别增2">#REF!</definedName>
    <definedName name="别增3" localSheetId="22">#REF!</definedName>
    <definedName name="别增3" localSheetId="23">#REF!</definedName>
    <definedName name="别增3">#REF!</definedName>
    <definedName name="别增4" localSheetId="22">#REF!</definedName>
    <definedName name="别增4" localSheetId="23">#REF!</definedName>
    <definedName name="别增4">#REF!</definedName>
    <definedName name="别增5" localSheetId="22">#REF!</definedName>
    <definedName name="别增5" localSheetId="23">#REF!</definedName>
    <definedName name="别增5">#REF!</definedName>
    <definedName name="别增6" localSheetId="22">#REF!</definedName>
    <definedName name="别增6" localSheetId="23">#REF!</definedName>
    <definedName name="别增6">#REF!</definedName>
    <definedName name="别增7" localSheetId="22">#REF!</definedName>
    <definedName name="别增7" localSheetId="23">#REF!</definedName>
    <definedName name="别增7">#REF!</definedName>
    <definedName name="别增8" localSheetId="22">#REF!</definedName>
    <definedName name="别增8" localSheetId="23">#REF!</definedName>
    <definedName name="别增8">#REF!</definedName>
    <definedName name="别增9" localSheetId="22">#REF!</definedName>
    <definedName name="别增9" localSheetId="23">#REF!</definedName>
    <definedName name="别增9">#REF!</definedName>
    <definedName name="部门" localSheetId="22">#REF!</definedName>
    <definedName name="部门" localSheetId="23">#REF!</definedName>
    <definedName name="部门">#REF!</definedName>
    <definedName name="财务费用" localSheetId="22">#REF!</definedName>
    <definedName name="财务费用" localSheetId="23">#REF!</definedName>
    <definedName name="财务费用" localSheetId="51">#REF!</definedName>
    <definedName name="财务费用">#REF!</definedName>
    <definedName name="财务费用费率" localSheetId="22">#REF!</definedName>
    <definedName name="财务费用费率" localSheetId="23">#REF!</definedName>
    <definedName name="财务费用费率">#REF!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ㄴㄹㅇㄹㅇㄴ" hidden="1">{#N/A,#N/A,FALSE,"Aging Summary";#N/A,#N/A,FALSE,"Ratio Analysis";#N/A,#N/A,FALSE,"Test 120 Day Accts";#N/A,#N/A,FALSE,"Tickmarks"}</definedName>
    <definedName name="나도몰라" localSheetId="22">#REF!</definedName>
    <definedName name="나도몰라" localSheetId="23">#REF!</definedName>
    <definedName name="나도몰라">#REF!</definedName>
    <definedName name="拆迁费用" localSheetId="22">#REF!</definedName>
    <definedName name="拆迁费用" localSheetId="23">#REF!</definedName>
    <definedName name="拆迁费用">#REF!</definedName>
    <definedName name="产业集聚程度">定义!$N$1:$N$6</definedName>
    <definedName name="长期借款" localSheetId="22">#REF!</definedName>
    <definedName name="长期借款" localSheetId="23">#REF!</definedName>
    <definedName name="长期借款" localSheetId="51">#REF!</definedName>
    <definedName name="长期借款">#REF!</definedName>
    <definedName name="长期投资" localSheetId="22">#REF!</definedName>
    <definedName name="长期投资" localSheetId="23">#REF!</definedName>
    <definedName name="长期投资" localSheetId="51">#REF!</definedName>
    <definedName name="长期投资">#REF!</definedName>
    <definedName name="长期应付款" localSheetId="22">#REF!</definedName>
    <definedName name="长期应付款" localSheetId="23">#REF!</definedName>
    <definedName name="长期应付款" localSheetId="51">#REF!</definedName>
    <definedName name="长期应付款">#REF!</definedName>
    <definedName name="償却単価" localSheetId="22">#REF!</definedName>
    <definedName name="償却単価" localSheetId="23">#REF!</definedName>
    <definedName name="償却単価">#REF!</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成本变动率" localSheetId="22">#REF!</definedName>
    <definedName name="成本变动率" localSheetId="23">#REF!</definedName>
    <definedName name="成本变动率">#REF!</definedName>
    <definedName name="成本差" localSheetId="22" hidden="1">#REF!</definedName>
    <definedName name="成本差" localSheetId="23" hidden="1">#REF!</definedName>
    <definedName name="成本差" localSheetId="51" hidden="1">#REF!</definedName>
    <definedName name="成本差" hidden="1">#REF!</definedName>
    <definedName name="成本科目" localSheetId="22">#REF!</definedName>
    <definedName name="成本科目" localSheetId="23">#REF!</definedName>
    <definedName name="成本科目">#REF!</definedName>
    <definedName name="城建税" localSheetId="22">#REF!</definedName>
    <definedName name="城建税" localSheetId="23">#REF!</definedName>
    <definedName name="城建税">#REF!</definedName>
    <definedName name="城镇土地纳税等级分级范围">'数据-取费表'!$A$53:$A$63</definedName>
    <definedName name="ㄷㄷ"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筹建期间汇兑收益" localSheetId="22">#REF!</definedName>
    <definedName name="筹建期间汇兑收益" localSheetId="23">#REF!</definedName>
    <definedName name="筹建期间汇兑收益" localSheetId="51">#REF!</definedName>
    <definedName name="筹建期间汇兑收益">#REF!</definedName>
    <definedName name="筹建期间汇兑损失" localSheetId="22">#REF!</definedName>
    <definedName name="筹建期间汇兑损失" localSheetId="23">#REF!</definedName>
    <definedName name="筹建期间汇兑损失" localSheetId="51">#REF!</definedName>
    <definedName name="筹建期间汇兑损失">#REF!</definedName>
    <definedName name="出口成本" localSheetId="22">#REF!</definedName>
    <definedName name="出口成本" localSheetId="23">#REF!</definedName>
    <definedName name="出口成本" localSheetId="51">#REF!</definedName>
    <definedName name="出口成本">#REF!</definedName>
    <definedName name="出口收入" localSheetId="22">#REF!</definedName>
    <definedName name="出口收入" localSheetId="23">#REF!</definedName>
    <definedName name="出口收入" localSheetId="51">#REF!</definedName>
    <definedName name="出口收入">#REF!</definedName>
    <definedName name="初期１" localSheetId="22">#REF!</definedName>
    <definedName name="初期１" localSheetId="23">#REF!</definedName>
    <definedName name="初期１">#REF!</definedName>
    <definedName name="初期２" localSheetId="22">#REF!</definedName>
    <definedName name="初期２" localSheetId="23">#REF!</definedName>
    <definedName name="初期２">#REF!</definedName>
    <definedName name="初期３" localSheetId="22">#REF!</definedName>
    <definedName name="初期３" localSheetId="23">#REF!</definedName>
    <definedName name="初期３">#REF!</definedName>
    <definedName name="初期４" localSheetId="22">#REF!</definedName>
    <definedName name="初期４" localSheetId="23">#REF!</definedName>
    <definedName name="初期４">#REF!</definedName>
    <definedName name="도서" localSheetId="22">#REF!</definedName>
    <definedName name="도서" localSheetId="23">#REF!</definedName>
    <definedName name="도서">#REF!</definedName>
    <definedName name="存货" localSheetId="22">#REF!</definedName>
    <definedName name="存货" localSheetId="23">#REF!</definedName>
    <definedName name="存货" localSheetId="51">#REF!</definedName>
    <definedName name="存货">#REF!</definedName>
    <definedName name="存货变现损失准备" localSheetId="22">#REF!</definedName>
    <definedName name="存货变现损失准备" localSheetId="23">#REF!</definedName>
    <definedName name="存货变现损失准备" localSheetId="51">#REF!</definedName>
    <definedName name="存货变现损失准备">#REF!</definedName>
    <definedName name="大配套费" localSheetId="22">#REF!</definedName>
    <definedName name="大配套费" localSheetId="23">#REF!</definedName>
    <definedName name="大配套费">#REF!</definedName>
    <definedName name="待处理固定资产净损失" localSheetId="22">#REF!</definedName>
    <definedName name="待处理固定资产净损失" localSheetId="23">#REF!</definedName>
    <definedName name="待处理固定资产净损失" localSheetId="51">#REF!</definedName>
    <definedName name="待处理固定资产净损失">#REF!</definedName>
    <definedName name="待处理流动资产净损失" localSheetId="22">#REF!</definedName>
    <definedName name="待处理流动资产净损失" localSheetId="23">#REF!</definedName>
    <definedName name="待处理流动资产净损失" localSheetId="51">#REF!</definedName>
    <definedName name="待处理流动资产净损失">#REF!</definedName>
    <definedName name="待摊费用" localSheetId="22">#REF!</definedName>
    <definedName name="待摊费用" localSheetId="23">#REF!</definedName>
    <definedName name="待摊费用" localSheetId="51">#REF!</definedName>
    <definedName name="待摊费用">#REF!</definedName>
    <definedName name="待转销汇兑收益" localSheetId="22">#REF!</definedName>
    <definedName name="待转销汇兑收益" localSheetId="23">#REF!</definedName>
    <definedName name="待转销汇兑收益" localSheetId="51">#REF!</definedName>
    <definedName name="待转销汇兑收益">#REF!</definedName>
    <definedName name="贷款印花税" localSheetId="22">#REF!</definedName>
    <definedName name="贷款印花税" localSheetId="23">#REF!</definedName>
    <definedName name="贷款印花税">#REF!</definedName>
    <definedName name="贷款营业税" localSheetId="22">#REF!</definedName>
    <definedName name="贷款营业税" localSheetId="23">#REF!</definedName>
    <definedName name="贷款营业税">#REF!</definedName>
    <definedName name="单价内涵">定义!$V$1:$V$3</definedName>
    <definedName name="当前明细帐" localSheetId="22">#REF!</definedName>
    <definedName name="当前明细帐" localSheetId="23">#REF!</definedName>
    <definedName name="当前明细帐">#REF!</definedName>
    <definedName name="堤围费" localSheetId="22">#REF!</definedName>
    <definedName name="堤围费" localSheetId="23">#REF!</definedName>
    <definedName name="堤围费">#REF!</definedName>
    <definedName name="地对地导弹" localSheetId="22">#REF!</definedName>
    <definedName name="地对地导弹" localSheetId="23">#REF!</definedName>
    <definedName name="地对地导弹">#REF!</definedName>
    <definedName name="地类判定">定义!$H$1:$H$9</definedName>
    <definedName name="地下室总建面" localSheetId="22">#REF!</definedName>
    <definedName name="地下室总建面" localSheetId="23">#REF!</definedName>
    <definedName name="地下室总建面">#REF!</definedName>
    <definedName name="递延税款贷项" localSheetId="22">#REF!</definedName>
    <definedName name="递延税款贷项" localSheetId="23">#REF!</definedName>
    <definedName name="递延税款贷项" localSheetId="51">#REF!</definedName>
    <definedName name="递延税款贷项">#REF!</definedName>
    <definedName name="递延税款借项" localSheetId="22">#REF!</definedName>
    <definedName name="递延税款借项" localSheetId="23">#REF!</definedName>
    <definedName name="递延税款借项" localSheetId="51">#REF!</definedName>
    <definedName name="递延税款借项">#REF!</definedName>
    <definedName name="递延投资收益" localSheetId="22">#REF!</definedName>
    <definedName name="递延投资收益" localSheetId="23">#REF!</definedName>
    <definedName name="递延投资收益" localSheetId="51">#REF!</definedName>
    <definedName name="递延投资收益">#REF!</definedName>
    <definedName name="递延投资损失" localSheetId="22">#REF!</definedName>
    <definedName name="递延投资损失" localSheetId="23">#REF!</definedName>
    <definedName name="递延投资损失" localSheetId="51">#REF!</definedName>
    <definedName name="递延投资损失">#REF!</definedName>
    <definedName name="递延资产" localSheetId="22">#REF!</definedName>
    <definedName name="递延资产" localSheetId="23">#REF!</definedName>
    <definedName name="递延资产" localSheetId="51">#REF!</definedName>
    <definedName name="递延资产">#REF!</definedName>
    <definedName name="店舗" localSheetId="22">#REF!</definedName>
    <definedName name="店舗" localSheetId="23">#REF!</definedName>
    <definedName name="店舗">#REF!</definedName>
    <definedName name="ㄹㄴㅇ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ㄹ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라" localSheetId="22">#REF!</definedName>
    <definedName name="라" localSheetId="23">#REF!</definedName>
    <definedName name="라">#REF!</definedName>
    <definedName name="러ㅏㅇ"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短期借款" localSheetId="22">#REF!</definedName>
    <definedName name="短期借款" localSheetId="23">#REF!</definedName>
    <definedName name="短期借款" localSheetId="51">#REF!</definedName>
    <definedName name="短期借款">#REF!</definedName>
    <definedName name="短期投资" localSheetId="22">#REF!</definedName>
    <definedName name="短期投资" localSheetId="23">#REF!</definedName>
    <definedName name="短期投资" localSheetId="51">#REF!</definedName>
    <definedName name="短期投资">#REF!</definedName>
    <definedName name="对方单位" localSheetId="22">#REF!</definedName>
    <definedName name="对方单位" localSheetId="23">#REF!</definedName>
    <definedName name="对方单位">#REF!</definedName>
    <definedName name="ㄺ" hidden="1">{#N/A,#N/A,FALSE,"Aging Summary";#N/A,#N/A,FALSE,"Ratio Analysis";#N/A,#N/A,FALSE,"Test 120 Day Accts";#N/A,#N/A,FALSE,"Tickmarks"}</definedName>
    <definedName name="尔" hidden="1">{"'Z3-1'!$B$9:$I$29"}</definedName>
    <definedName name="ㅁ1" localSheetId="22">#REF!</definedName>
    <definedName name="ㅁ1" localSheetId="23">#REF!</definedName>
    <definedName name="ㅁ1">#REF!</definedName>
    <definedName name="ㅁㅁㅁ" hidden="1">{#N/A,#N/A,FALSE,"손익표지";#N/A,#N/A,FALSE,"손익계산";#N/A,#N/A,FALSE,"일반관리비";#N/A,#N/A,FALSE,"영업외수익";#N/A,#N/A,FALSE,"영업외비용";#N/A,#N/A,FALSE,"매출액";#N/A,#N/A,FALSE,"요약손익";#N/A,#N/A,FALSE,"요약대차";#N/A,#N/A,FALSE,"매출채권현황";#N/A,#N/A,FALSE,"매출채권명세"}</definedName>
    <definedName name="ㅁㅁㅁㅁ" hidden="1">{#N/A,#N/A,FALSE,"손익표지";#N/A,#N/A,FALSE,"손익계산";#N/A,#N/A,FALSE,"일반관리비";#N/A,#N/A,FALSE,"영업외수익";#N/A,#N/A,FALSE,"영업외비용";#N/A,#N/A,FALSE,"매출액";#N/A,#N/A,FALSE,"요약손익";#N/A,#N/A,FALSE,"요약대차";#N/A,#N/A,FALSE,"매출채권현황";#N/A,#N/A,FALSE,"매출채권명세"}</definedName>
    <definedName name="二级">区片价!$I$1:$I$20</definedName>
    <definedName name="二级分类">修正!$C$17:$C$39</definedName>
    <definedName name="二期" localSheetId="22">#REF!</definedName>
    <definedName name="二期" localSheetId="23">#REF!</definedName>
    <definedName name="二期">#REF!</definedName>
    <definedName name="二期装修" localSheetId="22">#REF!</definedName>
    <definedName name="二期装修" localSheetId="23">#REF!</definedName>
    <definedName name="二期装修">#REF!</definedName>
    <definedName name="法定最高年限">定义!$G$1:$G$4</definedName>
    <definedName name="法人税" localSheetId="22">#REF!</definedName>
    <definedName name="法人税" localSheetId="23">#REF!</definedName>
    <definedName name="法人税">#REF!</definedName>
    <definedName name="泛华余额05" localSheetId="22">#REF!</definedName>
    <definedName name="泛华余额05" localSheetId="23">#REF!</definedName>
    <definedName name="泛华余额05" localSheetId="51">#REF!</definedName>
    <definedName name="泛华余额05">#REF!</definedName>
    <definedName name="모르" localSheetId="22">#REF!</definedName>
    <definedName name="모르" localSheetId="23">#REF!</definedName>
    <definedName name="모르">#REF!</definedName>
    <definedName name="费用" localSheetId="22" hidden="1">#REF!</definedName>
    <definedName name="费用" localSheetId="23" hidden="1">#REF!</definedName>
    <definedName name="费用" localSheetId="51" hidden="1">#REF!</definedName>
    <definedName name="费用" hidden="1">#REF!</definedName>
    <definedName name="分１" localSheetId="22">#REF!</definedName>
    <definedName name="分１" localSheetId="23">#REF!</definedName>
    <definedName name="分１">#REF!</definedName>
    <definedName name="分２" localSheetId="22">#REF!</definedName>
    <definedName name="分２" localSheetId="23">#REF!</definedName>
    <definedName name="分２">#REF!</definedName>
    <definedName name="分考課" localSheetId="22">#REF!</definedName>
    <definedName name="分考課" localSheetId="23">#REF!</definedName>
    <definedName name="分考課">#REF!</definedName>
    <definedName name="分仲介" localSheetId="22">#REF!</definedName>
    <definedName name="分仲介" localSheetId="23">#REF!</definedName>
    <definedName name="分仲介">#REF!</definedName>
    <definedName name="무형자산" localSheetId="22">#REF!</definedName>
    <definedName name="무형자산" localSheetId="23">#REF!</definedName>
    <definedName name="무형자산">#REF!</definedName>
    <definedName name="미수이자1" localSheetId="22" hidden="1">#REF!</definedName>
    <definedName name="미수이자1" localSheetId="23" hidden="1">#REF!</definedName>
    <definedName name="미수이자1" hidden="1">#REF!</definedName>
    <definedName name="ㅂㅁ" localSheetId="22">#REF!</definedName>
    <definedName name="ㅂㅁ" localSheetId="23">#REF!</definedName>
    <definedName name="ㅂㅁ">#REF!</definedName>
    <definedName name="ㅂㅂㅂ" hidden="1">{#N/A,#N/A,FALSE,"손익표지";#N/A,#N/A,FALSE,"손익계산";#N/A,#N/A,FALSE,"일반관리비";#N/A,#N/A,FALSE,"영업외수익";#N/A,#N/A,FALSE,"영업외비용";#N/A,#N/A,FALSE,"매출액";#N/A,#N/A,FALSE,"요약손익";#N/A,#N/A,FALSE,"요약대차";#N/A,#N/A,FALSE,"매출채권현황";#N/A,#N/A,FALSE,"매출채권명세"}</definedName>
    <definedName name="ㅂㅂㅂㅂ" localSheetId="22">[0]!JEPUMS*!H14:XEY1048565</definedName>
    <definedName name="ㅂㅂㅂㅂ" localSheetId="23">[0]!JEPUMS*!H14:XEY1048565</definedName>
    <definedName name="ㅂㅂㅂㅂ">[0]!JEPUMS*!H14:XEY1048565</definedName>
    <definedName name="ㅂㅈㄷ" hidden="1">"C0168M47EQ82J0CS1RJ7NZD0U"</definedName>
    <definedName name="富民余额" localSheetId="22">#REF!</definedName>
    <definedName name="富民余额" localSheetId="23">#REF!</definedName>
    <definedName name="富民余额" localSheetId="51">#REF!</definedName>
    <definedName name="富民余额">#REF!</definedName>
    <definedName name="배분1차다" localSheetId="22">#REF!</definedName>
    <definedName name="배분1차다" localSheetId="23">#REF!</definedName>
    <definedName name="배분1차다">#REF!</definedName>
    <definedName name="改良投资" localSheetId="22">#REF!</definedName>
    <definedName name="改良投资" localSheetId="23">#REF!</definedName>
    <definedName name="改良投资">#REF!</definedName>
    <definedName name="별도합산" localSheetId="22">#REF!</definedName>
    <definedName name="별도합산" localSheetId="23">#REF!</definedName>
    <definedName name="별도합산">#REF!</definedName>
    <definedName name="별도합산세" localSheetId="22">#REF!</definedName>
    <definedName name="별도합산세" localSheetId="23">#REF!</definedName>
    <definedName name="별도합산세">#REF!</definedName>
    <definedName name="보증담보개시전이자" localSheetId="22">#REF!</definedName>
    <definedName name="보증담보개시전이자" localSheetId="23">#REF!</definedName>
    <definedName name="보증담보개시전이자">#REF!</definedName>
    <definedName name="복리" localSheetId="22">#REF!</definedName>
    <definedName name="복리" localSheetId="23">#REF!</definedName>
    <definedName name="복리">#REF!</definedName>
    <definedName name="个" localSheetId="22">#REF!</definedName>
    <definedName name="个" localSheetId="23">#REF!</definedName>
    <definedName name="个">#REF!</definedName>
    <definedName name="부외부채" localSheetId="22">#REF!</definedName>
    <definedName name="부외부채" localSheetId="23">#REF!</definedName>
    <definedName name="부외부채">#REF!</definedName>
    <definedName name="분리과세액" localSheetId="22">#REF!</definedName>
    <definedName name="분리과세액" localSheetId="23">#REF!</definedName>
    <definedName name="분리과세액">#REF!</definedName>
    <definedName name="工程" localSheetId="22">#REF!</definedName>
    <definedName name="工程" localSheetId="23">#REF!</definedName>
    <definedName name="工程">#REF!</definedName>
    <definedName name="工会经费Book" localSheetId="22">#REF!</definedName>
    <definedName name="工会经费Book" localSheetId="23">#REF!</definedName>
    <definedName name="工会经费Book" localSheetId="51">#REF!</definedName>
    <definedName name="工会经费Book">#REF!</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益金" localSheetId="22">#REF!</definedName>
    <definedName name="公益金" localSheetId="23">#REF!</definedName>
    <definedName name="公益金" localSheetId="51">#REF!</definedName>
    <definedName name="公益金">#REF!</definedName>
    <definedName name="公寓成本分摊" hidden="1">{"已付情况表",#N/A,FALSE,"成本测算 (3)";"折算各货币成本",#N/A,FALSE,"成本测算 (3)"}</definedName>
    <definedName name="公寓出租" localSheetId="22">#REF!</definedName>
    <definedName name="公寓出租" localSheetId="23">#REF!</definedName>
    <definedName name="公寓出租">#REF!</definedName>
    <definedName name="购入价" localSheetId="22">#REF!</definedName>
    <definedName name="购入价" localSheetId="23">#REF!</definedName>
    <definedName name="购入价">#REF!</definedName>
    <definedName name="估价方法">定义!$B$1:$B$50</definedName>
    <definedName name="股本" localSheetId="22">#REF!</definedName>
    <definedName name="股本" localSheetId="23">#REF!</definedName>
    <definedName name="股本" localSheetId="51">#REF!</definedName>
    <definedName name="股本">#REF!</definedName>
    <definedName name="股权交易印花税" localSheetId="22">#REF!</definedName>
    <definedName name="股权交易印花税" localSheetId="23">#REF!</definedName>
    <definedName name="股权交易印花税">#REF!</definedName>
    <definedName name="固定资产清单" localSheetId="22">#REF!</definedName>
    <definedName name="固定资产清单" localSheetId="23">#REF!</definedName>
    <definedName name="固定资产清单" localSheetId="51">#REF!</definedName>
    <definedName name="固定资产清单">#REF!</definedName>
    <definedName name="固定资产清理" localSheetId="22">#REF!</definedName>
    <definedName name="固定资产清理" localSheetId="23">#REF!</definedName>
    <definedName name="固定资产清理" localSheetId="51">#REF!</definedName>
    <definedName name="固定资产清理">#REF!</definedName>
    <definedName name="固定资产原值" localSheetId="22">#REF!</definedName>
    <definedName name="固定资产原值" localSheetId="23">#REF!</definedName>
    <definedName name="固定资产原值" localSheetId="51">#REF!</definedName>
    <definedName name="固定资产原值">#REF!</definedName>
    <definedName name="管理" localSheetId="22">#REF!</definedName>
    <definedName name="管理" localSheetId="23">#REF!</definedName>
    <definedName name="管理">#REF!</definedName>
    <definedName name="管理费用" localSheetId="22">#REF!</definedName>
    <definedName name="管理费用" localSheetId="23">#REF!</definedName>
    <definedName name="管理费用" localSheetId="51">#REF!</definedName>
    <definedName name="管理费用">#REF!</definedName>
    <definedName name="管理费用费率" localSheetId="22">#REF!</definedName>
    <definedName name="管理费用费率" localSheetId="23">#REF!</definedName>
    <definedName name="管理费用费率">#REF!</definedName>
    <definedName name="管理费用年末" localSheetId="22">#REF!</definedName>
    <definedName name="管理费用年末" localSheetId="23">#REF!</definedName>
    <definedName name="管理费用年末" localSheetId="51">#REF!</definedName>
    <definedName name="管理费用年末">#REF!</definedName>
    <definedName name="光熱" localSheetId="22">#REF!</definedName>
    <definedName name="光熱" localSheetId="23">#REF!</definedName>
    <definedName name="光熱">#REF!</definedName>
    <definedName name="広告" localSheetId="22">#REF!</definedName>
    <definedName name="広告" localSheetId="23">#REF!</definedName>
    <definedName name="広告">#REF!</definedName>
    <definedName name="毫毫毫" hidden="1">{"'毛利比较'!$A$4:$P$26"}</definedName>
    <definedName name="合同编号" localSheetId="22">#REF!</definedName>
    <definedName name="合同编号" localSheetId="23">#REF!</definedName>
    <definedName name="合同编号">#REF!</definedName>
    <definedName name="合同付款情况清单" localSheetId="22">#REF!</definedName>
    <definedName name="合同付款情况清单" localSheetId="23">#REF!</definedName>
    <definedName name="合同付款情况清单">#REF!</definedName>
    <definedName name="合同累计付款金额" localSheetId="22">#REF!</definedName>
    <definedName name="合同累计付款金额" localSheetId="23">#REF!</definedName>
    <definedName name="合同累计付款金额">#REF!</definedName>
    <definedName name="合同名称_2">#N/A</definedName>
    <definedName name="合同名称_3">#N/A</definedName>
    <definedName name="合同名称_5">#N/A</definedName>
    <definedName name="合同未付款金额" localSheetId="22">#REF!</definedName>
    <definedName name="合同未付款金额" localSheetId="23">#REF!</definedName>
    <definedName name="合同未付款金额">#REF!</definedName>
    <definedName name="상1" localSheetId="22">#REF!</definedName>
    <definedName name="상1" localSheetId="23">#REF!</definedName>
    <definedName name="상1">#REF!</definedName>
    <definedName name="상2" localSheetId="22">#REF!</definedName>
    <definedName name="상2" localSheetId="23">#REF!</definedName>
    <definedName name="상2">#REF!</definedName>
    <definedName name="상4" localSheetId="22">#REF!</definedName>
    <definedName name="상4" localSheetId="23">#REF!</definedName>
    <definedName name="상4">#REF!</definedName>
    <definedName name="상5" localSheetId="22">#REF!</definedName>
    <definedName name="상5" localSheetId="23">#REF!</definedName>
    <definedName name="상5">#REF!</definedName>
    <definedName name="상거래2차변제" localSheetId="22">#REF!</definedName>
    <definedName name="상거래2차변제" localSheetId="23">#REF!</definedName>
    <definedName name="상거래2차변제">#REF!</definedName>
    <definedName name="상거래출자비율" localSheetId="22">#REF!</definedName>
    <definedName name="상거래출자비율" localSheetId="23">#REF!</definedName>
    <definedName name="상거래출자비율">#REF!</definedName>
    <definedName name="새한채권" localSheetId="22">#REF!</definedName>
    <definedName name="새한채권" localSheetId="23">#REF!</definedName>
    <definedName name="새한채권">#REF!</definedName>
    <definedName name="宏">"CommandButton1"</definedName>
    <definedName name="생활관" localSheetId="22">#REF!</definedName>
    <definedName name="생활관" localSheetId="23">#REF!</definedName>
    <definedName name="생활관">#REF!</definedName>
    <definedName name="서울보증채권" localSheetId="22">#REF!</definedName>
    <definedName name="서울보증채권" localSheetId="23">#REF!</definedName>
    <definedName name="서울보증채권">#REF!</definedName>
    <definedName name="서현점" localSheetId="22">#REF!</definedName>
    <definedName name="서현점" localSheetId="23">#REF!</definedName>
    <definedName name="서현점">#REF!</definedName>
    <definedName name="선급비용" localSheetId="22">#REF!</definedName>
    <definedName name="선급비용" localSheetId="23">#REF!</definedName>
    <definedName name="선급비용">#REF!</definedName>
    <definedName name="선수금2" localSheetId="22">#REF!</definedName>
    <definedName name="선수금2" localSheetId="23">#REF!</definedName>
    <definedName name="선수금2">#REF!</definedName>
    <definedName name="세금유형" localSheetId="22">#REF!</definedName>
    <definedName name="세금유형" localSheetId="23">#REF!</definedName>
    <definedName name="세금유형">#REF!</definedName>
    <definedName name="세금종류" localSheetId="22">#REF!</definedName>
    <definedName name="세금종류" localSheetId="23">#REF!</definedName>
    <definedName name="세금종류">#REF!</definedName>
    <definedName name="세율" localSheetId="22">#REF!</definedName>
    <definedName name="세율" localSheetId="23">#REF!</definedName>
    <definedName name="세율">#REF!</definedName>
    <definedName name="戸平均" localSheetId="22">#REF!</definedName>
    <definedName name="戸平均" localSheetId="23">#REF!</definedName>
    <definedName name="戸平均">#REF!</definedName>
    <definedName name="손익" localSheetId="22">#REF!</definedName>
    <definedName name="손익" localSheetId="23">#REF!</definedName>
    <definedName name="손익">#REF!</definedName>
    <definedName name="손익계산서200312" localSheetId="22">#REF!</definedName>
    <definedName name="손익계산서200312" localSheetId="23">#REF!</definedName>
    <definedName name="손익계산서200312">#REF!</definedName>
    <definedName name="坏帐准备" localSheetId="22">#REF!</definedName>
    <definedName name="坏帐准备" localSheetId="23">#REF!</definedName>
    <definedName name="坏帐准备" localSheetId="51">#REF!</definedName>
    <definedName name="坏帐准备">#REF!</definedName>
    <definedName name="环境">定义!$S$1:$S$6</definedName>
    <definedName name="수산업채권" localSheetId="22">#REF!</definedName>
    <definedName name="수산업채권" localSheetId="23">#REF!</definedName>
    <definedName name="수산업채권">#REF!</definedName>
    <definedName name="수질" localSheetId="22">#REF!</definedName>
    <definedName name="수질" localSheetId="23">#REF!</definedName>
    <definedName name="수질">#REF!</definedName>
    <definedName name="순천킴스" localSheetId="22">#REF!</definedName>
    <definedName name="순천킴스" localSheetId="23">#REF!</definedName>
    <definedName name="순천킴스">#REF!</definedName>
    <definedName name="숫자" localSheetId="22">[0]!JEPUMS*!H14:XEY1048565</definedName>
    <definedName name="숫자" localSheetId="23">[0]!JEPUMS*!H14:XEY1048565</definedName>
    <definedName name="숫자">[0]!JEPUMS*!H14:XEY1048565</definedName>
    <definedName name="汇兑损失" localSheetId="22">#REF!</definedName>
    <definedName name="汇兑损失" localSheetId="23">#REF!</definedName>
    <definedName name="汇兑损失" localSheetId="51">#REF!</definedName>
    <definedName name="汇兑损失">#REF!</definedName>
    <definedName name="活动总结" localSheetId="22" hidden="1">#REF!</definedName>
    <definedName name="活动总结" localSheetId="23" hidden="1">#REF!</definedName>
    <definedName name="活动总结" localSheetId="51" hidden="1">#REF!</definedName>
    <definedName name="活动总结" hidden="1">#REF!</definedName>
    <definedName name="货币资金" localSheetId="22">#REF!</definedName>
    <definedName name="货币资金" localSheetId="23">#REF!</definedName>
    <definedName name="货币资金" localSheetId="51">#REF!</definedName>
    <definedName name="货币资金">#REF!</definedName>
    <definedName name="基础设施水平">定义!$R$1:$R$6</definedName>
    <definedName name="基数" localSheetId="22">#REF!</definedName>
    <definedName name="基数" localSheetId="23">#REF!</definedName>
    <definedName name="基数">#REF!</definedName>
    <definedName name="基准收益" localSheetId="22">#REF!</definedName>
    <definedName name="基准收益" localSheetId="23">#REF!</definedName>
    <definedName name="基准收益">#REF!</definedName>
    <definedName name="集团往来余额表" localSheetId="22">#REF!</definedName>
    <definedName name="集团往来余额表" localSheetId="23">#REF!</definedName>
    <definedName name="集团往来余额表" localSheetId="51">#REF!</definedName>
    <definedName name="集团往来余额表">#REF!</definedName>
    <definedName name="计容面积" localSheetId="22">#REF!</definedName>
    <definedName name="计容面积" localSheetId="23">#REF!</definedName>
    <definedName name="计容面积">#REF!</definedName>
    <definedName name="计提坏帐准备" localSheetId="22">#REF!</definedName>
    <definedName name="计提坏帐准备" localSheetId="23">#REF!</definedName>
    <definedName name="计提坏帐准备" localSheetId="51">#REF!</definedName>
    <definedName name="计提坏帐准备">#REF!</definedName>
    <definedName name="季度">基准地价修正!$Q$19:$AD$19</definedName>
    <definedName name="家具" localSheetId="22">#REF!</definedName>
    <definedName name="家具" localSheetId="23">#REF!</definedName>
    <definedName name="家具">#REF!</definedName>
    <definedName name="价格变动率" localSheetId="22">#REF!</definedName>
    <definedName name="价格变动率" localSheetId="23">#REF!</definedName>
    <definedName name="价格变动率">#REF!</definedName>
    <definedName name="价值类型2">定义!$B$54:$B$56</definedName>
    <definedName name="ㅇㅇㄴ" localSheetId="22">BlankMacro1</definedName>
    <definedName name="ㅇㅇㄴ" localSheetId="23">BlankMacro1</definedName>
    <definedName name="ㅇㅇㄴ">BlankMacro1</definedName>
    <definedName name="ㅏㅓㅓ" localSheetId="22">#REF!</definedName>
    <definedName name="ㅏㅓㅓ" localSheetId="23">#REF!</definedName>
    <definedName name="ㅏㅓㅓ">#REF!</definedName>
    <definedName name="ㅓ" localSheetId="22">#REF!</definedName>
    <definedName name="ㅓ" localSheetId="23">#REF!</definedName>
    <definedName name="ㅓ">#REF!</definedName>
    <definedName name="ㅓㅓㅓ" localSheetId="22">#REF!</definedName>
    <definedName name="ㅓㅓㅓ" localSheetId="23">#REF!</definedName>
    <definedName name="ㅓㅓㅓ">#REF!</definedName>
    <definedName name="ㅗㄹ호"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ㅛㅛㅛ" hidden="1">{#N/A,#N/A,FALSE,"손익표지";#N/A,#N/A,FALSE,"손익계산";#N/A,#N/A,FALSE,"일반관리비";#N/A,#N/A,FALSE,"영업외수익";#N/A,#N/A,FALSE,"영업외비용";#N/A,#N/A,FALSE,"매출액";#N/A,#N/A,FALSE,"요약손익";#N/A,#N/A,FALSE,"요약대차";#N/A,#N/A,FALSE,"매출채권현황";#N/A,#N/A,FALSE,"매출채권명세"}</definedName>
    <definedName name="ㅜㅊ4263" hidden="1">{#N/A,#N/A,FALSE,"손익표지";#N/A,#N/A,FALSE,"손익계산";#N/A,#N/A,FALSE,"일반관리비";#N/A,#N/A,FALSE,"영업외수익";#N/A,#N/A,FALSE,"영업외비용";#N/A,#N/A,FALSE,"매출액";#N/A,#N/A,FALSE,"요약손익";#N/A,#N/A,FALSE,"요약대차";#N/A,#N/A,FALSE,"매출채권현황";#N/A,#N/A,FALSE,"매출채권명세"}</definedName>
    <definedName name="ㅣㅣ" localSheetId="22">#REF!</definedName>
    <definedName name="ㅣㅣ" localSheetId="23">#REF!</definedName>
    <definedName name="ㅣㅣ">#REF!</definedName>
    <definedName name="ㅣㅣㅣ" hidden="1">25</definedName>
    <definedName name="아세아채권" localSheetId="22">#REF!</definedName>
    <definedName name="아세아채권" localSheetId="23">#REF!</definedName>
    <definedName name="아세아채권">#REF!</definedName>
    <definedName name="안전본봉" localSheetId="22">#REF!</definedName>
    <definedName name="안전본봉" localSheetId="23">#REF!</definedName>
    <definedName name="안전본봉">#REF!</definedName>
    <definedName name="建面原価" localSheetId="22">#REF!</definedName>
    <definedName name="建面原価" localSheetId="23">#REF!</definedName>
    <definedName name="建面原価">#REF!</definedName>
    <definedName name="建築面積" localSheetId="22">#REF!</definedName>
    <definedName name="建築面積" localSheetId="23">#REF!</definedName>
    <definedName name="建築面積">#REF!</definedName>
    <definedName name="에너지비용산출근거" localSheetId="22">BlankMacro1</definedName>
    <definedName name="에너지비용산출근거" localSheetId="23">BlankMacro1</definedName>
    <definedName name="에너지비용산출근거">BlankMacro1</definedName>
    <definedName name="交际应酬费" localSheetId="22">#REF!</definedName>
    <definedName name="交际应酬费" localSheetId="23">#REF!</definedName>
    <definedName name="交际应酬费" localSheetId="51">#REF!</definedName>
    <definedName name="交际应酬费">#REF!</definedName>
    <definedName name="交际应酬费计税调整数" localSheetId="22">#REF!</definedName>
    <definedName name="交际应酬费计税调整数" localSheetId="23">#REF!</definedName>
    <definedName name="交际应酬费计税调整数" localSheetId="51">#REF!</definedName>
    <definedName name="交际应酬费计税调整数">#REF!</definedName>
    <definedName name="交际应酬费实际发生额" localSheetId="22">#REF!</definedName>
    <definedName name="交际应酬费实际发生额" localSheetId="23">#REF!</definedName>
    <definedName name="交际应酬费实际发生额" localSheetId="51">#REF!</definedName>
    <definedName name="交际应酬费实际发生额">#REF!</definedName>
    <definedName name="交通便捷度">定义!$O$1:$O$6</definedName>
    <definedName name="예" localSheetId="22">#REF!</definedName>
    <definedName name="예" localSheetId="23">#REF!</definedName>
    <definedName name="예">#REF!</definedName>
    <definedName name="예수보증금내꺼" localSheetId="22">#REF!</definedName>
    <definedName name="예수보증금내꺼" localSheetId="23">#REF!</definedName>
    <definedName name="예수보증금내꺼">#REF!</definedName>
    <definedName name="오알" localSheetId="22">#REF!</definedName>
    <definedName name="오알" localSheetId="23">#REF!</definedName>
    <definedName name="오알">#REF!</definedName>
    <definedName name="완성주태" localSheetId="22">#REF!</definedName>
    <definedName name="완성주태" localSheetId="23">#REF!</definedName>
    <definedName name="완성주태">#REF!</definedName>
    <definedName name="완성주택" localSheetId="22">#REF!</definedName>
    <definedName name="완성주택" localSheetId="23">#REF!</definedName>
    <definedName name="완성주택">#REF!</definedName>
    <definedName name="외환채권" localSheetId="22">#REF!</definedName>
    <definedName name="외환채권" localSheetId="23">#REF!</definedName>
    <definedName name="외환채권">#REF!</definedName>
    <definedName name="节点计划" localSheetId="22">#REF!</definedName>
    <definedName name="节点计划" localSheetId="23">#REF!</definedName>
    <definedName name="节点计划">#REF!</definedName>
    <definedName name="용" localSheetId="22">#REF!</definedName>
    <definedName name="용" localSheetId="23">#REF!</definedName>
    <definedName name="용">#REF!</definedName>
    <definedName name="용도지수" localSheetId="22">#REF!</definedName>
    <definedName name="용도지수" localSheetId="23">#REF!</definedName>
    <definedName name="용도지수">#REF!</definedName>
    <definedName name="원가">#N/A</definedName>
    <definedName name="원본2" localSheetId="22" hidden="1">#REF!</definedName>
    <definedName name="원본2" localSheetId="23" hidden="1">#REF!</definedName>
    <definedName name="원본2" hidden="1">#REF!</definedName>
    <definedName name="金利１" localSheetId="22">#REF!</definedName>
    <definedName name="金利１" localSheetId="23">#REF!</definedName>
    <definedName name="金利１">#REF!</definedName>
    <definedName name="金利２" localSheetId="22">#REF!</definedName>
    <definedName name="金利２" localSheetId="23">#REF!</definedName>
    <definedName name="金利２">#REF!</definedName>
    <definedName name="金利３" localSheetId="22">#REF!</definedName>
    <definedName name="金利３" localSheetId="23">#REF!</definedName>
    <definedName name="金利３">#REF!</definedName>
    <definedName name="金利４" localSheetId="22">#REF!</definedName>
    <definedName name="金利４" localSheetId="23">#REF!</definedName>
    <definedName name="金利４">#REF!</definedName>
    <definedName name="위치지수" localSheetId="22">#REF!</definedName>
    <definedName name="위치지수" localSheetId="23">#REF!</definedName>
    <definedName name="위치지수">#REF!</definedName>
    <definedName name="유가" localSheetId="22">#REF!</definedName>
    <definedName name="유가" localSheetId="23">#REF!</definedName>
    <definedName name="유가">#REF!</definedName>
    <definedName name="유가증권" hidden="1">{#N/A,#N/A,FALSE,"Aging Summary";#N/A,#N/A,FALSE,"Ratio Analysis";#N/A,#N/A,FALSE,"Test 120 Day Accts";#N/A,#N/A,FALSE,"Tickmarks"}</definedName>
    <definedName name="经济" localSheetId="22">#REF!</definedName>
    <definedName name="经济" localSheetId="23">#REF!</definedName>
    <definedName name="经济">#REF!</definedName>
    <definedName name="이공구가설비" localSheetId="22">#REF!</definedName>
    <definedName name="이공구가설비" localSheetId="23">#REF!</definedName>
    <definedName name="이공구가설비">#REF!</definedName>
    <definedName name="이공구공사원가" localSheetId="22">#REF!</definedName>
    <definedName name="이공구공사원가" localSheetId="23">#REF!</definedName>
    <definedName name="이공구공사원가">#REF!</definedName>
    <definedName name="이공구안전관리비" localSheetId="22">#REF!</definedName>
    <definedName name="이공구안전관리비" localSheetId="23">#REF!</definedName>
    <definedName name="이공구안전관리비">#REF!</definedName>
    <definedName name="이공구일반관리비" localSheetId="22">#REF!</definedName>
    <definedName name="이공구일반관리비" localSheetId="23">#REF!</definedName>
    <definedName name="이공구일반관리비">#REF!</definedName>
    <definedName name="이읏ㄷ" hidden="1">{#N/A,#N/A,FALSE,"손익표지";#N/A,#N/A,FALSE,"손익계산";#N/A,#N/A,FALSE,"일반관리비";#N/A,#N/A,FALSE,"영업외수익";#N/A,#N/A,FALSE,"영업외비용";#N/A,#N/A,FALSE,"매출액";#N/A,#N/A,FALSE,"요약손익";#N/A,#N/A,FALSE,"요약대차";#N/A,#N/A,FALSE,"매출채권현황";#N/A,#N/A,FALSE,"매출채권명세"}</definedName>
    <definedName name="이의석" localSheetId="22">#REF!</definedName>
    <definedName name="이의석" localSheetId="23">#REF!</definedName>
    <definedName name="이의석">#REF!</definedName>
    <definedName name="이자율" localSheetId="22">#REF!</definedName>
    <definedName name="이자율" localSheetId="23">#REF!</definedName>
    <definedName name="이자율">#REF!</definedName>
    <definedName name="인수자안" localSheetId="22">#REF!</definedName>
    <definedName name="인수자안" localSheetId="23">#REF!</definedName>
    <definedName name="인수자안">#REF!</definedName>
    <definedName name="인천킴스" localSheetId="22">#REF!</definedName>
    <definedName name="인천킴스" localSheetId="23">#REF!</definedName>
    <definedName name="인천킴스">#REF!</definedName>
    <definedName name="일산푸드몰" localSheetId="22">#REF!</definedName>
    <definedName name="일산푸드몰" localSheetId="23">#REF!</definedName>
    <definedName name="일산푸드몰">#REF!</definedName>
    <definedName name="임대" localSheetId="22">#REF!</definedName>
    <definedName name="임대" localSheetId="23">#REF!</definedName>
    <definedName name="임대">#REF!</definedName>
    <definedName name="ㅈㄳㄹ" hidden="1">{#N/A,#N/A,FALSE,"손익표지";#N/A,#N/A,FALSE,"손익계산";#N/A,#N/A,FALSE,"일반관리비";#N/A,#N/A,FALSE,"영업외수익";#N/A,#N/A,FALSE,"영업외비용";#N/A,#N/A,FALSE,"매출액";#N/A,#N/A,FALSE,"요약손익";#N/A,#N/A,FALSE,"요약대차";#N/A,#N/A,FALSE,"매출채권현황";#N/A,#N/A,FALSE,"매출채권명세"}</definedName>
    <definedName name="자본금" hidden="1">{#N/A,#N/A,FALSE,"Aging Summary";#N/A,#N/A,FALSE,"Ratio Analysis";#N/A,#N/A,FALSE,"Test 120 Day Accts";#N/A,#N/A,FALSE,"Tickmarks"}</definedName>
    <definedName name="자산" localSheetId="22">#REF!</definedName>
    <definedName name="자산" localSheetId="23">#REF!</definedName>
    <definedName name="자산">#REF!</definedName>
    <definedName name="잔여배분4" localSheetId="22">#REF!</definedName>
    <definedName name="잔여배분4" localSheetId="23">#REF!</definedName>
    <definedName name="잔여배분4">#REF!</definedName>
    <definedName name="淨額差" localSheetId="22" hidden="1">#REF!</definedName>
    <definedName name="淨額差" localSheetId="23" hidden="1">#REF!</definedName>
    <definedName name="淨額差" localSheetId="51" hidden="1">#REF!</definedName>
    <definedName name="淨額差" hidden="1">#REF!</definedName>
    <definedName name="竟品" localSheetId="22" hidden="1">#REF!</definedName>
    <definedName name="竟品" localSheetId="23" hidden="1">#REF!</definedName>
    <definedName name="竟品" localSheetId="51" hidden="1">#REF!</definedName>
    <definedName name="竟品" hidden="1">#REF!</definedName>
    <definedName name="재" localSheetId="22">#REF!</definedName>
    <definedName name="재" localSheetId="23">#REF!</definedName>
    <definedName name="재">#REF!</definedName>
    <definedName name="九级">区片价!$P$1:$P$46</definedName>
    <definedName name="적용1" localSheetId="22">#REF!</definedName>
    <definedName name="적용1" localSheetId="23">#REF!</definedName>
    <definedName name="적용1">#REF!</definedName>
    <definedName name="전" localSheetId="22">#REF!</definedName>
    <definedName name="전" localSheetId="23">#REF!</definedName>
    <definedName name="전">#REF!</definedName>
    <definedName name="전입액" localSheetId="22">#REF!</definedName>
    <definedName name="전입액" localSheetId="23">#REF!</definedName>
    <definedName name="전입액">#REF!</definedName>
    <definedName name="정리채권미지급금" localSheetId="22">#REF!</definedName>
    <definedName name="정리채권미지급금" localSheetId="23">#REF!</definedName>
    <definedName name="정리채권미지급금">#REF!</definedName>
    <definedName name="제1금융개시전이자" localSheetId="22">#REF!</definedName>
    <definedName name="제1금융개시전이자" localSheetId="23">#REF!</definedName>
    <definedName name="제1금융개시전이자">#REF!</definedName>
    <definedName name="제1금융채권개시전이자" localSheetId="22">#REF!</definedName>
    <definedName name="제1금융채권개시전이자" localSheetId="23">#REF!</definedName>
    <definedName name="제1금융채권개시전이자">#REF!</definedName>
    <definedName name="제1금융채권출자비율" localSheetId="22">#REF!</definedName>
    <definedName name="제1금융채권출자비율" localSheetId="23">#REF!</definedName>
    <definedName name="제1금융채권출자비율">#REF!</definedName>
    <definedName name="제1금융출자비율" localSheetId="22">#REF!</definedName>
    <definedName name="제1금융출자비율" localSheetId="23">#REF!</definedName>
    <definedName name="제1금융출자비율">#REF!</definedName>
    <definedName name="제2금융개시전이자" localSheetId="22">#REF!</definedName>
    <definedName name="제2금융개시전이자" localSheetId="23">#REF!</definedName>
    <definedName name="제2금융개시전이자">#REF!</definedName>
    <definedName name="제2금융채권산입이자" localSheetId="22">#REF!</definedName>
    <definedName name="제2금융채권산입이자" localSheetId="23">#REF!</definedName>
    <definedName name="제2금융채권산입이자">#REF!</definedName>
    <definedName name="제목" localSheetId="22">#REF!</definedName>
    <definedName name="제목" localSheetId="23">#REF!</definedName>
    <definedName name="제목">#REF!</definedName>
    <definedName name="제일담보" localSheetId="22">#REF!</definedName>
    <definedName name="제일담보" localSheetId="23">#REF!</definedName>
    <definedName name="제일담보">#REF!</definedName>
    <definedName name="居住社区成熟度">定义!$K$1:$K$6</definedName>
    <definedName name="종합합산" localSheetId="22">#REF!</definedName>
    <definedName name="종합합산" localSheetId="23">#REF!</definedName>
    <definedName name="종합합산">#REF!</definedName>
    <definedName name="주택사업본부" localSheetId="22">#REF!</definedName>
    <definedName name="주택사업본부" localSheetId="23">#REF!</definedName>
    <definedName name="주택사업본부">#REF!</definedName>
    <definedName name="开办费" localSheetId="22">#REF!</definedName>
    <definedName name="开办费" localSheetId="23">#REF!</definedName>
    <definedName name="开办费" localSheetId="51">#REF!</definedName>
    <definedName name="开办费">#REF!</definedName>
    <definedName name="开发" localSheetId="22">#REF!</definedName>
    <definedName name="开发" localSheetId="23">#REF!</definedName>
    <definedName name="开发">#REF!</definedName>
    <definedName name="开发开发" localSheetId="22">#REF!</definedName>
    <definedName name="开发开发" localSheetId="23">#REF!</definedName>
    <definedName name="开发开发">#REF!</definedName>
    <definedName name="开间费" localSheetId="22">#REF!</definedName>
    <definedName name="开间费" localSheetId="23">#REF!</definedName>
    <definedName name="开间费">#REF!</definedName>
    <definedName name="科" localSheetId="22">#REF!</definedName>
    <definedName name="科" localSheetId="23">#REF!</definedName>
    <definedName name="科" localSheetId="51">#REF!</definedName>
    <definedName name="科">#REF!</definedName>
    <definedName name="科技楼总建面" localSheetId="22">#REF!</definedName>
    <definedName name="科技楼总建面" localSheetId="23">#REF!</definedName>
    <definedName name="科技楼总建面">#REF!</definedName>
    <definedName name="科目编码" localSheetId="22">#REF!</definedName>
    <definedName name="科目编码" localSheetId="23">#REF!</definedName>
    <definedName name="科目编码">#REF!</definedName>
    <definedName name="科目余额表" localSheetId="22">#REF!</definedName>
    <definedName name="科目余额表" localSheetId="23">#REF!</definedName>
    <definedName name="科目余额表" localSheetId="51">#REF!</definedName>
    <definedName name="科目余额表">#REF!</definedName>
    <definedName name="可销售面积" localSheetId="22">#REF!</definedName>
    <definedName name="可销售面积" localSheetId="23">#REF!</definedName>
    <definedName name="可销售面积">#REF!</definedName>
    <definedName name="枯" localSheetId="22" hidden="1">#REF!</definedName>
    <definedName name="枯" localSheetId="23" hidden="1">#REF!</definedName>
    <definedName name="枯" localSheetId="51" hidden="1">#REF!</definedName>
    <definedName name="枯" hidden="1">#REF!</definedName>
    <definedName name="庫存成" localSheetId="22" hidden="1">#REF!</definedName>
    <definedName name="庫存成" localSheetId="23" hidden="1">#REF!</definedName>
    <definedName name="庫存成" localSheetId="51" hidden="1">#REF!</definedName>
    <definedName name="庫存成" hidden="1">#REF!</definedName>
    <definedName name="철구사업본부" localSheetId="22">#REF!</definedName>
    <definedName name="철구사업본부" localSheetId="23">#REF!</definedName>
    <definedName name="철구사업본부">#REF!</definedName>
    <definedName name="类别">定义!$J$1:$J$3</definedName>
    <definedName name="累计折旧" localSheetId="22">#REF!</definedName>
    <definedName name="累计折旧" localSheetId="23">#REF!</definedName>
    <definedName name="累计折旧" localSheetId="51">#REF!</definedName>
    <definedName name="累计折旧">#REF!</definedName>
    <definedName name="추계합계" localSheetId="22">#REF!</definedName>
    <definedName name="추계합계" localSheetId="23">#REF!</definedName>
    <definedName name="추계합계">#REF!</definedName>
    <definedName name="历史" localSheetId="22">#REF!</definedName>
    <definedName name="历史" localSheetId="23">#REF!</definedName>
    <definedName name="历史">#REF!</definedName>
    <definedName name="利润表" hidden="1">{#N/A,#N/A,FALSE,"成本表[一期计算1] (2)"}</definedName>
    <definedName name="利润归还投资" localSheetId="22">#REF!</definedName>
    <definedName name="利润归还投资" localSheetId="23">#REF!</definedName>
    <definedName name="利润归还投资" localSheetId="51">#REF!</definedName>
    <definedName name="利润归还投资">#REF!</definedName>
    <definedName name="利息支出" localSheetId="22">#REF!</definedName>
    <definedName name="利息支出" localSheetId="23">#REF!</definedName>
    <definedName name="利息支出" localSheetId="51">#REF!</definedName>
    <definedName name="利息支出">#REF!</definedName>
    <definedName name="利息总额" localSheetId="22">#REF!</definedName>
    <definedName name="利息总额" localSheetId="23">#REF!</definedName>
    <definedName name="利息总额">#REF!</definedName>
    <definedName name="ㅋㅋㅋ" hidden="1">{#N/A,#N/A,FALSE,"손익표지";#N/A,#N/A,FALSE,"손익계산";#N/A,#N/A,FALSE,"일반관리비";#N/A,#N/A,FALSE,"영업외수익";#N/A,#N/A,FALSE,"영업외비용";#N/A,#N/A,FALSE,"매출액";#N/A,#N/A,FALSE,"요약손익";#N/A,#N/A,FALSE,"요약대차";#N/A,#N/A,FALSE,"매출채권현황";#N/A,#N/A,FALSE,"매출채권명세"}</definedName>
    <definedName name="ㅋㅋㅋㅋ" hidden="1">{#N/A,#N/A,FALSE,"Aging Summary";#N/A,#N/A,FALSE,"Ratio Analysis";#N/A,#N/A,FALSE,"Test 120 Day Accts";#N/A,#N/A,FALSE,"Tickmarks"}</definedName>
    <definedName name="料工费分配表" localSheetId="22" hidden="1">#REF!</definedName>
    <definedName name="料工费分配表" localSheetId="23" hidden="1">#REF!</definedName>
    <definedName name="料工费分配表" localSheetId="51" hidden="1">#REF!</definedName>
    <definedName name="料工费分配表" hidden="1">#REF!</definedName>
    <definedName name="临街状况">定义!$T$1:$T$5</definedName>
    <definedName name="賃１" localSheetId="22">#REF!</definedName>
    <definedName name="賃１" localSheetId="23">#REF!</definedName>
    <definedName name="賃１">#REF!</definedName>
    <definedName name="賃２" localSheetId="22">#REF!</definedName>
    <definedName name="賃２" localSheetId="23">#REF!</definedName>
    <definedName name="賃２">#REF!</definedName>
    <definedName name="賃３" localSheetId="22">#REF!</definedName>
    <definedName name="賃３" localSheetId="23">#REF!</definedName>
    <definedName name="賃３">#REF!</definedName>
    <definedName name="賃４" localSheetId="22">#REF!</definedName>
    <definedName name="賃４" localSheetId="23">#REF!</definedName>
    <definedName name="賃４">#REF!</definedName>
    <definedName name="賃貸考課" localSheetId="22">#REF!</definedName>
    <definedName name="賃貸考課" localSheetId="23">#REF!</definedName>
    <definedName name="賃貸考課">#REF!</definedName>
    <definedName name="賃貸仲介" localSheetId="22">#REF!</definedName>
    <definedName name="賃貸仲介" localSheetId="23">#REF!</definedName>
    <definedName name="賃貸仲介">#REF!</definedName>
    <definedName name="六级">区片价!$M$1:$M$49</definedName>
    <definedName name="六期" localSheetId="22">#REF!</definedName>
    <definedName name="六期" localSheetId="23">#REF!</definedName>
    <definedName name="六期">#REF!</definedName>
    <definedName name="六期装修" localSheetId="22">#REF!</definedName>
    <definedName name="六期装修" localSheetId="23">#REF!</definedName>
    <definedName name="六期装修">#REF!</definedName>
    <definedName name="六期总建面" localSheetId="22">#REF!</definedName>
    <definedName name="六期总建面" localSheetId="23">#REF!</definedName>
    <definedName name="六期总建面">#REF!</definedName>
    <definedName name="템플리트모듈5" localSheetId="22">BlankMacro1</definedName>
    <definedName name="템플리트모듈5" localSheetId="23">BlankMacro1</definedName>
    <definedName name="템플리트모듈5">BlankMacro1</definedName>
    <definedName name="_xlnm.Recorder" localSheetId="22">#REF!</definedName>
    <definedName name="_xlnm.Recorder" localSheetId="23">#REF!</definedName>
    <definedName name="_xlnm.Recorder">#REF!</definedName>
    <definedName name="토지" localSheetId="22">#REF!</definedName>
    <definedName name="토지" localSheetId="23">#REF!</definedName>
    <definedName name="토지">#REF!</definedName>
    <definedName name="律师费" localSheetId="22">#REF!</definedName>
    <definedName name="律师费" localSheetId="23">#REF!</definedName>
    <definedName name="律师费">#REF!</definedName>
    <definedName name="판군" localSheetId="22">#REF!</definedName>
    <definedName name="판군" localSheetId="23">#REF!</definedName>
    <definedName name="판군">#REF!</definedName>
    <definedName name="梅兰日兰UPS" hidden="1">{"'Sheet1'!$A$1:$J$57","'Sheet1'!$F$32:$F$35","'Sheet1'!$F$32:$F$36"}</definedName>
    <definedName name="面积" localSheetId="22">#REF!</definedName>
    <definedName name="面积" localSheetId="23">#REF!</definedName>
    <definedName name="面积">#REF!</definedName>
    <definedName name="面积比" localSheetId="22">#REF!,#REF!,#REF!,#REF!,#REF!,#REF!,#REF!,#REF!,#REF!</definedName>
    <definedName name="面积比" localSheetId="23">#REF!,#REF!,#REF!,#REF!,#REF!,#REF!,#REF!,#REF!,#REF!</definedName>
    <definedName name="面积比">#REF!,#REF!,#REF!,#REF!,#REF!,#REF!,#REF!,#REF!,#REF!</definedName>
    <definedName name="面积差" localSheetId="22">#REF!,#REF!,#REF!,#REF!,#REF!,#REF!,#REF!,#REF!,#REF!,#REF!,#REF!,#REF!,#REF!,#REF!,#REF!,#REF!,#REF!,#REF!</definedName>
    <definedName name="面积差" localSheetId="23">#REF!,#REF!,#REF!,#REF!,#REF!,#REF!,#REF!,#REF!,#REF!,#REF!,#REF!,#REF!,#REF!,#REF!,#REF!,#REF!,#REF!,#REF!</definedName>
    <definedName name="面积差">#REF!,#REF!,#REF!,#REF!,#REF!,#REF!,#REF!,#REF!,#REF!,#REF!,#REF!,#REF!,#REF!,#REF!,#REF!,#REF!,#REF!,#REF!</definedName>
    <definedName name="明细分类账" localSheetId="22">#REF!</definedName>
    <definedName name="明细分类账" localSheetId="23">#REF!</definedName>
    <definedName name="明细分类账" localSheetId="51">#REF!</definedName>
    <definedName name="明细分类账">#REF!</definedName>
    <definedName name="ㅎㅇ" hidden="1">{#N/A,#N/A,FALSE,"Aging Summary";#N/A,#N/A,FALSE,"Ratio Analysis";#N/A,#N/A,FALSE,"Test 120 Day Accts";#N/A,#N/A,FALSE,"Tickmarks"}</definedName>
    <definedName name="ㅎㅎ"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한길담보" localSheetId="22">#REF!</definedName>
    <definedName name="한길담보" localSheetId="23">#REF!</definedName>
    <definedName name="한길담보">#REF!</definedName>
    <definedName name="한길채권" localSheetId="22">#REF!</definedName>
    <definedName name="한길채권" localSheetId="23">#REF!</definedName>
    <definedName name="한길채권">#REF!</definedName>
    <definedName name="한미담보" localSheetId="22">#REF!</definedName>
    <definedName name="한미담보" localSheetId="23">#REF!</definedName>
    <definedName name="한미담보">#REF!</definedName>
    <definedName name="한화채권" localSheetId="22">#REF!</definedName>
    <definedName name="한화채권" localSheetId="23">#REF!</definedName>
    <definedName name="한화채권">#REF!</definedName>
    <definedName name="할인" localSheetId="22">#REF!</definedName>
    <definedName name="할인" localSheetId="23">#REF!</definedName>
    <definedName name="할인">#REF!</definedName>
    <definedName name="항도담보" localSheetId="22">#REF!</definedName>
    <definedName name="항도담보" localSheetId="23">#REF!</definedName>
    <definedName name="항도담보">#REF!</definedName>
    <definedName name="内部" localSheetId="22">#REF!</definedName>
    <definedName name="内部" localSheetId="23">#REF!</definedName>
    <definedName name="内部" localSheetId="51">#REF!</definedName>
    <definedName name="内部">#REF!</definedName>
    <definedName name="内部存款" localSheetId="22">#REF!</definedName>
    <definedName name="内部存款" localSheetId="23">#REF!</definedName>
    <definedName name="内部存款" localSheetId="51">#REF!</definedName>
    <definedName name="内部存款">#REF!</definedName>
    <definedName name="内部银行" localSheetId="22">#REF!</definedName>
    <definedName name="内部银行" localSheetId="23">#REF!</definedName>
    <definedName name="内部银行" localSheetId="51">#REF!</definedName>
    <definedName name="内部银行">#REF!</definedName>
    <definedName name="内部装修维护情况">定义!$U$1:$U$6</definedName>
    <definedName name="혁신" localSheetId="22">#REF!</definedName>
    <definedName name="혁신" localSheetId="23">#REF!</definedName>
    <definedName name="혁신">#REF!</definedName>
    <definedName name="현금등가물" hidden="1">{#N/A,#N/A,FALSE,"Aging Summary";#N/A,#N/A,FALSE,"Ratio Analysis";#N/A,#N/A,FALSE,"Test 120 Day Accts";#N/A,#N/A,FALSE,"Tickmarks"}</definedName>
    <definedName name="현금등가물및단기" hidden="1">{#N/A,#N/A,FALSE,"Aging Summary";#N/A,#N/A,FALSE,"Ratio Analysis";#N/A,#N/A,FALSE,"Test 120 Day Accts";#N/A,#N/A,FALSE,"Tickmarks"}</definedName>
    <definedName name="현금흐름" hidden="1">{#N/A,#N/A,FALSE,"Aging Summary";#N/A,#N/A,FALSE,"Ratio Analysis";#N/A,#N/A,FALSE,"Test 120 Day Accts";#N/A,#N/A,FALSE,"Tickmarks"}</definedName>
    <definedName name="判定">定义!$D$1:$D$4</definedName>
    <definedName name="品牌管理费费率" localSheetId="22">#REF!</definedName>
    <definedName name="品牌管理费费率" localSheetId="23">#REF!</definedName>
    <definedName name="品牌管理费费率">#REF!</definedName>
    <definedName name="七级">区片价!$N$1:$N$49</definedName>
    <definedName name="七通一平">修正!$A$6:$A$14</definedName>
    <definedName name="期间费用" localSheetId="22">#REF!</definedName>
    <definedName name="期间费用" localSheetId="23">#REF!</definedName>
    <definedName name="期间费用">#REF!</definedName>
    <definedName name="其他长期负债" localSheetId="22">#REF!</definedName>
    <definedName name="其他长期负债" localSheetId="23">#REF!</definedName>
    <definedName name="其他长期负债" localSheetId="51">#REF!</definedName>
    <definedName name="其他长期负债">#REF!</definedName>
    <definedName name="其他长期资产" localSheetId="22">#REF!</definedName>
    <definedName name="其他长期资产" localSheetId="23">#REF!</definedName>
    <definedName name="其他长期资产" localSheetId="51">#REF!</definedName>
    <definedName name="其他长期资产">#REF!</definedName>
    <definedName name="其他递延支出" localSheetId="22">#REF!</definedName>
    <definedName name="其他递延支出" localSheetId="23">#REF!</definedName>
    <definedName name="其他递延支出" localSheetId="51">#REF!</definedName>
    <definedName name="其他递延支出">#REF!</definedName>
    <definedName name="其他流动负债" localSheetId="22">#REF!</definedName>
    <definedName name="其他流动负债" localSheetId="23">#REF!</definedName>
    <definedName name="其他流动负债" localSheetId="51">#REF!</definedName>
    <definedName name="其他流动负债">#REF!</definedName>
    <definedName name="其他流动资产" localSheetId="22">#REF!</definedName>
    <definedName name="其他流动资产" localSheetId="23">#REF!</definedName>
    <definedName name="其他流动资产" localSheetId="51">#REF!</definedName>
    <definedName name="其他流动资产">#REF!</definedName>
    <definedName name="其他土地费用" localSheetId="22">#REF!</definedName>
    <definedName name="其他土地费用" localSheetId="23">#REF!</definedName>
    <definedName name="其他土地费用">#REF!</definedName>
    <definedName name="其他未交款" localSheetId="22">#REF!</definedName>
    <definedName name="其他未交款" localSheetId="23">#REF!</definedName>
    <definedName name="其他未交款" localSheetId="51">#REF!</definedName>
    <definedName name="其他未交款">#REF!</definedName>
    <definedName name="其他无形资产" localSheetId="22">#REF!</definedName>
    <definedName name="其他无形资产" localSheetId="23">#REF!</definedName>
    <definedName name="其他无形资产" localSheetId="51">#REF!</definedName>
    <definedName name="其他无形资产">#REF!</definedName>
    <definedName name="其他业务收入" localSheetId="22">#REF!</definedName>
    <definedName name="其他业务收入" localSheetId="23">#REF!</definedName>
    <definedName name="其他业务收入" localSheetId="51">#REF!</definedName>
    <definedName name="其他业务收入">#REF!</definedName>
    <definedName name="其他业务支出" localSheetId="22">#REF!</definedName>
    <definedName name="其他业务支出" localSheetId="23">#REF!</definedName>
    <definedName name="其他业务支出" localSheetId="51">#REF!</definedName>
    <definedName name="其他业务支出">#REF!</definedName>
    <definedName name="其他应付款" localSheetId="22">#REF!</definedName>
    <definedName name="其他应付款" localSheetId="23">#REF!</definedName>
    <definedName name="其他应付款" localSheetId="51">#REF!</definedName>
    <definedName name="其他应付款">#REF!</definedName>
    <definedName name="其他应付款其他" localSheetId="22">#REF!</definedName>
    <definedName name="其他应付款其他" localSheetId="23">#REF!</definedName>
    <definedName name="其他应付款其他" localSheetId="51">#REF!</definedName>
    <definedName name="其他应付款其他">#REF!</definedName>
    <definedName name="其他应收" localSheetId="22">#REF!</definedName>
    <definedName name="其他应收" localSheetId="23">#REF!</definedName>
    <definedName name="其他应收" localSheetId="51">#REF!</definedName>
    <definedName name="其他应收">#REF!</definedName>
    <definedName name="其他应收款" localSheetId="22">#REF!</definedName>
    <definedName name="其他应收款" localSheetId="23">#REF!</definedName>
    <definedName name="其他应收款" localSheetId="51">#REF!</definedName>
    <definedName name="其他应收款">#REF!</definedName>
    <definedName name="企业所得税补缴" localSheetId="22">#REF!</definedName>
    <definedName name="企业所得税补缴" localSheetId="23">#REF!</definedName>
    <definedName name="企业所得税补缴">#REF!</definedName>
    <definedName name="契税税率" localSheetId="22">#REF!</definedName>
    <definedName name="契税税率" localSheetId="23">#REF!</definedName>
    <definedName name="契税税率">#REF!</definedName>
    <definedName name="前期" localSheetId="22" hidden="1">#REF!</definedName>
    <definedName name="前期" localSheetId="23" hidden="1">#REF!</definedName>
    <definedName name="前期" hidden="1">#REF!</definedName>
    <definedName name="前期尽职调查费" localSheetId="22">#REF!</definedName>
    <definedName name="前期尽职调查费" localSheetId="23">#REF!</definedName>
    <definedName name="前期尽职调查费">#REF!</definedName>
    <definedName name="青岛" localSheetId="22" hidden="1">#REF!</definedName>
    <definedName name="青岛" localSheetId="23" hidden="1">#REF!</definedName>
    <definedName name="青岛" localSheetId="51" hidden="1">#REF!</definedName>
    <definedName name="青岛" hidden="1">#REF!</definedName>
    <definedName name="区域土地利用方向">定义!$P$1:$P$6</definedName>
    <definedName name="趨勢" localSheetId="22" hidden="1">#REF!</definedName>
    <definedName name="趨勢" localSheetId="23" hidden="1">#REF!</definedName>
    <definedName name="趨勢" localSheetId="51" hidden="1">#REF!</definedName>
    <definedName name="趨勢" hidden="1">#REF!</definedName>
    <definedName name="権利金" localSheetId="22">#REF!</definedName>
    <definedName name="権利金" localSheetId="23">#REF!</definedName>
    <definedName name="権利金">#REF!</definedName>
    <definedName name="融资租入固定资产" localSheetId="22">#REF!</definedName>
    <definedName name="融资租入固定资产" localSheetId="23">#REF!</definedName>
    <definedName name="融资租入固定资产" localSheetId="51">#REF!</definedName>
    <definedName name="融资租入固定资产">#REF!</definedName>
    <definedName name="融资租入固定资产折旧" localSheetId="22">#REF!</definedName>
    <definedName name="融资租入固定资产折旧" localSheetId="23">#REF!</definedName>
    <definedName name="融资租入固定资产折旧" localSheetId="51">#REF!</definedName>
    <definedName name="融资租入固定资产折旧">#REF!</definedName>
    <definedName name="瑞斯科" localSheetId="22">#REF!</definedName>
    <definedName name="瑞斯科" localSheetId="23">#REF!</definedName>
    <definedName name="瑞斯科" localSheetId="51">#REF!</definedName>
    <definedName name="瑞斯科">#REF!</definedName>
    <definedName name="三级">区片价!$J$1:$J$21</definedName>
    <definedName name="三期" localSheetId="22">#REF!</definedName>
    <definedName name="三期" localSheetId="23">#REF!</definedName>
    <definedName name="三期">#REF!</definedName>
    <definedName name="三期装修" localSheetId="22">#REF!</definedName>
    <definedName name="三期装修" localSheetId="23">#REF!</definedName>
    <definedName name="三期装修">#REF!</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楼总建面" localSheetId="22">#REF!</definedName>
    <definedName name="商业楼总建面" localSheetId="23">#REF!</definedName>
    <definedName name="商业楼总建面">#REF!</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商增1" localSheetId="22">#REF!</definedName>
    <definedName name="商增1" localSheetId="23">#REF!</definedName>
    <definedName name="商增1">#REF!</definedName>
    <definedName name="商增10" localSheetId="22">#REF!</definedName>
    <definedName name="商增10" localSheetId="23">#REF!</definedName>
    <definedName name="商增10">#REF!</definedName>
    <definedName name="商增2" localSheetId="22">#REF!</definedName>
    <definedName name="商增2" localSheetId="23">#REF!</definedName>
    <definedName name="商增2">#REF!</definedName>
    <definedName name="商增3" localSheetId="22">#REF!</definedName>
    <definedName name="商增3" localSheetId="23">#REF!</definedName>
    <definedName name="商增3">#REF!</definedName>
    <definedName name="商增4" localSheetId="22">#REF!</definedName>
    <definedName name="商增4" localSheetId="23">#REF!</definedName>
    <definedName name="商增4">#REF!</definedName>
    <definedName name="商增5" localSheetId="22">#REF!</definedName>
    <definedName name="商增5" localSheetId="23">#REF!</definedName>
    <definedName name="商增5">#REF!</definedName>
    <definedName name="商增6" localSheetId="22">#REF!</definedName>
    <definedName name="商增6" localSheetId="23">#REF!</definedName>
    <definedName name="商增6">#REF!</definedName>
    <definedName name="商增7" localSheetId="22">#REF!</definedName>
    <definedName name="商增7" localSheetId="23">#REF!</definedName>
    <definedName name="商增7">#REF!</definedName>
    <definedName name="商增8" localSheetId="22">#REF!</definedName>
    <definedName name="商增8" localSheetId="23">#REF!</definedName>
    <definedName name="商增8">#REF!</definedName>
    <definedName name="商增9" localSheetId="22">#REF!</definedName>
    <definedName name="商增9" localSheetId="23">#REF!</definedName>
    <definedName name="商增9">#REF!</definedName>
    <definedName name="商增四" localSheetId="22">#REF!</definedName>
    <definedName name="商增四" localSheetId="23">#REF!</definedName>
    <definedName name="商增四">#REF!</definedName>
    <definedName name="生产列1" localSheetId="22">#REF!</definedName>
    <definedName name="生产列1" localSheetId="23">#REF!</definedName>
    <definedName name="生产列1">#REF!</definedName>
    <definedName name="生产列11" localSheetId="22">#REF!</definedName>
    <definedName name="生产列11" localSheetId="23">#REF!</definedName>
    <definedName name="生产列11">#REF!</definedName>
    <definedName name="生产列15" localSheetId="22">#REF!</definedName>
    <definedName name="生产列15" localSheetId="23">#REF!</definedName>
    <definedName name="生产列15">#REF!</definedName>
    <definedName name="生产列16" localSheetId="22">#REF!</definedName>
    <definedName name="生产列16" localSheetId="23">#REF!</definedName>
    <definedName name="生产列16">#REF!</definedName>
    <definedName name="生产列17" localSheetId="22">#REF!</definedName>
    <definedName name="生产列17" localSheetId="23">#REF!</definedName>
    <definedName name="生产列17">#REF!</definedName>
    <definedName name="生产列19" localSheetId="22">#REF!</definedName>
    <definedName name="生产列19" localSheetId="23">#REF!</definedName>
    <definedName name="生产列19">#REF!</definedName>
    <definedName name="生产列2" localSheetId="22">#REF!</definedName>
    <definedName name="生产列2" localSheetId="23">#REF!</definedName>
    <definedName name="生产列2">#REF!</definedName>
    <definedName name="生产列20" localSheetId="22">#REF!</definedName>
    <definedName name="生产列20" localSheetId="23">#REF!</definedName>
    <definedName name="生产列20">#REF!</definedName>
    <definedName name="生产列3" localSheetId="22">#REF!</definedName>
    <definedName name="生产列3" localSheetId="23">#REF!</definedName>
    <definedName name="生产列3">#REF!</definedName>
    <definedName name="生产列4" localSheetId="22">#REF!</definedName>
    <definedName name="生产列4" localSheetId="23">#REF!</definedName>
    <definedName name="生产列4">#REF!</definedName>
    <definedName name="生产列5" localSheetId="22">#REF!</definedName>
    <definedName name="生产列5" localSheetId="23">#REF!</definedName>
    <definedName name="生产列5">#REF!</definedName>
    <definedName name="生产列6" localSheetId="22">#REF!</definedName>
    <definedName name="生产列6" localSheetId="23">#REF!</definedName>
    <definedName name="生产列6">#REF!</definedName>
    <definedName name="生产列7" localSheetId="22">#REF!</definedName>
    <definedName name="生产列7" localSheetId="23">#REF!</definedName>
    <definedName name="生产列7">#REF!</definedName>
    <definedName name="生产列8" localSheetId="22">#REF!</definedName>
    <definedName name="生产列8" localSheetId="23">#REF!</definedName>
    <definedName name="生产列8">#REF!</definedName>
    <definedName name="生产列9" localSheetId="22">#REF!</definedName>
    <definedName name="生产列9" localSheetId="23">#REF!</definedName>
    <definedName name="生产列9">#REF!</definedName>
    <definedName name="生产期" localSheetId="22">#REF!</definedName>
    <definedName name="生产期" localSheetId="23">#REF!</definedName>
    <definedName name="生产期">#REF!</definedName>
    <definedName name="生产期1" localSheetId="22">#REF!</definedName>
    <definedName name="生产期1" localSheetId="23">#REF!</definedName>
    <definedName name="生产期1">#REF!</definedName>
    <definedName name="生产期11" localSheetId="22">#REF!</definedName>
    <definedName name="生产期11" localSheetId="23">#REF!</definedName>
    <definedName name="生产期11">#REF!</definedName>
    <definedName name="生产期15" localSheetId="22">#REF!</definedName>
    <definedName name="生产期15" localSheetId="23">#REF!</definedName>
    <definedName name="生产期15">#REF!</definedName>
    <definedName name="生产期16" localSheetId="22">#REF!</definedName>
    <definedName name="生产期16" localSheetId="23">#REF!</definedName>
    <definedName name="生产期16">#REF!</definedName>
    <definedName name="生产期17" localSheetId="22">#REF!</definedName>
    <definedName name="生产期17" localSheetId="23">#REF!</definedName>
    <definedName name="生产期17">#REF!</definedName>
    <definedName name="生产期19" localSheetId="22">#REF!</definedName>
    <definedName name="生产期19" localSheetId="23">#REF!</definedName>
    <definedName name="生产期19">#REF!</definedName>
    <definedName name="生产期2" localSheetId="22">#REF!</definedName>
    <definedName name="生产期2" localSheetId="23">#REF!</definedName>
    <definedName name="生产期2">#REF!</definedName>
    <definedName name="生产期20" localSheetId="22">#REF!</definedName>
    <definedName name="生产期20" localSheetId="23">#REF!</definedName>
    <definedName name="生产期20">#REF!</definedName>
    <definedName name="生产期3" localSheetId="22">#REF!</definedName>
    <definedName name="生产期3" localSheetId="23">#REF!</definedName>
    <definedName name="生产期3">#REF!</definedName>
    <definedName name="生产期4" localSheetId="22">#REF!</definedName>
    <definedName name="生产期4" localSheetId="23">#REF!</definedName>
    <definedName name="生产期4">#REF!</definedName>
    <definedName name="生产期5" localSheetId="22">#REF!</definedName>
    <definedName name="生产期5" localSheetId="23">#REF!</definedName>
    <definedName name="生产期5">#REF!</definedName>
    <definedName name="生产期6" localSheetId="22">#REF!</definedName>
    <definedName name="生产期6" localSheetId="23">#REF!</definedName>
    <definedName name="生产期6">#REF!</definedName>
    <definedName name="生产期7" localSheetId="22">#REF!</definedName>
    <definedName name="生产期7" localSheetId="23">#REF!</definedName>
    <definedName name="生产期7">#REF!</definedName>
    <definedName name="生产期8" localSheetId="22">#REF!</definedName>
    <definedName name="生产期8" localSheetId="23">#REF!</definedName>
    <definedName name="生产期8">#REF!</definedName>
    <definedName name="生产期9" localSheetId="22">#REF!</definedName>
    <definedName name="生产期9" localSheetId="23">#REF!</definedName>
    <definedName name="生产期9">#REF!</definedName>
    <definedName name="剩余" localSheetId="22">#REF!</definedName>
    <definedName name="剩余" localSheetId="23">#REF!</definedName>
    <definedName name="剩余">#REF!</definedName>
    <definedName name="施工费用" localSheetId="22">#REF!,#REF!,#REF!,#REF!,#REF!,#REF!,#REF!,#REF!,#REF!,#REF!,#REF!,#REF!</definedName>
    <definedName name="施工费用" localSheetId="23">#REF!,#REF!,#REF!,#REF!,#REF!,#REF!,#REF!,#REF!,#REF!,#REF!,#REF!,#REF!</definedName>
    <definedName name="施工费用">#REF!,#REF!,#REF!,#REF!,#REF!,#REF!,#REF!,#REF!,#REF!,#REF!,#REF!,#REF!</definedName>
    <definedName name="十二级">区片价!$S$1:$S$8</definedName>
    <definedName name="十级">区片价!$Q$1:$Q$27</definedName>
    <definedName name="十一级">区片价!$R$1:$R$22</definedName>
    <definedName name="石健华" localSheetId="22">#REF!</definedName>
    <definedName name="石健华" localSheetId="23">#REF!</definedName>
    <definedName name="石健华">#REF!</definedName>
    <definedName name="实际付款金额" localSheetId="22">#REF!</definedName>
    <definedName name="实际付款金额" localSheetId="23">#REF!</definedName>
    <definedName name="实际付款金额">#REF!</definedName>
    <definedName name="实际付款时间" localSheetId="22">#REF!</definedName>
    <definedName name="实际付款时间" localSheetId="23">#REF!</definedName>
    <definedName name="实际付款时间">#REF!</definedName>
    <definedName name="实际开发总成本" localSheetId="22">#REF!</definedName>
    <definedName name="实际开发总成本" localSheetId="23">#REF!</definedName>
    <definedName name="实际开发总成本">#REF!</definedName>
    <definedName name="事实上" localSheetId="22">#REF!</definedName>
    <definedName name="事实上" localSheetId="23">#REF!</definedName>
    <definedName name="事实上">#REF!</definedName>
    <definedName name="是否封闭">'比较法-仓储'!$B$89:$M$89</definedName>
    <definedName name="是否直接入户">'比较法-车位'!$B$95:$M$95</definedName>
    <definedName name="收入游" hidden="1">"c1023"</definedName>
    <definedName name="数据" localSheetId="22">#REF!</definedName>
    <definedName name="数据" localSheetId="23">#REF!</definedName>
    <definedName name="数据">#REF!</definedName>
    <definedName name="四级">区片价!$K$1:$K$28</definedName>
    <definedName name="四期" localSheetId="22">#REF!</definedName>
    <definedName name="四期" localSheetId="23">#REF!</definedName>
    <definedName name="四期">#REF!</definedName>
    <definedName name="四期装修" localSheetId="22">#REF!</definedName>
    <definedName name="四期装修" localSheetId="23">#REF!</definedName>
    <definedName name="四期装修">#REF!</definedName>
    <definedName name="损益" localSheetId="22">#REF!</definedName>
    <definedName name="损益" localSheetId="23">#REF!</definedName>
    <definedName name="损益" localSheetId="51">#REF!</definedName>
    <definedName name="损益">#REF!</definedName>
    <definedName name="损益表" localSheetId="22">#REF!</definedName>
    <definedName name="损益表" localSheetId="23">#REF!</definedName>
    <definedName name="损益表" localSheetId="51">#REF!</definedName>
    <definedName name="损益表">#REF!</definedName>
    <definedName name="所得税" localSheetId="22">#REF!</definedName>
    <definedName name="所得税" localSheetId="23">#REF!</definedName>
    <definedName name="所得税" localSheetId="51">#REF!</definedName>
    <definedName name="所得税">#REF!</definedName>
    <definedName name="所得税税率" localSheetId="22">#REF!</definedName>
    <definedName name="所得税税率" localSheetId="23">#REF!</definedName>
    <definedName name="所得税税率">#REF!</definedName>
    <definedName name="他面積" localSheetId="22">#REF!</definedName>
    <definedName name="他面積" localSheetId="23">#REF!</definedName>
    <definedName name="他面積">#REF!</definedName>
    <definedName name="他収入" localSheetId="22">#REF!</definedName>
    <definedName name="他収入" localSheetId="23">#REF!</definedName>
    <definedName name="他収入">#REF!</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_xlnm.Extract" localSheetId="22">#REF!</definedName>
    <definedName name="_xlnm.Extract" localSheetId="23">#REF!</definedName>
    <definedName name="_xlnm.Extract">#REF!</definedName>
    <definedName name="停车位" localSheetId="22">#REF!</definedName>
    <definedName name="停车位" localSheetId="23">#REF!</definedName>
    <definedName name="停车位">#REF!</definedName>
    <definedName name="投资" localSheetId="22">#REF!</definedName>
    <definedName name="投资" localSheetId="23">#REF!</definedName>
    <definedName name="投资" localSheetId="51">#REF!</definedName>
    <definedName name="投资">#REF!</definedName>
    <definedName name="投资收益" localSheetId="22">#REF!</definedName>
    <definedName name="投资收益" localSheetId="23">#REF!</definedName>
    <definedName name="投资收益" localSheetId="51">#REF!</definedName>
    <definedName name="投资收益">#REF!</definedName>
    <definedName name="土地" localSheetId="22">#REF!</definedName>
    <definedName name="土地" localSheetId="23">#REF!</definedName>
    <definedName name="土地">#REF!</definedName>
    <definedName name="土地估价师">估价师及机构信息!$D$3:$D$24</definedName>
    <definedName name="土地级别">定义!$C$1:$C$14</definedName>
    <definedName name="土地交易税税率" localSheetId="22">#REF!</definedName>
    <definedName name="土地交易税税率" localSheetId="23">#REF!</definedName>
    <definedName name="土地交易税税率">#REF!</definedName>
    <definedName name="土地利用方向">定义!$P$1:$P$6</definedName>
    <definedName name="土地面积平方米" localSheetId="22">#REF!</definedName>
    <definedName name="土地面积平方米" localSheetId="23">#REF!</definedName>
    <definedName name="土地面积平方米">#REF!</definedName>
    <definedName name="土地年限区间">定义!$I$1:$I$8</definedName>
    <definedName name="土地增值税补缴" localSheetId="22">#REF!</definedName>
    <definedName name="土地增值税补缴" localSheetId="23">#REF!</definedName>
    <definedName name="土地增值税补缴">#REF!</definedName>
    <definedName name="土地增值税预缴税率" localSheetId="22">#REF!</definedName>
    <definedName name="土地增值税预缴税率" localSheetId="23">#REF!</definedName>
    <definedName name="土地增值税预缴税率">#REF!</definedName>
    <definedName name="外方投资" localSheetId="22">#REF!</definedName>
    <definedName name="外方投资" localSheetId="23">#REF!</definedName>
    <definedName name="外方投资" localSheetId="51">#REF!</definedName>
    <definedName name="外方投资">#REF!</definedName>
    <definedName name="往来余额表" localSheetId="22">#REF!</definedName>
    <definedName name="往来余额表" localSheetId="23">#REF!</definedName>
    <definedName name="往来余额表" localSheetId="51">#REF!</definedName>
    <definedName name="往来余额表">#REF!</definedName>
    <definedName name="未分配利润" localSheetId="22">#REF!</definedName>
    <definedName name="未分配利润" localSheetId="23">#REF!</definedName>
    <definedName name="未分配利润" localSheetId="51">#REF!</definedName>
    <definedName name="未分配利润">#REF!</definedName>
    <definedName name="位置">定义!$E$2:$E$4</definedName>
    <definedName name="无形资产" localSheetId="22">#REF!</definedName>
    <definedName name="无形资产" localSheetId="23">#REF!</definedName>
    <definedName name="无形资产" localSheetId="51">#REF!</definedName>
    <definedName name="无形资产">#REF!</definedName>
    <definedName name="五等判定">定义!$W$1:$W$6</definedName>
    <definedName name="五级">区片价!$L$1:$L$35</definedName>
    <definedName name="五期" localSheetId="22">#REF!</definedName>
    <definedName name="五期" localSheetId="23">#REF!</definedName>
    <definedName name="五期">#REF!</definedName>
    <definedName name="五期装修" localSheetId="22">#REF!</definedName>
    <definedName name="五期装修" localSheetId="23">#REF!</definedName>
    <definedName name="五期装修">#REF!</definedName>
    <definedName name="五期总建面" localSheetId="22">#REF!</definedName>
    <definedName name="五期总建面" localSheetId="23">#REF!</definedName>
    <definedName name="五期总建面">#REF!</definedName>
    <definedName name="物业比例" localSheetId="22">#REF!,#REF!,#REF!,#REF!,#REF!,#REF!,#REF!,#REF!,#REF!</definedName>
    <definedName name="物业比例" localSheetId="23">#REF!,#REF!,#REF!,#REF!,#REF!,#REF!,#REF!,#REF!,#REF!</definedName>
    <definedName name="物业比例">#REF!,#REF!,#REF!,#REF!,#REF!,#REF!,#REF!,#REF!,#REF!</definedName>
    <definedName name="西安" localSheetId="22" hidden="1">#REF!</definedName>
    <definedName name="西安" localSheetId="23" hidden="1">#REF!</definedName>
    <definedName name="西安" localSheetId="51" hidden="1">#REF!</definedName>
    <definedName name="西安" hidden="1">#REF!</definedName>
    <definedName name="西安1" localSheetId="22" hidden="1">#REF!</definedName>
    <definedName name="西安1" localSheetId="23" hidden="1">#REF!</definedName>
    <definedName name="西安1" localSheetId="51" hidden="1">#REF!</definedName>
    <definedName name="西安1" hidden="1">#REF!</definedName>
    <definedName name="西安2" localSheetId="22" hidden="1">#REF!</definedName>
    <definedName name="西安2" localSheetId="23" hidden="1">#REF!</definedName>
    <definedName name="西安2" localSheetId="51" hidden="1">#REF!</definedName>
    <definedName name="西安2" hidden="1">#REF!</definedName>
    <definedName name="现金" localSheetId="22">#REF!</definedName>
    <definedName name="现金" localSheetId="23">#REF!</definedName>
    <definedName name="现金" localSheetId="51">#REF!</definedName>
    <definedName name="现金">#REF!</definedName>
    <definedName name="项目类型">'数据-汇总表'!$C$17:$C$26</definedName>
    <definedName name="项目名称" localSheetId="22">#REF!</definedName>
    <definedName name="项目名称" localSheetId="23">#REF!</definedName>
    <definedName name="项目名称">#REF!</definedName>
    <definedName name="销货净额" localSheetId="22">#REF!</definedName>
    <definedName name="销货净额" localSheetId="23">#REF!</definedName>
    <definedName name="销货净额" localSheetId="51">#REF!</definedName>
    <definedName name="销货净额">#REF!</definedName>
    <definedName name="销售费用" localSheetId="22">#REF!</definedName>
    <definedName name="销售费用" localSheetId="23">#REF!</definedName>
    <definedName name="销售费用" localSheetId="51">#REF!</definedName>
    <definedName name="销售费用">#REF!</definedName>
    <definedName name="销售回款比率" localSheetId="22">#REF!</definedName>
    <definedName name="销售回款比率" localSheetId="23">#REF!</definedName>
    <definedName name="销售回款比率">#REF!</definedName>
    <definedName name="销售价格变动率" localSheetId="22">#REF!</definedName>
    <definedName name="销售价格变动率" localSheetId="23">#REF!</definedName>
    <definedName name="销售价格变动率">#REF!</definedName>
    <definedName name="销售收入" localSheetId="22">#REF!</definedName>
    <definedName name="销售收入" localSheetId="23">#REF!</definedName>
    <definedName name="销售收入">#REF!</definedName>
    <definedName name="销售折扣和折让" localSheetId="22">#REF!</definedName>
    <definedName name="销售折扣和折让" localSheetId="23">#REF!</definedName>
    <definedName name="销售折扣和折让" localSheetId="51">#REF!</definedName>
    <definedName name="销售折扣和折让">#REF!</definedName>
    <definedName name="写字楼等级">'比较法-办公'!$B$113:$M$113</definedName>
    <definedName name="信托股权总额" localSheetId="22">#REF!</definedName>
    <definedName name="信托股权总额" localSheetId="23">#REF!</definedName>
    <definedName name="信托股权总额">#REF!</definedName>
    <definedName name="信托债权收益比率" localSheetId="22">#REF!</definedName>
    <definedName name="信托债权收益比率" localSheetId="23">#REF!</definedName>
    <definedName name="信托债权收益比率">#REF!</definedName>
    <definedName name="信托债权总额" localSheetId="22">#REF!</definedName>
    <definedName name="信托债权总额" localSheetId="23">#REF!</definedName>
    <definedName name="信托债权总额">#REF!</definedName>
    <definedName name="一表" localSheetId="22">#REF!</definedName>
    <definedName name="一表" localSheetId="23">#REF!</definedName>
    <definedName name="一表" localSheetId="51">#REF!</definedName>
    <definedName name="一表">#REF!</definedName>
    <definedName name="一级" localSheetId="51">#REF!</definedName>
    <definedName name="一级">区片价!$H$1:$H$6</definedName>
    <definedName name="一年内到期的长期负债" localSheetId="22">#REF!</definedName>
    <definedName name="一年内到期的长期负债" localSheetId="23">#REF!</definedName>
    <definedName name="一年内到期的长期负债" localSheetId="51">#REF!</definedName>
    <definedName name="一年内到期的长期负债">#REF!</definedName>
    <definedName name="一年内到期的长期投资" localSheetId="22">#REF!</definedName>
    <definedName name="一年内到期的长期投资" localSheetId="23">#REF!</definedName>
    <definedName name="一年内到期的长期投资" localSheetId="51">#REF!</definedName>
    <definedName name="一年内到期的长期投资">#REF!</definedName>
    <definedName name="一年以上的应收款项" localSheetId="22">#REF!</definedName>
    <definedName name="一年以上的应收款项" localSheetId="23">#REF!</definedName>
    <definedName name="一年以上的应收款项" localSheetId="51">#REF!</definedName>
    <definedName name="一年以上的应收款项">#REF!</definedName>
    <definedName name="一期" localSheetId="22">#REF!</definedName>
    <definedName name="一期" localSheetId="23">#REF!</definedName>
    <definedName name="一期">#REF!</definedName>
    <definedName name="一期装修" localSheetId="22">#REF!</definedName>
    <definedName name="一期装修" localSheetId="23">#REF!</definedName>
    <definedName name="一期装修">#REF!</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依据" localSheetId="22">#REF!</definedName>
    <definedName name="依据" localSheetId="23">#REF!</definedName>
    <definedName name="依据">#REF!</definedName>
    <definedName name="已归还投资" localSheetId="22">#REF!</definedName>
    <definedName name="已归还投资" localSheetId="23">#REF!</definedName>
    <definedName name="已归还投资" localSheetId="51">#REF!</definedName>
    <definedName name="已归还投资">#REF!</definedName>
    <definedName name="以前年度损益调整" localSheetId="22">#REF!</definedName>
    <definedName name="以前年度损益调整" localSheetId="23">#REF!</definedName>
    <definedName name="以前年度损益调整" localSheetId="51">#REF!</definedName>
    <definedName name="以前年度损益调整">#REF!</definedName>
    <definedName name="银行保管费" localSheetId="22">#REF!</definedName>
    <definedName name="银行保管费" localSheetId="23">#REF!</definedName>
    <definedName name="银行保管费">#REF!</definedName>
    <definedName name="银行存款" localSheetId="22">#REF!</definedName>
    <definedName name="银行存款" localSheetId="23">#REF!</definedName>
    <definedName name="银行存款" localSheetId="51">#REF!</definedName>
    <definedName name="银行存款">#REF!</definedName>
    <definedName name="印花税" localSheetId="22">#REF!</definedName>
    <definedName name="印花税" localSheetId="23">#REF!</definedName>
    <definedName name="印花税">#REF!</definedName>
    <definedName name="印花税税率" localSheetId="22">#REF!</definedName>
    <definedName name="印花税税率" localSheetId="23">#REF!</definedName>
    <definedName name="印花税税率">#REF!</definedName>
    <definedName name="应付" localSheetId="22">#REF!</definedName>
    <definedName name="应付" localSheetId="23">#REF!</definedName>
    <definedName name="应付" localSheetId="51">#REF!</definedName>
    <definedName name="应付">#REF!</definedName>
    <definedName name="应付福利费" localSheetId="22">#REF!</definedName>
    <definedName name="应付福利费" localSheetId="23">#REF!</definedName>
    <definedName name="应付福利费" localSheetId="51">#REF!</definedName>
    <definedName name="应付福利费">#REF!</definedName>
    <definedName name="应付公司债溢价折价" localSheetId="22">#REF!</definedName>
    <definedName name="应付公司债溢价折价" localSheetId="23">#REF!</definedName>
    <definedName name="应付公司债溢价折价" localSheetId="51">#REF!</definedName>
    <definedName name="应付公司债溢价折价">#REF!</definedName>
    <definedName name="应付股利" localSheetId="22">#REF!</definedName>
    <definedName name="应付股利" localSheetId="23">#REF!</definedName>
    <definedName name="应付股利" localSheetId="51">#REF!</definedName>
    <definedName name="应付股利">#REF!</definedName>
    <definedName name="应付票据" localSheetId="22">#REF!</definedName>
    <definedName name="应付票据" localSheetId="23">#REF!</definedName>
    <definedName name="应付票据" localSheetId="51">#REF!</definedName>
    <definedName name="应付票据">#REF!</definedName>
    <definedName name="应付债券" localSheetId="22">#REF!</definedName>
    <definedName name="应付债券" localSheetId="23">#REF!</definedName>
    <definedName name="应付债券" localSheetId="51">#REF!</definedName>
    <definedName name="应付债券">#REF!</definedName>
    <definedName name="应付帐款" localSheetId="22">#REF!</definedName>
    <definedName name="应付帐款" localSheetId="23">#REF!</definedName>
    <definedName name="应付帐款" localSheetId="51">#REF!</definedName>
    <definedName name="应付帐款">#REF!</definedName>
    <definedName name="应交税金" localSheetId="22">#REF!</definedName>
    <definedName name="应交税金" localSheetId="23">#REF!</definedName>
    <definedName name="应交税金" localSheetId="51">#REF!</definedName>
    <definedName name="应交税金">#REF!</definedName>
    <definedName name="应收" localSheetId="22">#REF!</definedName>
    <definedName name="应收" localSheetId="23">#REF!</definedName>
    <definedName name="应收" localSheetId="51">#REF!</definedName>
    <definedName name="应收">#REF!</definedName>
    <definedName name="应收票据" localSheetId="22">#REF!</definedName>
    <definedName name="应收票据" localSheetId="23">#REF!</definedName>
    <definedName name="应收票据" localSheetId="51">#REF!</definedName>
    <definedName name="应收票据">#REF!</definedName>
    <definedName name="应收帐款" localSheetId="22">#REF!</definedName>
    <definedName name="应收帐款" localSheetId="23">#REF!</definedName>
    <definedName name="应收帐款" localSheetId="51">#REF!</definedName>
    <definedName name="应收帐款">#REF!</definedName>
    <definedName name="盈余公积" localSheetId="22">#REF!</definedName>
    <definedName name="盈余公积" localSheetId="23">#REF!</definedName>
    <definedName name="盈余公积" localSheetId="51">#REF!</definedName>
    <definedName name="盈余公积">#REF!</definedName>
    <definedName name="营销费用费率" localSheetId="22">#REF!</definedName>
    <definedName name="营销费用费率" localSheetId="23">#REF!</definedName>
    <definedName name="营销费用费率">#REF!</definedName>
    <definedName name="营业成本" localSheetId="22">#REF!</definedName>
    <definedName name="营业成本" localSheetId="23">#REF!</definedName>
    <definedName name="营业成本" localSheetId="51">#REF!</definedName>
    <definedName name="营业成本">#REF!</definedName>
    <definedName name="营业税" localSheetId="22">#REF!</definedName>
    <definedName name="营业税" localSheetId="23">#REF!</definedName>
    <definedName name="营业税">#REF!</definedName>
    <definedName name="营业税金及附加" localSheetId="22">#REF!</definedName>
    <definedName name="营业税金及附加" localSheetId="23">#REF!</definedName>
    <definedName name="营业税金及附加" localSheetId="51">#REF!</definedName>
    <definedName name="营业税金及附加">#REF!</definedName>
    <definedName name="营业税税率" localSheetId="22">#REF!</definedName>
    <definedName name="营业税税率" localSheetId="23">#REF!</definedName>
    <definedName name="营业税税率">#REF!</definedName>
    <definedName name="营业外收入" localSheetId="22">#REF!</definedName>
    <definedName name="营业外收入" localSheetId="23">#REF!</definedName>
    <definedName name="营业外收入" localSheetId="51">#REF!</definedName>
    <definedName name="营业外收入">#REF!</definedName>
    <definedName name="营业外支出" localSheetId="22">#REF!</definedName>
    <definedName name="营业外支出" localSheetId="23">#REF!</definedName>
    <definedName name="营业外支出" localSheetId="51">#REF!</definedName>
    <definedName name="营业外支出">#REF!</definedName>
    <definedName name="用途明细">定义!$A$1:$A$50</definedName>
    <definedName name="有" localSheetId="22" hidden="1">#REF!</definedName>
    <definedName name="有" localSheetId="23" hidden="1">#REF!</definedName>
    <definedName name="有" localSheetId="51" hidden="1">#REF!</definedName>
    <definedName name="有" hidden="1">#REF!</definedName>
    <definedName name="有价证券" localSheetId="22">#REF!</definedName>
    <definedName name="有价证券" localSheetId="23">#REF!</definedName>
    <definedName name="有价证券" localSheetId="51">#REF!</definedName>
    <definedName name="有价证券">#REF!</definedName>
    <definedName name="有无电梯">'比较法-仓储'!$B$84:$M$84</definedName>
    <definedName name="余额" localSheetId="22">#REF!</definedName>
    <definedName name="余额" localSheetId="23">#REF!</definedName>
    <definedName name="余额" localSheetId="51">#REF!</definedName>
    <definedName name="余额">#REF!</definedName>
    <definedName name="余额表" localSheetId="22">#REF!</definedName>
    <definedName name="余额表" localSheetId="23">#REF!</definedName>
    <definedName name="余额表" localSheetId="51">#REF!</definedName>
    <definedName name="余额表">#REF!</definedName>
    <definedName name="预付货款" localSheetId="22">#REF!</definedName>
    <definedName name="预付货款" localSheetId="23">#REF!</definedName>
    <definedName name="预付货款" localSheetId="51">#REF!</definedName>
    <definedName name="预付货款">#REF!</definedName>
    <definedName name="预交所得税" localSheetId="22">#REF!</definedName>
    <definedName name="预交所得税" localSheetId="23">#REF!</definedName>
    <definedName name="预交所得税" localSheetId="51">#REF!</definedName>
    <definedName name="预交所得税">#REF!</definedName>
    <definedName name="预缴企业所得税税率" localSheetId="22">#REF!</definedName>
    <definedName name="预缴企业所得税税率" localSheetId="23">#REF!</definedName>
    <definedName name="预缴企业所得税税率">#REF!</definedName>
    <definedName name="预收货款" localSheetId="22">#REF!</definedName>
    <definedName name="预收货款" localSheetId="23">#REF!</definedName>
    <definedName name="预收货款" localSheetId="51">#REF!</definedName>
    <definedName name="预收货款">#REF!</definedName>
    <definedName name="预提费用" localSheetId="22">#REF!</definedName>
    <definedName name="预提费用" localSheetId="23">#REF!</definedName>
    <definedName name="预提费用" localSheetId="51">#REF!</definedName>
    <definedName name="预提费用">#REF!</definedName>
    <definedName name="预提所得税" localSheetId="22">#REF!</definedName>
    <definedName name="预提所得税" localSheetId="23">#REF!</definedName>
    <definedName name="预提所得税" localSheetId="51">#REF!</definedName>
    <definedName name="预提所得税">#REF!</definedName>
    <definedName name="元ﾚｰﾄ" localSheetId="22">#REF!</definedName>
    <definedName name="元ﾚｰﾄ" localSheetId="23">#REF!</definedName>
    <definedName name="元ﾚｰﾄ">#REF!</definedName>
    <definedName name="在建工程" localSheetId="22">#REF!</definedName>
    <definedName name="在建工程" localSheetId="23">#REF!</definedName>
    <definedName name="在建工程" localSheetId="51">#REF!</definedName>
    <definedName name="在建工程">#REF!</definedName>
    <definedName name="增值费" localSheetId="22">#REF!</definedName>
    <definedName name="增值费" localSheetId="23">#REF!</definedName>
    <definedName name="增值费">#REF!</definedName>
    <definedName name="债权收益总额" localSheetId="22">#REF!</definedName>
    <definedName name="债权收益总额" localSheetId="23">#REF!</definedName>
    <definedName name="债权收益总额">#REF!</definedName>
    <definedName name="漳州减租每月明细" localSheetId="22" hidden="1">#REF!</definedName>
    <definedName name="漳州减租每月明细" localSheetId="23" hidden="1">#REF!</definedName>
    <definedName name="漳州减租每月明细" hidden="1">#REF!</definedName>
    <definedName name="中方投资" localSheetId="22">#REF!</definedName>
    <definedName name="中方投资" localSheetId="23">#REF!</definedName>
    <definedName name="中方投资" localSheetId="51">#REF!</definedName>
    <definedName name="中方投资">#REF!</definedName>
    <definedName name="主营业务收入" localSheetId="22">#REF!</definedName>
    <definedName name="主营业务收入" localSheetId="23">#REF!</definedName>
    <definedName name="主营业务收入" localSheetId="51">#REF!</definedName>
    <definedName name="主营业务收入">#REF!</definedName>
    <definedName name="主用途">定义!$F$1:$F$10</definedName>
    <definedName name="住增1" localSheetId="22">#REF!</definedName>
    <definedName name="住增1" localSheetId="23">#REF!</definedName>
    <definedName name="住增1">#REF!</definedName>
    <definedName name="住增10" localSheetId="22">#REF!</definedName>
    <definedName name="住增10" localSheetId="23">#REF!</definedName>
    <definedName name="住增10">#REF!</definedName>
    <definedName name="住增2" localSheetId="22">#REF!</definedName>
    <definedName name="住增2" localSheetId="23">#REF!</definedName>
    <definedName name="住增2">#REF!</definedName>
    <definedName name="住增3" localSheetId="22">#REF!</definedName>
    <definedName name="住增3" localSheetId="23">#REF!</definedName>
    <definedName name="住增3">#REF!</definedName>
    <definedName name="住增4" localSheetId="22">#REF!</definedName>
    <definedName name="住增4" localSheetId="23">#REF!</definedName>
    <definedName name="住增4">#REF!</definedName>
    <definedName name="住增5" localSheetId="22">#REF!</definedName>
    <definedName name="住增5" localSheetId="23">#REF!</definedName>
    <definedName name="住增5">#REF!</definedName>
    <definedName name="住增6" localSheetId="22">#REF!</definedName>
    <definedName name="住增6" localSheetId="23">#REF!</definedName>
    <definedName name="住增6">#REF!</definedName>
    <definedName name="住增7" localSheetId="22">#REF!</definedName>
    <definedName name="住增7" localSheetId="23">#REF!</definedName>
    <definedName name="住增7">#REF!</definedName>
    <definedName name="住增8" localSheetId="22">#REF!</definedName>
    <definedName name="住增8" localSheetId="23">#REF!</definedName>
    <definedName name="住增8">#REF!</definedName>
    <definedName name="住增9" localSheetId="22">#REF!</definedName>
    <definedName name="住增9" localSheetId="23">#REF!</definedName>
    <definedName name="住增9">#REF!</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楼总建面" localSheetId="22">#REF!</definedName>
    <definedName name="住宅楼总建面" localSheetId="23">#REF!</definedName>
    <definedName name="住宅楼总建面">#REF!</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住宅専有" localSheetId="22">#REF!</definedName>
    <definedName name="住宅専有" localSheetId="23">#REF!</definedName>
    <definedName name="住宅専有">#REF!</definedName>
    <definedName name="注册房地产估价师">估价师及机构信息!$A$3:$A$24</definedName>
    <definedName name="转让价" localSheetId="22">#REF!</definedName>
    <definedName name="转让价" localSheetId="23">#REF!</definedName>
    <definedName name="转让价">#REF!</definedName>
    <definedName name="资本公积" localSheetId="22">#REF!</definedName>
    <definedName name="资本公积" localSheetId="23">#REF!</definedName>
    <definedName name="资本公积" localSheetId="51">#REF!</definedName>
    <definedName name="资本公积">#REF!</definedName>
    <definedName name="自有资金成本" localSheetId="22">#REF!</definedName>
    <definedName name="自有资金成本" localSheetId="23">#REF!</definedName>
    <definedName name="自有资金成本">#REF!</definedName>
    <definedName name="总建筑面积" localSheetId="22">#REF!</definedName>
    <definedName name="总建筑面积" localSheetId="23">#REF!</definedName>
    <definedName name="总建筑面积">#REF!</definedName>
    <definedName name="总土地成本" localSheetId="22">#REF!</definedName>
    <definedName name="总土地成本" localSheetId="23">#REF!</definedName>
    <definedName name="总土地成本">#REF!</definedName>
    <definedName name="租金单价" localSheetId="22">#REF!</definedName>
    <definedName name="租金单价" localSheetId="23">#REF!</definedName>
    <definedName name="租金单价">#REF!</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I48" i="34" l="1"/>
  <c r="G48" i="34"/>
  <c r="E48" i="34"/>
  <c r="L8" i="80" l="1"/>
  <c r="L6" i="80" l="1"/>
  <c r="I29" i="35"/>
  <c r="G29" i="35"/>
  <c r="E29" i="35"/>
  <c r="I37" i="34"/>
  <c r="G37" i="34"/>
  <c r="E37" i="34"/>
  <c r="E47" i="33" l="1"/>
  <c r="J6" i="80"/>
  <c r="J7" i="80"/>
  <c r="K8" i="80" s="1"/>
  <c r="J8" i="80"/>
  <c r="J9" i="80"/>
  <c r="J10" i="80"/>
  <c r="J14" i="80"/>
  <c r="J13" i="80"/>
  <c r="J4" i="80"/>
  <c r="J3" i="80"/>
  <c r="K6" i="80" s="1"/>
  <c r="C16" i="74" l="1"/>
  <c r="C15" i="74"/>
  <c r="B16" i="74"/>
  <c r="B15" i="74"/>
  <c r="I47" i="33" l="1"/>
  <c r="G47" i="33" l="1"/>
  <c r="I128" i="81"/>
  <c r="M13" i="3"/>
  <c r="G21" i="6"/>
  <c r="E21" i="6"/>
  <c r="M18" i="83"/>
  <c r="B118" i="83"/>
  <c r="I4" i="81"/>
  <c r="K13" i="3"/>
  <c r="F20" i="6"/>
  <c r="E20" i="6"/>
  <c r="M18" i="82"/>
  <c r="B118" i="82"/>
  <c r="E111" i="83"/>
  <c r="H111" i="83"/>
  <c r="D126" i="83"/>
  <c r="D127" i="83"/>
  <c r="A126" i="83"/>
  <c r="E109" i="83"/>
  <c r="H109" i="83"/>
  <c r="D124" i="83"/>
  <c r="D125" i="83"/>
  <c r="A124" i="83"/>
  <c r="E107" i="83"/>
  <c r="A122" i="83"/>
  <c r="A120" i="83"/>
  <c r="S2" i="4"/>
  <c r="A118" i="83"/>
  <c r="H112" i="83"/>
  <c r="H110" i="83"/>
  <c r="H106" i="83"/>
  <c r="H105" i="83"/>
  <c r="H104" i="83"/>
  <c r="H103" i="83"/>
  <c r="D120" i="83"/>
  <c r="D101" i="83"/>
  <c r="C101" i="83"/>
  <c r="B43" i="1"/>
  <c r="D93" i="83"/>
  <c r="D89" i="83"/>
  <c r="C89" i="83"/>
  <c r="C87" i="83"/>
  <c r="C91" i="83"/>
  <c r="C92" i="83"/>
  <c r="E90" i="83"/>
  <c r="C94" i="83"/>
  <c r="D78" i="83"/>
  <c r="H77" i="83"/>
  <c r="D77" i="83"/>
  <c r="D3" i="4"/>
  <c r="B2" i="1"/>
  <c r="C42" i="1"/>
  <c r="C77" i="83"/>
  <c r="C76" i="83"/>
  <c r="C74" i="83"/>
  <c r="B41" i="1"/>
  <c r="D68" i="83"/>
  <c r="F59" i="83"/>
  <c r="E59" i="83"/>
  <c r="D59" i="83"/>
  <c r="J55" i="83"/>
  <c r="K6" i="4"/>
  <c r="J56" i="83"/>
  <c r="J57" i="83"/>
  <c r="J59" i="83"/>
  <c r="J61" i="83"/>
  <c r="N56" i="83"/>
  <c r="M56" i="83"/>
  <c r="K56" i="83"/>
  <c r="F56" i="83"/>
  <c r="O55" i="83"/>
  <c r="N55" i="83"/>
  <c r="M55" i="83"/>
  <c r="K55" i="83"/>
  <c r="I55" i="83"/>
  <c r="F55" i="83"/>
  <c r="O54" i="83"/>
  <c r="N54" i="83"/>
  <c r="F54" i="83"/>
  <c r="O53" i="83"/>
  <c r="N53" i="83"/>
  <c r="F53" i="83"/>
  <c r="F48" i="83"/>
  <c r="O52" i="83"/>
  <c r="E48" i="83"/>
  <c r="N52" i="83"/>
  <c r="D48" i="83"/>
  <c r="M52" i="83"/>
  <c r="F52" i="83"/>
  <c r="K49" i="83"/>
  <c r="M47" i="83"/>
  <c r="F33" i="83"/>
  <c r="D27" i="83"/>
  <c r="H26" i="83"/>
  <c r="C25" i="83"/>
  <c r="C24" i="83"/>
  <c r="I104" i="81"/>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s="1"/>
  <c r="E3" i="6"/>
  <c r="BQ5" i="3"/>
  <c r="BS5" i="3"/>
  <c r="F28" i="6"/>
  <c r="BR5" i="3"/>
  <c r="BT5" i="3"/>
  <c r="G28" i="6"/>
  <c r="E28" i="6"/>
  <c r="F19" i="6"/>
  <c r="E19" i="6"/>
  <c r="E22" i="6"/>
  <c r="E23" i="6"/>
  <c r="E24" i="6"/>
  <c r="E25" i="6"/>
  <c r="E26" i="6"/>
  <c r="BA5" i="3"/>
  <c r="E27" i="6"/>
  <c r="K21" i="6"/>
  <c r="L21" i="6"/>
  <c r="M21" i="6"/>
  <c r="I21" i="6"/>
  <c r="L18" i="83"/>
  <c r="D17" i="83"/>
  <c r="C17" i="83"/>
  <c r="L4" i="83"/>
  <c r="K4" i="83"/>
  <c r="A2" i="83"/>
  <c r="H1" i="83"/>
  <c r="E111" i="82"/>
  <c r="A126" i="82"/>
  <c r="E107" i="82"/>
  <c r="A122" i="82"/>
  <c r="A120" i="82"/>
  <c r="A118" i="82"/>
  <c r="H111" i="82"/>
  <c r="D126" i="82"/>
  <c r="D127" i="82"/>
  <c r="H112" i="82"/>
  <c r="E109" i="82"/>
  <c r="A124" i="82"/>
  <c r="H106" i="82"/>
  <c r="H105" i="82"/>
  <c r="H103" i="82"/>
  <c r="D120" i="82"/>
  <c r="H104" i="82"/>
  <c r="D101" i="82"/>
  <c r="C101" i="82"/>
  <c r="D93" i="82"/>
  <c r="C91" i="82"/>
  <c r="E90" i="82"/>
  <c r="D89" i="82"/>
  <c r="C89" i="82"/>
  <c r="C87" i="82"/>
  <c r="D78" i="82"/>
  <c r="H77" i="82"/>
  <c r="D77" i="82"/>
  <c r="C77" i="82"/>
  <c r="C76" i="82"/>
  <c r="D68" i="82"/>
  <c r="F59" i="82"/>
  <c r="E59" i="82"/>
  <c r="D59" i="82"/>
  <c r="N56" i="82"/>
  <c r="M56" i="82"/>
  <c r="K56" i="82"/>
  <c r="J56" i="82"/>
  <c r="F56" i="82"/>
  <c r="O55" i="82"/>
  <c r="N55" i="82"/>
  <c r="M55" i="82"/>
  <c r="K55" i="82"/>
  <c r="J55" i="82"/>
  <c r="J57" i="82"/>
  <c r="J59" i="82"/>
  <c r="J61" i="82"/>
  <c r="I55" i="82"/>
  <c r="F55" i="82"/>
  <c r="O53" i="82"/>
  <c r="O54" i="82"/>
  <c r="N54" i="82"/>
  <c r="F54" i="82"/>
  <c r="N53" i="82"/>
  <c r="F53" i="82"/>
  <c r="F52" i="82"/>
  <c r="K49" i="82"/>
  <c r="F48" i="82"/>
  <c r="O52" i="82"/>
  <c r="E48" i="82"/>
  <c r="N52" i="82"/>
  <c r="D48" i="82"/>
  <c r="M52" i="82"/>
  <c r="M47" i="82"/>
  <c r="F33" i="82"/>
  <c r="D27" i="82"/>
  <c r="H26" i="82"/>
  <c r="C25" i="82"/>
  <c r="C24" i="82"/>
  <c r="K20" i="6"/>
  <c r="L20" i="6"/>
  <c r="M20" i="6"/>
  <c r="I20" i="6"/>
  <c r="L18" i="82"/>
  <c r="D17" i="82"/>
  <c r="C17" i="82"/>
  <c r="L4" i="82"/>
  <c r="K4" i="82"/>
  <c r="A2" i="82"/>
  <c r="H1" i="82"/>
  <c r="A6" i="1"/>
  <c r="A7" i="1"/>
  <c r="A8" i="1"/>
  <c r="A9" i="1"/>
  <c r="A10" i="1"/>
  <c r="A11" i="1"/>
  <c r="A12" i="1"/>
  <c r="A13" i="1"/>
  <c r="F3" i="35"/>
  <c r="R37" i="35"/>
  <c r="C7" i="35"/>
  <c r="C48" i="35"/>
  <c r="D48" i="35"/>
  <c r="E48" i="35"/>
  <c r="F48" i="35"/>
  <c r="G48" i="35"/>
  <c r="H48" i="35"/>
  <c r="I48" i="35"/>
  <c r="J48" i="35"/>
  <c r="K48" i="35"/>
  <c r="L48" i="35"/>
  <c r="M48" i="35"/>
  <c r="N48" i="35"/>
  <c r="O48" i="35"/>
  <c r="F7" i="35"/>
  <c r="AA7" i="35"/>
  <c r="F8" i="35"/>
  <c r="AA8" i="35"/>
  <c r="C53" i="35"/>
  <c r="F9" i="35"/>
  <c r="AA9" i="35"/>
  <c r="B57" i="35"/>
  <c r="F11" i="35"/>
  <c r="AA11" i="35"/>
  <c r="B59" i="35"/>
  <c r="F12" i="35"/>
  <c r="AA12" i="35"/>
  <c r="B61" i="35"/>
  <c r="F13" i="35"/>
  <c r="AA13" i="35"/>
  <c r="D64" i="35"/>
  <c r="F14" i="35"/>
  <c r="AA14" i="35" s="1"/>
  <c r="D66" i="35"/>
  <c r="F16" i="35"/>
  <c r="AA16" i="35"/>
  <c r="F18" i="35"/>
  <c r="AA18" i="35"/>
  <c r="D70" i="35"/>
  <c r="E70" i="35"/>
  <c r="F20" i="35"/>
  <c r="AA20" i="35"/>
  <c r="F22" i="35"/>
  <c r="AA22" i="35"/>
  <c r="B73" i="35"/>
  <c r="F23" i="35"/>
  <c r="AA23" i="35"/>
  <c r="B75" i="35"/>
  <c r="F24" i="35"/>
  <c r="AA24" i="35"/>
  <c r="B77" i="35"/>
  <c r="F25" i="35"/>
  <c r="AA25" i="35"/>
  <c r="C26" i="35"/>
  <c r="C79" i="35" s="1"/>
  <c r="F27" i="35"/>
  <c r="AA27" i="35"/>
  <c r="F28" i="35"/>
  <c r="AA28" i="35" s="1"/>
  <c r="D87" i="35"/>
  <c r="E87" i="35" s="1"/>
  <c r="F87" i="35" s="1"/>
  <c r="G87" i="35" s="1"/>
  <c r="F30" i="35"/>
  <c r="AA30" i="35" s="1"/>
  <c r="F31" i="35"/>
  <c r="AA31" i="35" s="1"/>
  <c r="D94" i="35"/>
  <c r="F32" i="35"/>
  <c r="AA32" i="35" s="1"/>
  <c r="F33" i="35"/>
  <c r="AA33" i="35"/>
  <c r="B97" i="35"/>
  <c r="F34" i="35"/>
  <c r="AA34" i="35"/>
  <c r="B99" i="35"/>
  <c r="F35" i="35"/>
  <c r="AA35" i="35"/>
  <c r="B101" i="35"/>
  <c r="F36" i="35"/>
  <c r="AA36" i="35"/>
  <c r="T37" i="35"/>
  <c r="G7" i="35"/>
  <c r="H7" i="35"/>
  <c r="AB7" i="35"/>
  <c r="H8" i="35"/>
  <c r="AB8" i="35"/>
  <c r="H9" i="35"/>
  <c r="AB9" i="35"/>
  <c r="H11" i="35"/>
  <c r="AB11" i="35"/>
  <c r="H12" i="35"/>
  <c r="AB12" i="35"/>
  <c r="H13" i="35"/>
  <c r="AB13" i="35"/>
  <c r="H14" i="35"/>
  <c r="AB14" i="35" s="1"/>
  <c r="H16" i="35"/>
  <c r="AB16" i="35"/>
  <c r="H18" i="35"/>
  <c r="AB18" i="35"/>
  <c r="H20" i="35"/>
  <c r="AB20" i="35"/>
  <c r="H22" i="35"/>
  <c r="AB22" i="35"/>
  <c r="H23" i="35"/>
  <c r="AB23" i="35"/>
  <c r="H24" i="35"/>
  <c r="AB24" i="35"/>
  <c r="H25" i="35"/>
  <c r="AB25" i="35"/>
  <c r="H27" i="35"/>
  <c r="AB27" i="35"/>
  <c r="H28" i="35"/>
  <c r="AB28" i="35" s="1"/>
  <c r="H30" i="35"/>
  <c r="AB30" i="35" s="1"/>
  <c r="H31" i="35"/>
  <c r="AB31" i="35" s="1"/>
  <c r="H32" i="35"/>
  <c r="AB32" i="35"/>
  <c r="H33" i="35"/>
  <c r="AB33" i="35"/>
  <c r="H34" i="35"/>
  <c r="AB34" i="35"/>
  <c r="H35" i="35"/>
  <c r="AB35" i="35"/>
  <c r="H36" i="35"/>
  <c r="AB36" i="35"/>
  <c r="V37" i="35"/>
  <c r="I7" i="35"/>
  <c r="J7" i="35"/>
  <c r="AC7" i="35"/>
  <c r="J8" i="35"/>
  <c r="AC8" i="35"/>
  <c r="J9" i="35"/>
  <c r="AC9" i="35"/>
  <c r="J11" i="35"/>
  <c r="AC11" i="35"/>
  <c r="J12" i="35"/>
  <c r="AC12" i="35"/>
  <c r="J13" i="35"/>
  <c r="AC13" i="35"/>
  <c r="J14" i="35"/>
  <c r="AC14" i="35" s="1"/>
  <c r="J16" i="35"/>
  <c r="AC16" i="35"/>
  <c r="J18" i="35"/>
  <c r="AC18" i="35"/>
  <c r="J20" i="35"/>
  <c r="AC20" i="35"/>
  <c r="J22" i="35"/>
  <c r="AC22" i="35"/>
  <c r="J23" i="35"/>
  <c r="AC23" i="35"/>
  <c r="J24" i="35"/>
  <c r="AC24" i="35"/>
  <c r="J25" i="35"/>
  <c r="AC25" i="35"/>
  <c r="J27" i="35"/>
  <c r="AC27" i="35"/>
  <c r="J28" i="35"/>
  <c r="AC28" i="35" s="1"/>
  <c r="J30" i="35"/>
  <c r="AC30" i="35" s="1"/>
  <c r="J31" i="35"/>
  <c r="AC31" i="35" s="1"/>
  <c r="J32" i="35"/>
  <c r="AC32" i="35" s="1"/>
  <c r="J33" i="35"/>
  <c r="AC33" i="35"/>
  <c r="J34" i="35"/>
  <c r="AC34" i="35"/>
  <c r="J35" i="35"/>
  <c r="AC35" i="35"/>
  <c r="J36" i="35"/>
  <c r="AC36" i="35"/>
  <c r="D3" i="35"/>
  <c r="K120" i="83"/>
  <c r="D121" i="83"/>
  <c r="K120" i="82"/>
  <c r="D121" i="82"/>
  <c r="C74" i="82"/>
  <c r="C92" i="82"/>
  <c r="C94" i="82"/>
  <c r="H109" i="82"/>
  <c r="K2" i="81"/>
  <c r="K3" i="81"/>
  <c r="K5" i="81"/>
  <c r="L5" i="81"/>
  <c r="I129" i="81"/>
  <c r="D124" i="82"/>
  <c r="D125" i="82"/>
  <c r="H110" i="82"/>
  <c r="E93" i="33"/>
  <c r="H26" i="9"/>
  <c r="Q70" i="79"/>
  <c r="O70" i="79"/>
  <c r="M70" i="79"/>
  <c r="K70" i="79"/>
  <c r="I70" i="79"/>
  <c r="G70" i="79"/>
  <c r="E70" i="79"/>
  <c r="C70" i="79"/>
  <c r="R70" i="79"/>
  <c r="P70" i="79"/>
  <c r="N70" i="79"/>
  <c r="L70" i="79"/>
  <c r="J70" i="79"/>
  <c r="H70" i="79"/>
  <c r="F70" i="79"/>
  <c r="D70" i="79"/>
  <c r="R64" i="79"/>
  <c r="P64" i="79"/>
  <c r="N64" i="79"/>
  <c r="L64" i="79"/>
  <c r="J64" i="79"/>
  <c r="H64" i="79"/>
  <c r="F64" i="79"/>
  <c r="D64" i="79"/>
  <c r="Q64" i="79"/>
  <c r="O64" i="79"/>
  <c r="M64" i="79"/>
  <c r="K64" i="79"/>
  <c r="I64" i="79"/>
  <c r="G64" i="79"/>
  <c r="E64" i="79"/>
  <c r="C64" i="79"/>
  <c r="I62" i="79"/>
  <c r="I60" i="79"/>
  <c r="H62" i="79"/>
  <c r="H60" i="79"/>
  <c r="R60" i="79"/>
  <c r="Q60" i="79"/>
  <c r="P60" i="79"/>
  <c r="O60" i="79"/>
  <c r="N60" i="79"/>
  <c r="M60" i="79"/>
  <c r="L60" i="79"/>
  <c r="K60" i="79"/>
  <c r="J60" i="79"/>
  <c r="G60" i="79"/>
  <c r="F60" i="79"/>
  <c r="E60" i="79"/>
  <c r="D60" i="79"/>
  <c r="C60" i="79"/>
  <c r="R6" i="79"/>
  <c r="Q6" i="79"/>
  <c r="P6" i="79"/>
  <c r="O6" i="79"/>
  <c r="N6" i="79"/>
  <c r="M6" i="79"/>
  <c r="L6" i="79"/>
  <c r="K6" i="79"/>
  <c r="J6" i="79"/>
  <c r="I6" i="79"/>
  <c r="H6" i="79"/>
  <c r="G6" i="79"/>
  <c r="F6" i="79"/>
  <c r="E6" i="79"/>
  <c r="D6" i="79"/>
  <c r="C6" i="79"/>
  <c r="F2" i="79"/>
  <c r="H59" i="79"/>
  <c r="D59" i="79"/>
  <c r="F59" i="79"/>
  <c r="J59" i="79"/>
  <c r="L59" i="79"/>
  <c r="N59" i="79"/>
  <c r="P59" i="79"/>
  <c r="R59" i="79"/>
  <c r="E59" i="79"/>
  <c r="E76" i="79"/>
  <c r="E81" i="79"/>
  <c r="M59" i="79"/>
  <c r="M76" i="79"/>
  <c r="M81" i="79"/>
  <c r="Q59" i="79"/>
  <c r="Q76" i="79"/>
  <c r="Q81" i="79"/>
  <c r="D76" i="79"/>
  <c r="D81" i="79"/>
  <c r="F76" i="79"/>
  <c r="F81" i="79"/>
  <c r="J76" i="79"/>
  <c r="J81" i="79"/>
  <c r="L76" i="79"/>
  <c r="L81" i="79"/>
  <c r="N76" i="79"/>
  <c r="N81" i="79"/>
  <c r="P76" i="79"/>
  <c r="P81" i="79"/>
  <c r="R76" i="79"/>
  <c r="R81" i="79"/>
  <c r="C59" i="79"/>
  <c r="C76" i="79"/>
  <c r="G59" i="79"/>
  <c r="G76" i="79"/>
  <c r="G81" i="79"/>
  <c r="K59" i="79"/>
  <c r="K76" i="79"/>
  <c r="K81" i="79"/>
  <c r="O59" i="79"/>
  <c r="O76" i="79"/>
  <c r="O81" i="79"/>
  <c r="H76" i="79"/>
  <c r="H81" i="79"/>
  <c r="I59" i="79"/>
  <c r="I76" i="79"/>
  <c r="I81" i="79"/>
  <c r="G34" i="34"/>
  <c r="G7" i="33"/>
  <c r="I7" i="33"/>
  <c r="I7" i="34"/>
  <c r="G7" i="34"/>
  <c r="N7" i="1"/>
  <c r="Y7" i="1"/>
  <c r="N8" i="1"/>
  <c r="Y8" i="1"/>
  <c r="N9" i="1"/>
  <c r="Y9" i="1"/>
  <c r="N10" i="1"/>
  <c r="Y10" i="1"/>
  <c r="N11" i="1"/>
  <c r="Y11" i="1"/>
  <c r="N12" i="1"/>
  <c r="Y12" i="1"/>
  <c r="N13" i="1"/>
  <c r="Y13" i="1"/>
  <c r="N6" i="1"/>
  <c r="Y6" i="1"/>
  <c r="C37" i="34"/>
  <c r="Q72" i="78"/>
  <c r="Q59" i="78"/>
  <c r="K59" i="78"/>
  <c r="P74" i="78"/>
  <c r="F59" i="78"/>
  <c r="Q58" i="78"/>
  <c r="Q51" i="78"/>
  <c r="J50" i="78"/>
  <c r="J51" i="78"/>
  <c r="M47" i="78"/>
  <c r="D46" i="78"/>
  <c r="F33" i="78"/>
  <c r="F61" i="78"/>
  <c r="F32" i="78"/>
  <c r="F60" i="78"/>
  <c r="F31" i="78"/>
  <c r="F28" i="78"/>
  <c r="C28" i="78"/>
  <c r="F23" i="78"/>
  <c r="D24" i="78"/>
  <c r="D23" i="78"/>
  <c r="D22" i="78"/>
  <c r="F21" i="78"/>
  <c r="F20" i="78"/>
  <c r="M19" i="78"/>
  <c r="M18" i="78"/>
  <c r="F18" i="78"/>
  <c r="M17" i="78"/>
  <c r="F17" i="78"/>
  <c r="F15" i="78"/>
  <c r="G1" i="78"/>
  <c r="Q72" i="77"/>
  <c r="Q59" i="77"/>
  <c r="K59" i="77"/>
  <c r="P74" i="77"/>
  <c r="F59" i="77"/>
  <c r="Q58" i="77"/>
  <c r="Q51" i="77"/>
  <c r="J50" i="77"/>
  <c r="J51" i="77"/>
  <c r="M47" i="77"/>
  <c r="D46" i="77"/>
  <c r="F33" i="77"/>
  <c r="F61" i="77"/>
  <c r="F32" i="77"/>
  <c r="F60" i="77"/>
  <c r="F31" i="77"/>
  <c r="F28" i="77"/>
  <c r="C28" i="77"/>
  <c r="F23" i="77"/>
  <c r="F21" i="77"/>
  <c r="F20" i="77"/>
  <c r="M19" i="77"/>
  <c r="M18" i="77"/>
  <c r="F18" i="77"/>
  <c r="M17" i="77"/>
  <c r="F17" i="77"/>
  <c r="F15" i="77"/>
  <c r="G1" i="77"/>
  <c r="B5" i="4"/>
  <c r="B7" i="4"/>
  <c r="AG8" i="1"/>
  <c r="D7" i="1"/>
  <c r="B24" i="1"/>
  <c r="P61" i="78"/>
  <c r="D23" i="77"/>
  <c r="D22" i="77"/>
  <c r="D24" i="77"/>
  <c r="P61" i="77"/>
  <c r="L3" i="71"/>
  <c r="K3" i="71"/>
  <c r="I3" i="71"/>
  <c r="D8" i="1"/>
  <c r="AG7" i="1"/>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D5" i="43"/>
  <c r="A15" i="51"/>
  <c r="C76" i="9"/>
  <c r="I107" i="40"/>
  <c r="B22" i="31"/>
  <c r="N56" i="9"/>
  <c r="M56" i="9"/>
  <c r="K56" i="9"/>
  <c r="E17" i="74"/>
  <c r="F17" i="74"/>
  <c r="E18" i="74"/>
  <c r="F18" i="74"/>
  <c r="E19" i="74"/>
  <c r="F19" i="74"/>
  <c r="E20" i="74"/>
  <c r="F20" i="74"/>
  <c r="E21" i="74"/>
  <c r="F21" i="74"/>
  <c r="E22" i="74"/>
  <c r="F22" i="74"/>
  <c r="E23" i="74"/>
  <c r="F23" i="74"/>
  <c r="B3" i="74"/>
  <c r="C91" i="9"/>
  <c r="B8" i="72"/>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Q20" i="71"/>
  <c r="AB20" i="71"/>
  <c r="P20" i="71"/>
  <c r="AA20" i="71"/>
  <c r="O20" i="71"/>
  <c r="Y20" i="71"/>
  <c r="Z20" i="71"/>
  <c r="N20" i="71"/>
  <c r="X20" i="71"/>
  <c r="Q19" i="71"/>
  <c r="AB19" i="71"/>
  <c r="P19" i="71"/>
  <c r="O19" i="71"/>
  <c r="Y19" i="71"/>
  <c r="Z19" i="71"/>
  <c r="N19" i="71"/>
  <c r="Q18" i="71"/>
  <c r="F19" i="71"/>
  <c r="F20" i="71"/>
  <c r="F21" i="71"/>
  <c r="V21" i="71"/>
  <c r="P18" i="71"/>
  <c r="O18" i="71"/>
  <c r="N18" i="71"/>
  <c r="D18" i="71"/>
  <c r="Q17" i="71"/>
  <c r="P17" i="71"/>
  <c r="O17" i="71"/>
  <c r="N17" i="71"/>
  <c r="Q16" i="71"/>
  <c r="P16" i="71"/>
  <c r="O16" i="71"/>
  <c r="N16" i="71"/>
  <c r="Q15" i="71"/>
  <c r="P15" i="71"/>
  <c r="O15" i="71"/>
  <c r="N15" i="71"/>
  <c r="Q14" i="71"/>
  <c r="F15" i="71"/>
  <c r="F16" i="71"/>
  <c r="F17" i="71"/>
  <c r="V17" i="71"/>
  <c r="P14" i="71"/>
  <c r="O14" i="71"/>
  <c r="N14" i="71"/>
  <c r="D14" i="71"/>
  <c r="Q13" i="71"/>
  <c r="P13" i="71"/>
  <c r="O13" i="71"/>
  <c r="N13" i="71"/>
  <c r="Q12" i="71"/>
  <c r="P12" i="71"/>
  <c r="O12" i="71"/>
  <c r="N12" i="71"/>
  <c r="Q11" i="71"/>
  <c r="P11" i="71"/>
  <c r="O11" i="71"/>
  <c r="N11" i="71"/>
  <c r="Q10" i="71"/>
  <c r="F11" i="71"/>
  <c r="F12" i="71"/>
  <c r="F13" i="71"/>
  <c r="V13" i="71"/>
  <c r="P10" i="71"/>
  <c r="O10" i="71"/>
  <c r="N10" i="71"/>
  <c r="D10" i="71"/>
  <c r="O9" i="71"/>
  <c r="N9" i="71"/>
  <c r="X5" i="71"/>
  <c r="Y5" i="71"/>
  <c r="Z5" i="71"/>
  <c r="Y11" i="71"/>
  <c r="Z11" i="71"/>
  <c r="AB11" i="71"/>
  <c r="Y12" i="71"/>
  <c r="Z12" i="71"/>
  <c r="AB12" i="71"/>
  <c r="Y13" i="71"/>
  <c r="Z13" i="71"/>
  <c r="AB13" i="71"/>
  <c r="Y15" i="71"/>
  <c r="Z15" i="71"/>
  <c r="AB15" i="71"/>
  <c r="Y16" i="71"/>
  <c r="Z16" i="71"/>
  <c r="AB16" i="71"/>
  <c r="Y17" i="71"/>
  <c r="Z17" i="71"/>
  <c r="AB17" i="71"/>
  <c r="B36" i="71"/>
  <c r="B37" i="71"/>
  <c r="S37"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C19"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C20"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D15"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C21" i="71"/>
  <c r="D20" i="71"/>
  <c r="C17" i="71"/>
  <c r="D16" i="71"/>
  <c r="C13" i="71"/>
  <c r="D12" i="71"/>
  <c r="C7" i="71"/>
  <c r="D8" i="71"/>
  <c r="V9" i="71"/>
  <c r="P46" i="71"/>
  <c r="P47" i="71"/>
  <c r="O47" i="71"/>
  <c r="D47" i="71"/>
  <c r="O46" i="71"/>
  <c r="T13" i="71"/>
  <c r="D13" i="71"/>
  <c r="T17" i="71"/>
  <c r="D17" i="71"/>
  <c r="T21" i="71"/>
  <c r="D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2" i="6"/>
  <c r="L23" i="6"/>
  <c r="L24" i="6"/>
  <c r="L25" i="6"/>
  <c r="L26" i="6"/>
  <c r="D6" i="71"/>
  <c r="C5" i="71"/>
  <c r="D5" i="71"/>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S18" i="35"/>
  <c r="G68" i="35"/>
  <c r="F77" i="37"/>
  <c r="H21" i="37"/>
  <c r="F21" i="37"/>
  <c r="F84" i="34"/>
  <c r="H21" i="34"/>
  <c r="F83" i="33"/>
  <c r="H21" i="33"/>
  <c r="F21" i="33"/>
  <c r="S21" i="33" s="1"/>
  <c r="E83" i="21"/>
  <c r="S21" i="21"/>
  <c r="H1" i="69"/>
  <c r="AC25" i="40"/>
  <c r="W25" i="40"/>
  <c r="AB25" i="40"/>
  <c r="U25" i="40"/>
  <c r="AB29" i="39"/>
  <c r="U29" i="39"/>
  <c r="AC29" i="39"/>
  <c r="W29" i="39"/>
  <c r="AC18" i="36"/>
  <c r="W18" i="36"/>
  <c r="AB21" i="37"/>
  <c r="U21" i="37"/>
  <c r="AA21" i="37"/>
  <c r="S21" i="37"/>
  <c r="AB21" i="34"/>
  <c r="U21" i="34"/>
  <c r="U21" i="33"/>
  <c r="AB21" i="33"/>
  <c r="AA21" i="33"/>
  <c r="U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C51" i="10"/>
  <c r="A13" i="51"/>
  <c r="B11" i="72"/>
  <c r="S1" i="4"/>
  <c r="B1" i="4"/>
  <c r="B37" i="48"/>
  <c r="B2" i="72"/>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F99" i="43"/>
  <c r="F108" i="43"/>
  <c r="G99" i="43"/>
  <c r="H99" i="43"/>
  <c r="H108" i="43"/>
  <c r="I99" i="43"/>
  <c r="J99" i="43"/>
  <c r="J108" i="43"/>
  <c r="K99" i="43"/>
  <c r="L99" i="43"/>
  <c r="L108" i="43"/>
  <c r="M99" i="43"/>
  <c r="C99" i="43"/>
  <c r="C108" i="43"/>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B7" i="1"/>
  <c r="E7" i="1"/>
  <c r="B8" i="1"/>
  <c r="E8" i="1"/>
  <c r="B13" i="1"/>
  <c r="E13" i="1"/>
  <c r="B11" i="1"/>
  <c r="E11" i="1"/>
  <c r="K10" i="1"/>
  <c r="M10" i="1"/>
  <c r="O10"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13" i="53"/>
  <c r="B29" i="72"/>
  <c r="R35" i="4"/>
  <c r="Q35" i="4"/>
  <c r="P35" i="4"/>
  <c r="O35" i="4"/>
  <c r="N35" i="4"/>
  <c r="M35" i="4"/>
  <c r="L35" i="4"/>
  <c r="K34" i="4"/>
  <c r="T34" i="4"/>
  <c r="G13" i="1"/>
  <c r="G11" i="1"/>
  <c r="I15" i="4"/>
  <c r="H15" i="4"/>
  <c r="G15" i="4"/>
  <c r="F8" i="1"/>
  <c r="G8" i="1" s="1"/>
  <c r="E15" i="4"/>
  <c r="D15" i="4"/>
  <c r="F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22" i="1"/>
  <c r="B23" i="1"/>
  <c r="D78" i="9"/>
  <c r="K8" i="1"/>
  <c r="F23" i="15"/>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BD5" i="3"/>
  <c r="BH5" i="3"/>
  <c r="BM5" i="3"/>
  <c r="BE5" i="3"/>
  <c r="BI5" i="3"/>
  <c r="BP5" i="3"/>
  <c r="H7" i="12"/>
  <c r="I7" i="12"/>
  <c r="J7" i="12"/>
  <c r="K7" i="12"/>
  <c r="H111" i="21"/>
  <c r="B110" i="39"/>
  <c r="B112" i="39"/>
  <c r="H36" i="39"/>
  <c r="J30" i="36"/>
  <c r="H30" i="36"/>
  <c r="F30" i="36"/>
  <c r="AA30" i="36"/>
  <c r="W31" i="35"/>
  <c r="U31" i="35"/>
  <c r="H34" i="37"/>
  <c r="D101" i="37"/>
  <c r="F34" i="37"/>
  <c r="D99" i="37"/>
  <c r="E99" i="37"/>
  <c r="F99" i="37"/>
  <c r="G99" i="37"/>
  <c r="H99" i="37"/>
  <c r="I99" i="37"/>
  <c r="J99" i="37"/>
  <c r="K99" i="37"/>
  <c r="L99" i="37"/>
  <c r="M99" i="37"/>
  <c r="H42" i="34"/>
  <c r="AB42" i="34"/>
  <c r="J42" i="34"/>
  <c r="W42" i="34"/>
  <c r="F42" i="34"/>
  <c r="S42" i="34"/>
  <c r="D114" i="34"/>
  <c r="J38" i="34"/>
  <c r="W38" i="34" s="1"/>
  <c r="F38" i="34"/>
  <c r="S38" i="34" s="1"/>
  <c r="D112" i="34"/>
  <c r="E112" i="34" s="1"/>
  <c r="F40" i="33"/>
  <c r="J41" i="33"/>
  <c r="W41" i="33"/>
  <c r="D113" i="33"/>
  <c r="F37" i="33"/>
  <c r="D111" i="33"/>
  <c r="E111" i="33" s="1"/>
  <c r="F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J27" i="40"/>
  <c r="AC27" i="40"/>
  <c r="D92" i="40"/>
  <c r="E92" i="40"/>
  <c r="F92" i="40"/>
  <c r="G92" i="40"/>
  <c r="D90" i="40"/>
  <c r="E90" i="40"/>
  <c r="F90" i="40"/>
  <c r="G90" i="40"/>
  <c r="D88" i="40"/>
  <c r="E88" i="40"/>
  <c r="D86" i="40"/>
  <c r="E86" i="40"/>
  <c r="F86" i="40"/>
  <c r="G86" i="40"/>
  <c r="D84" i="40"/>
  <c r="E84" i="40"/>
  <c r="F84" i="40"/>
  <c r="G84" i="40"/>
  <c r="B81" i="40"/>
  <c r="B79" i="40"/>
  <c r="H13" i="40"/>
  <c r="U13" i="40"/>
  <c r="B77" i="40"/>
  <c r="J12" i="40"/>
  <c r="AC12" i="40"/>
  <c r="M74" i="40"/>
  <c r="L74" i="40"/>
  <c r="K74" i="40"/>
  <c r="J74" i="40"/>
  <c r="I74" i="40"/>
  <c r="H74" i="40"/>
  <c r="G74" i="40"/>
  <c r="F74" i="40"/>
  <c r="E74" i="40"/>
  <c r="D74" i="40"/>
  <c r="C74" i="40"/>
  <c r="P43" i="40"/>
  <c r="P42" i="40"/>
  <c r="V41" i="40"/>
  <c r="T41" i="40"/>
  <c r="R41" i="40"/>
  <c r="P41" i="40"/>
  <c r="Q40" i="40"/>
  <c r="Z40" i="40"/>
  <c r="H40" i="40"/>
  <c r="AB40" i="40"/>
  <c r="Q39" i="40"/>
  <c r="Z39" i="40"/>
  <c r="H39" i="40"/>
  <c r="U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AB45" i="39"/>
  <c r="B129" i="39"/>
  <c r="H44" i="39"/>
  <c r="U44" i="39"/>
  <c r="B127" i="39"/>
  <c r="J43" i="39"/>
  <c r="W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F31" i="39"/>
  <c r="D97" i="39"/>
  <c r="J23" i="39"/>
  <c r="AC23" i="39"/>
  <c r="D95" i="39"/>
  <c r="E95" i="39"/>
  <c r="F95" i="39"/>
  <c r="D93" i="39"/>
  <c r="E93" i="39"/>
  <c r="F93" i="39"/>
  <c r="G93" i="39"/>
  <c r="D91" i="39"/>
  <c r="E91" i="39"/>
  <c r="F91" i="39"/>
  <c r="G91" i="39"/>
  <c r="D89" i="39"/>
  <c r="E89" i="39"/>
  <c r="F89" i="39"/>
  <c r="G89" i="39"/>
  <c r="B86" i="39"/>
  <c r="B84" i="39"/>
  <c r="J13" i="39"/>
  <c r="W13"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J38" i="37"/>
  <c r="AC3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H26" i="37"/>
  <c r="D79" i="37"/>
  <c r="E79" i="37"/>
  <c r="D75" i="37"/>
  <c r="E75" i="37"/>
  <c r="D73" i="37"/>
  <c r="E73" i="37"/>
  <c r="F73" i="37"/>
  <c r="D71" i="37"/>
  <c r="H15" i="37"/>
  <c r="AB15" i="37"/>
  <c r="B68" i="37"/>
  <c r="H14" i="37"/>
  <c r="B66" i="37"/>
  <c r="F13" i="37"/>
  <c r="S13"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J25" i="36"/>
  <c r="W25" i="36"/>
  <c r="B73" i="36"/>
  <c r="J24" i="36"/>
  <c r="AC24" i="36"/>
  <c r="B71" i="36"/>
  <c r="D70" i="36"/>
  <c r="H22" i="36"/>
  <c r="AB22" i="36"/>
  <c r="D68" i="36"/>
  <c r="E68" i="36"/>
  <c r="F68" i="36"/>
  <c r="G68" i="36"/>
  <c r="D64" i="36"/>
  <c r="E64" i="36"/>
  <c r="F64" i="36"/>
  <c r="G64" i="36"/>
  <c r="J16" i="36"/>
  <c r="W16" i="36"/>
  <c r="D62" i="36"/>
  <c r="E62" i="36"/>
  <c r="F62" i="36"/>
  <c r="G62" i="36"/>
  <c r="B59" i="36"/>
  <c r="J13" i="36"/>
  <c r="B57" i="36"/>
  <c r="J12" i="36"/>
  <c r="AC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W25" i="35"/>
  <c r="U23" i="35"/>
  <c r="B131" i="34"/>
  <c r="H47" i="34"/>
  <c r="U47" i="34"/>
  <c r="B129" i="34"/>
  <c r="B127" i="34"/>
  <c r="J45" i="34"/>
  <c r="W45" i="34"/>
  <c r="B99" i="34"/>
  <c r="B97" i="34"/>
  <c r="J31" i="34"/>
  <c r="B95" i="34"/>
  <c r="B93" i="34"/>
  <c r="F29" i="34"/>
  <c r="S29" i="34"/>
  <c r="B75" i="34"/>
  <c r="B73" i="34"/>
  <c r="H13" i="34" s="1"/>
  <c r="B71" i="34"/>
  <c r="J12" i="34" s="1"/>
  <c r="B130" i="33"/>
  <c r="F46" i="33"/>
  <c r="AA46" i="33"/>
  <c r="B128" i="33"/>
  <c r="B126" i="33"/>
  <c r="H44" i="33"/>
  <c r="B98" i="33"/>
  <c r="B96" i="33"/>
  <c r="F30" i="33"/>
  <c r="B94" i="33"/>
  <c r="B74" i="33"/>
  <c r="H14" i="33"/>
  <c r="U14" i="33"/>
  <c r="B72" i="33"/>
  <c r="B70" i="33"/>
  <c r="J12" i="33"/>
  <c r="W12" i="33" s="1"/>
  <c r="D96" i="35"/>
  <c r="E96" i="35"/>
  <c r="F96" i="35"/>
  <c r="G96"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c r="I80" i="35"/>
  <c r="J80" i="35"/>
  <c r="K80" i="35"/>
  <c r="L80" i="35"/>
  <c r="M80" i="35"/>
  <c r="D72" i="35"/>
  <c r="E72" i="35"/>
  <c r="F72" i="35"/>
  <c r="G72" i="35"/>
  <c r="F70" i="35"/>
  <c r="G70" i="35"/>
  <c r="E66" i="35"/>
  <c r="F66" i="35"/>
  <c r="G66" i="35"/>
  <c r="E64" i="35"/>
  <c r="F64" i="35"/>
  <c r="G64" i="35"/>
  <c r="W14" i="35"/>
  <c r="F56" i="35"/>
  <c r="F10" i="35" s="1"/>
  <c r="AA10" i="35" s="1"/>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s="1"/>
  <c r="F120" i="34" s="1"/>
  <c r="G120" i="34" s="1"/>
  <c r="H120" i="34" s="1"/>
  <c r="I120" i="34" s="1"/>
  <c r="J120" i="34" s="1"/>
  <c r="K120" i="34" s="1"/>
  <c r="L120" i="34" s="1"/>
  <c r="M120" i="34" s="1"/>
  <c r="D90" i="34"/>
  <c r="E90" i="34"/>
  <c r="F90" i="34"/>
  <c r="G90" i="34"/>
  <c r="H90" i="34"/>
  <c r="I90" i="34"/>
  <c r="J90" i="34"/>
  <c r="K90" i="34"/>
  <c r="L90" i="34"/>
  <c r="M90" i="34"/>
  <c r="C15" i="34"/>
  <c r="F67" i="34"/>
  <c r="G67" i="34" s="1"/>
  <c r="H67" i="34" s="1"/>
  <c r="I67" i="34" s="1"/>
  <c r="D126" i="34"/>
  <c r="E126" i="34"/>
  <c r="F126" i="34"/>
  <c r="G126" i="34"/>
  <c r="D124" i="34"/>
  <c r="E124" i="34"/>
  <c r="F124" i="34"/>
  <c r="G124" i="34"/>
  <c r="H124" i="34"/>
  <c r="I124" i="34"/>
  <c r="J124" i="34"/>
  <c r="K124" i="34"/>
  <c r="L124" i="34"/>
  <c r="M124" i="34"/>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s="1"/>
  <c r="F88" i="34" s="1"/>
  <c r="G88" i="34" s="1"/>
  <c r="H88" i="34" s="1"/>
  <c r="I88" i="34" s="1"/>
  <c r="J88" i="34" s="1"/>
  <c r="K88" i="34" s="1"/>
  <c r="L88" i="34" s="1"/>
  <c r="M88" i="34" s="1"/>
  <c r="D86" i="34"/>
  <c r="E86" i="34"/>
  <c r="F86" i="34"/>
  <c r="G86" i="34"/>
  <c r="D82" i="34"/>
  <c r="E82" i="34"/>
  <c r="F82" i="34"/>
  <c r="G82" i="34"/>
  <c r="D80" i="34"/>
  <c r="E80" i="34"/>
  <c r="F80" i="34"/>
  <c r="G80" i="34"/>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F12" i="34"/>
  <c r="S12" i="34" s="1"/>
  <c r="Q11" i="34"/>
  <c r="Z11" i="34"/>
  <c r="Q10" i="34"/>
  <c r="Z10" i="34"/>
  <c r="F10" i="34"/>
  <c r="AA10" i="34" s="1"/>
  <c r="Q9" i="34"/>
  <c r="Z9" i="34"/>
  <c r="J9" i="34"/>
  <c r="AC9" i="34"/>
  <c r="H9" i="34"/>
  <c r="F9" i="34"/>
  <c r="AA9" i="34"/>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s="1"/>
  <c r="F79" i="33" s="1"/>
  <c r="G79" i="33" s="1"/>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J35" i="39"/>
  <c r="AC35" i="39"/>
  <c r="F35" i="39"/>
  <c r="AA35" i="39"/>
  <c r="J36" i="39"/>
  <c r="AC36" i="39"/>
  <c r="U9" i="39"/>
  <c r="W40" i="39"/>
  <c r="U30" i="37"/>
  <c r="W31" i="37"/>
  <c r="E103" i="37"/>
  <c r="F103" i="37"/>
  <c r="G103" i="37"/>
  <c r="H103" i="37"/>
  <c r="I103" i="37"/>
  <c r="J103" i="37"/>
  <c r="K103" i="37"/>
  <c r="L103" i="37"/>
  <c r="M103" i="37"/>
  <c r="F29" i="36"/>
  <c r="AA29" i="36"/>
  <c r="W8" i="36"/>
  <c r="F16" i="36"/>
  <c r="AA16" i="36"/>
  <c r="U9" i="36"/>
  <c r="S30" i="36"/>
  <c r="AC31" i="36"/>
  <c r="U31" i="36"/>
  <c r="J33" i="36"/>
  <c r="W33" i="36"/>
  <c r="W28" i="35"/>
  <c r="S34" i="35"/>
  <c r="W34" i="35"/>
  <c r="W36" i="35"/>
  <c r="S31" i="35"/>
  <c r="F36" i="34"/>
  <c r="J35" i="34"/>
  <c r="W9" i="34"/>
  <c r="S34" i="34"/>
  <c r="U34" i="34"/>
  <c r="H39" i="33"/>
  <c r="AB39" i="33"/>
  <c r="F26" i="33"/>
  <c r="AA26" i="33"/>
  <c r="S9" i="33"/>
  <c r="U33" i="33"/>
  <c r="S40" i="33"/>
  <c r="W33" i="33"/>
  <c r="S27" i="35"/>
  <c r="F11" i="40"/>
  <c r="AA11" i="40"/>
  <c r="H11" i="40"/>
  <c r="AB11" i="40"/>
  <c r="W8" i="40"/>
  <c r="AB39" i="40"/>
  <c r="AA9" i="40"/>
  <c r="U9" i="40"/>
  <c r="S34" i="40"/>
  <c r="F42" i="39"/>
  <c r="AA42" i="39"/>
  <c r="F41" i="39"/>
  <c r="S41" i="39"/>
  <c r="H40" i="39"/>
  <c r="AB40" i="39"/>
  <c r="H39" i="39"/>
  <c r="U39" i="39"/>
  <c r="S38" i="39"/>
  <c r="H34" i="39"/>
  <c r="U34" i="39"/>
  <c r="E109" i="39"/>
  <c r="H31" i="39"/>
  <c r="AB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F101" i="39"/>
  <c r="H27" i="39"/>
  <c r="U27" i="39"/>
  <c r="J19" i="39"/>
  <c r="AC19" i="39"/>
  <c r="J17" i="39"/>
  <c r="J27" i="39"/>
  <c r="AC27" i="39"/>
  <c r="F27" i="39"/>
  <c r="F11" i="21"/>
  <c r="S11" i="21"/>
  <c r="S40" i="21"/>
  <c r="U34" i="21"/>
  <c r="S34" i="21"/>
  <c r="C25"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S44" i="39"/>
  <c r="F37" i="39"/>
  <c r="AA37" i="39"/>
  <c r="J34" i="36"/>
  <c r="W34" i="36"/>
  <c r="U30" i="36"/>
  <c r="W30" i="35"/>
  <c r="F33" i="36"/>
  <c r="AA33" i="36"/>
  <c r="W30" i="36"/>
  <c r="H16" i="36"/>
  <c r="AB16" i="36"/>
  <c r="J29" i="36"/>
  <c r="AC29" i="36"/>
  <c r="F12" i="36"/>
  <c r="F24" i="36"/>
  <c r="AA24" i="36"/>
  <c r="F34" i="36"/>
  <c r="S34" i="36"/>
  <c r="S10" i="36"/>
  <c r="AB8" i="36"/>
  <c r="S8" i="36"/>
  <c r="U16" i="35"/>
  <c r="S16" i="35"/>
  <c r="W20" i="35"/>
  <c r="F35" i="37"/>
  <c r="S35" i="37"/>
  <c r="E101" i="37"/>
  <c r="F101" i="37"/>
  <c r="G101" i="37"/>
  <c r="H101" i="37"/>
  <c r="I101" i="37"/>
  <c r="J101" i="37"/>
  <c r="K101" i="37"/>
  <c r="L101" i="37"/>
  <c r="M101" i="37"/>
  <c r="J34" i="37"/>
  <c r="W34" i="37"/>
  <c r="S10" i="37"/>
  <c r="AB34" i="37"/>
  <c r="J33" i="37"/>
  <c r="AC33" i="37"/>
  <c r="H40" i="34"/>
  <c r="U40" i="34" s="1"/>
  <c r="E114" i="34"/>
  <c r="F114" i="34" s="1"/>
  <c r="G114" i="34" s="1"/>
  <c r="H114" i="34" s="1"/>
  <c r="I114" i="34" s="1"/>
  <c r="J114" i="34" s="1"/>
  <c r="K114" i="34" s="1"/>
  <c r="L114" i="34" s="1"/>
  <c r="M114" i="34" s="1"/>
  <c r="H36" i="34"/>
  <c r="U36" i="34" s="1"/>
  <c r="F28" i="34"/>
  <c r="AA28" i="34"/>
  <c r="F27" i="34"/>
  <c r="AA27" i="34"/>
  <c r="F25" i="34"/>
  <c r="S25" i="34" s="1"/>
  <c r="H23" i="34"/>
  <c r="U23" i="34"/>
  <c r="J23" i="34"/>
  <c r="F19" i="34"/>
  <c r="H17" i="34"/>
  <c r="U17" i="34"/>
  <c r="J28" i="34"/>
  <c r="W28" i="34"/>
  <c r="F41" i="33"/>
  <c r="AA41" i="33"/>
  <c r="E113" i="33"/>
  <c r="F32" i="33"/>
  <c r="AA32" i="33" s="1"/>
  <c r="J19" i="33"/>
  <c r="AC19" i="33"/>
  <c r="J15" i="33"/>
  <c r="AC15" i="33" s="1"/>
  <c r="F11" i="33"/>
  <c r="AA11" i="33"/>
  <c r="S26" i="33"/>
  <c r="U40" i="33"/>
  <c r="W40" i="33"/>
  <c r="U8" i="33"/>
  <c r="F37" i="40"/>
  <c r="AA37" i="40"/>
  <c r="F36" i="40"/>
  <c r="AA36" i="40"/>
  <c r="H28" i="40"/>
  <c r="U28" i="40"/>
  <c r="F23" i="40"/>
  <c r="AA23" i="40"/>
  <c r="F17" i="40"/>
  <c r="AA17" i="40"/>
  <c r="J17" i="40"/>
  <c r="W17" i="40"/>
  <c r="F15" i="40"/>
  <c r="S15" i="40"/>
  <c r="H15" i="40"/>
  <c r="AB15" i="40"/>
  <c r="AC11" i="40"/>
  <c r="S12" i="36"/>
  <c r="AA12" i="36"/>
  <c r="AB30" i="36"/>
  <c r="AC34" i="36"/>
  <c r="U30" i="35"/>
  <c r="H33" i="37"/>
  <c r="AB33" i="37"/>
  <c r="F33" i="37"/>
  <c r="AA33" i="37"/>
  <c r="U34" i="37"/>
  <c r="W33" i="37"/>
  <c r="S34" i="37"/>
  <c r="AA34" i="37"/>
  <c r="J43" i="34"/>
  <c r="J40" i="34"/>
  <c r="H38" i="34"/>
  <c r="AB38" i="34" s="1"/>
  <c r="J36" i="34"/>
  <c r="W36" i="34"/>
  <c r="H25" i="34"/>
  <c r="AB25" i="34" s="1"/>
  <c r="J25" i="34"/>
  <c r="AC25" i="34" s="1"/>
  <c r="F23" i="34"/>
  <c r="AA23" i="34"/>
  <c r="J19" i="34"/>
  <c r="AC19" i="34"/>
  <c r="F17" i="34"/>
  <c r="AA17" i="34" s="1"/>
  <c r="J17" i="34"/>
  <c r="W17" i="34"/>
  <c r="S41" i="33"/>
  <c r="F113" i="33"/>
  <c r="G113" i="33"/>
  <c r="H113" i="33"/>
  <c r="I113" i="33"/>
  <c r="J113" i="33"/>
  <c r="K113" i="33"/>
  <c r="L113" i="33"/>
  <c r="M113" i="33"/>
  <c r="H37" i="33"/>
  <c r="AB37" i="33"/>
  <c r="H15" i="33"/>
  <c r="AB15" i="33" s="1"/>
  <c r="H11" i="33"/>
  <c r="AB11" i="33"/>
  <c r="F28" i="40"/>
  <c r="AA28" i="40"/>
  <c r="AC38" i="34"/>
  <c r="AA38" i="34"/>
  <c r="J11" i="33"/>
  <c r="W11" i="33"/>
  <c r="S28" i="34"/>
  <c r="G123" i="21"/>
  <c r="H123" i="21"/>
  <c r="I123" i="21"/>
  <c r="J123" i="21"/>
  <c r="K123" i="21"/>
  <c r="L123" i="21"/>
  <c r="M123" i="21"/>
  <c r="J42" i="21"/>
  <c r="AC42" i="21"/>
  <c r="H42" i="21"/>
  <c r="U42" i="21"/>
  <c r="J44" i="34"/>
  <c r="F44" i="34"/>
  <c r="AA44" i="34"/>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c r="J28" i="33"/>
  <c r="W28" i="33" s="1"/>
  <c r="S33" i="35"/>
  <c r="S30" i="35"/>
  <c r="E89" i="35"/>
  <c r="F89" i="35" s="1"/>
  <c r="G89" i="35" s="1"/>
  <c r="H89" i="35" s="1"/>
  <c r="I89" i="35" s="1"/>
  <c r="J89" i="35" s="1"/>
  <c r="K89" i="35" s="1"/>
  <c r="L89" i="35" s="1"/>
  <c r="M89" i="35" s="1"/>
  <c r="H10" i="36"/>
  <c r="AB10" i="36"/>
  <c r="J14" i="36"/>
  <c r="AC14" i="36"/>
  <c r="H14" i="36"/>
  <c r="U14" i="36"/>
  <c r="F28" i="36"/>
  <c r="AA28" i="36"/>
  <c r="H27" i="21"/>
  <c r="AB27" i="21"/>
  <c r="H29" i="21"/>
  <c r="U29" i="21"/>
  <c r="F31" i="21"/>
  <c r="S31" i="21"/>
  <c r="F27" i="33"/>
  <c r="AA27" i="33" s="1"/>
  <c r="J13" i="33"/>
  <c r="H13" i="33"/>
  <c r="AB13" i="33"/>
  <c r="F13" i="33"/>
  <c r="S13" i="33"/>
  <c r="J29" i="33"/>
  <c r="AC29" i="33"/>
  <c r="H29" i="33"/>
  <c r="U29" i="33"/>
  <c r="F29" i="33"/>
  <c r="S29" i="33"/>
  <c r="J31" i="33"/>
  <c r="W31" i="33"/>
  <c r="H31" i="33"/>
  <c r="U31" i="33"/>
  <c r="F31" i="33"/>
  <c r="H45" i="33"/>
  <c r="U45" i="33"/>
  <c r="J45" i="33"/>
  <c r="W45" i="33"/>
  <c r="F45" i="33"/>
  <c r="AA45" i="33"/>
  <c r="J14" i="34"/>
  <c r="W14" i="34" s="1"/>
  <c r="F14" i="34"/>
  <c r="S14" i="34" s="1"/>
  <c r="H14" i="34"/>
  <c r="H30" i="34"/>
  <c r="F30" i="34"/>
  <c r="S30" i="34"/>
  <c r="J30" i="34"/>
  <c r="W30" i="34"/>
  <c r="H32" i="34"/>
  <c r="F32" i="34"/>
  <c r="J32" i="34"/>
  <c r="W32" i="34"/>
  <c r="H46" i="34"/>
  <c r="U46" i="34"/>
  <c r="F46" i="34"/>
  <c r="J46" i="34"/>
  <c r="U11" i="35"/>
  <c r="S11" i="35"/>
  <c r="J26" i="36"/>
  <c r="W26" i="36"/>
  <c r="H28" i="36"/>
  <c r="U28" i="36"/>
  <c r="H32" i="36"/>
  <c r="AB32" i="36"/>
  <c r="J11" i="36"/>
  <c r="AC11" i="36"/>
  <c r="H11" i="36"/>
  <c r="U11" i="36"/>
  <c r="F11" i="36"/>
  <c r="AA11" i="36"/>
  <c r="H13" i="36"/>
  <c r="AB13" i="36"/>
  <c r="F13" i="36"/>
  <c r="S13" i="36"/>
  <c r="J29" i="37"/>
  <c r="W29" i="37"/>
  <c r="F29" i="37"/>
  <c r="S29" i="37"/>
  <c r="H36" i="37"/>
  <c r="AB36" i="37"/>
  <c r="J37" i="37"/>
  <c r="AC37" i="37"/>
  <c r="H37" i="37"/>
  <c r="U37" i="37"/>
  <c r="H40" i="37"/>
  <c r="U40" i="37"/>
  <c r="J40" i="37"/>
  <c r="AC40" i="37"/>
  <c r="F40" i="37"/>
  <c r="AA40" i="37"/>
  <c r="W12" i="40"/>
  <c r="F14" i="33"/>
  <c r="S14" i="33"/>
  <c r="H30" i="33"/>
  <c r="AB30" i="33"/>
  <c r="J30" i="33"/>
  <c r="J44" i="33"/>
  <c r="AC44" i="33"/>
  <c r="J46" i="33"/>
  <c r="AC46" i="33"/>
  <c r="H46" i="33"/>
  <c r="AB46" i="33"/>
  <c r="J13" i="34"/>
  <c r="W13" i="34" s="1"/>
  <c r="J29" i="34"/>
  <c r="H29" i="34"/>
  <c r="AB29" i="34"/>
  <c r="H31" i="34"/>
  <c r="AB31" i="34"/>
  <c r="H45" i="34"/>
  <c r="U45" i="34"/>
  <c r="F45" i="34"/>
  <c r="S45" i="34"/>
  <c r="F47" i="34"/>
  <c r="S47" i="34"/>
  <c r="S13" i="35"/>
  <c r="U13" i="35"/>
  <c r="S25" i="35"/>
  <c r="F25" i="36"/>
  <c r="S25" i="36"/>
  <c r="H13" i="37"/>
  <c r="AB13" i="37"/>
  <c r="J13" i="37"/>
  <c r="W13" i="37"/>
  <c r="F28" i="37"/>
  <c r="AA28" i="37"/>
  <c r="J28" i="37"/>
  <c r="AC28" i="37"/>
  <c r="H28" i="37"/>
  <c r="U28" i="37"/>
  <c r="H38" i="37"/>
  <c r="AB38" i="37"/>
  <c r="F38" i="37"/>
  <c r="S38" i="37"/>
  <c r="F43" i="39"/>
  <c r="AA43" i="39"/>
  <c r="H43" i="39"/>
  <c r="J14" i="39"/>
  <c r="AC14" i="39"/>
  <c r="F14" i="39"/>
  <c r="H14" i="39"/>
  <c r="AB14" i="39"/>
  <c r="F12" i="40"/>
  <c r="S12" i="40"/>
  <c r="H12" i="40"/>
  <c r="AB12" i="40"/>
  <c r="H30" i="40"/>
  <c r="AB30" i="40"/>
  <c r="H33" i="40"/>
  <c r="U33" i="40"/>
  <c r="J35" i="40"/>
  <c r="AC35" i="40"/>
  <c r="J37" i="40"/>
  <c r="AC37" i="40"/>
  <c r="J13" i="40"/>
  <c r="W13" i="40"/>
  <c r="F14" i="37"/>
  <c r="S14" i="37"/>
  <c r="F13" i="39"/>
  <c r="H13" i="39"/>
  <c r="H14" i="40"/>
  <c r="AB14" i="40"/>
  <c r="J14" i="40"/>
  <c r="W14" i="40"/>
  <c r="F14" i="40"/>
  <c r="AA14" i="40"/>
  <c r="J14" i="37"/>
  <c r="AC14" i="37"/>
  <c r="U31" i="34"/>
  <c r="AA14" i="33"/>
  <c r="J36" i="37"/>
  <c r="AC36" i="37"/>
  <c r="J10" i="36"/>
  <c r="AC10" i="36"/>
  <c r="AB30" i="21"/>
  <c r="AA14" i="37"/>
  <c r="S11" i="36"/>
  <c r="W11" i="36"/>
  <c r="W11" i="35"/>
  <c r="AC30" i="34"/>
  <c r="S45" i="33"/>
  <c r="W29" i="33"/>
  <c r="AC28" i="21"/>
  <c r="F17" i="21"/>
  <c r="AA17" i="21"/>
  <c r="H17" i="21"/>
  <c r="AB17" i="21"/>
  <c r="F15" i="21"/>
  <c r="S15" i="21"/>
  <c r="AB11" i="21"/>
  <c r="J41" i="39"/>
  <c r="W41" i="39"/>
  <c r="W44" i="39"/>
  <c r="W35" i="39"/>
  <c r="S35"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c r="H43" i="33"/>
  <c r="AB43" i="33"/>
  <c r="H17" i="37"/>
  <c r="U17" i="37"/>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s="1"/>
  <c r="F41" i="34"/>
  <c r="S41" i="34" s="1"/>
  <c r="H41" i="34"/>
  <c r="U41" i="34" s="1"/>
  <c r="J41" i="34"/>
  <c r="AC41" i="34" s="1"/>
  <c r="H23" i="37"/>
  <c r="AB23" i="37"/>
  <c r="J32" i="37"/>
  <c r="AC32" i="37"/>
  <c r="F36" i="37"/>
  <c r="AA36" i="37"/>
  <c r="F37" i="37"/>
  <c r="AA37" i="37"/>
  <c r="F31" i="40"/>
  <c r="AA31" i="40"/>
  <c r="F32" i="40"/>
  <c r="S32" i="40"/>
  <c r="J36" i="40"/>
  <c r="W36" i="40"/>
  <c r="H19" i="37"/>
  <c r="AB19" i="37"/>
  <c r="H42" i="33"/>
  <c r="AB42" i="33"/>
  <c r="J43" i="33"/>
  <c r="AC43" i="33"/>
  <c r="S28" i="31"/>
  <c r="S27" i="31"/>
  <c r="S26" i="31"/>
  <c r="U14" i="40"/>
  <c r="AC33" i="36"/>
  <c r="U35" i="35"/>
  <c r="W23" i="35"/>
  <c r="AB28" i="37"/>
  <c r="AC8" i="37"/>
  <c r="AA13" i="33"/>
  <c r="AC31" i="33"/>
  <c r="AC45" i="33"/>
  <c r="W44" i="33"/>
  <c r="U11" i="33"/>
  <c r="U19" i="21"/>
  <c r="U26" i="21"/>
  <c r="U12" i="21"/>
  <c r="F43" i="33"/>
  <c r="AA43" i="33"/>
  <c r="W16" i="35"/>
  <c r="W40" i="37"/>
  <c r="H37" i="21"/>
  <c r="U37" i="21"/>
  <c r="S42" i="21"/>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B33" i="40"/>
  <c r="AC43" i="39"/>
  <c r="U45" i="39"/>
  <c r="AB44" i="39"/>
  <c r="G101" i="39"/>
  <c r="H37" i="39"/>
  <c r="AB37" i="39"/>
  <c r="AC37" i="39"/>
  <c r="H25" i="39"/>
  <c r="AB25" i="39"/>
  <c r="J25" i="39"/>
  <c r="F25" i="39"/>
  <c r="AA25" i="39"/>
  <c r="F15" i="39"/>
  <c r="AA15" i="39"/>
  <c r="H15" i="39"/>
  <c r="U15" i="39"/>
  <c r="J15" i="39"/>
  <c r="W15" i="39"/>
  <c r="H41" i="39"/>
  <c r="AB34" i="39"/>
  <c r="S42" i="39"/>
  <c r="W14" i="39"/>
  <c r="AA41"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J5" i="3"/>
  <c r="BF5" i="3"/>
  <c r="AC5" i="3"/>
  <c r="BN5" i="3"/>
  <c r="BK5" i="3"/>
  <c r="BG5" i="3"/>
  <c r="BC5" i="3"/>
  <c r="N4" i="43"/>
  <c r="F36" i="43"/>
  <c r="F81" i="43"/>
  <c r="H83" i="43"/>
  <c r="H113" i="43"/>
  <c r="F48" i="43"/>
  <c r="H52" i="43"/>
  <c r="N7" i="43"/>
  <c r="F70" i="43"/>
  <c r="H73" i="43"/>
  <c r="M6" i="43"/>
  <c r="M11" i="43"/>
  <c r="E17" i="43"/>
  <c r="F39" i="43"/>
  <c r="I17" i="43"/>
  <c r="F35" i="43"/>
  <c r="J17" i="43"/>
  <c r="F6" i="1"/>
  <c r="U17" i="39"/>
  <c r="U43" i="21"/>
  <c r="U35" i="21"/>
  <c r="U10" i="21"/>
  <c r="G9" i="1"/>
  <c r="G10" i="1"/>
  <c r="F48" i="9"/>
  <c r="O52" i="9"/>
  <c r="W37" i="37"/>
  <c r="W44" i="34"/>
  <c r="AC44" i="34"/>
  <c r="S15" i="37"/>
  <c r="U13" i="37"/>
  <c r="U12" i="40"/>
  <c r="AA12" i="40"/>
  <c r="J37" i="33"/>
  <c r="W37" i="33"/>
  <c r="J34" i="33"/>
  <c r="W34" i="33"/>
  <c r="F33" i="34"/>
  <c r="S33" i="34"/>
  <c r="W12" i="36"/>
  <c r="H20" i="36"/>
  <c r="U20" i="36"/>
  <c r="J20" i="36"/>
  <c r="W20" i="36"/>
  <c r="W24" i="36"/>
  <c r="J27" i="36"/>
  <c r="W27" i="36"/>
  <c r="H35" i="40"/>
  <c r="AB35" i="40"/>
  <c r="H35" i="37"/>
  <c r="U35" i="37"/>
  <c r="U20" i="35"/>
  <c r="AB29" i="36"/>
  <c r="U29" i="36"/>
  <c r="H32" i="37"/>
  <c r="AB32" i="37"/>
  <c r="H27" i="40"/>
  <c r="U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c r="H44" i="34"/>
  <c r="AB44" i="34"/>
  <c r="AC38" i="39"/>
  <c r="F39" i="39"/>
  <c r="S39" i="39"/>
  <c r="J39" i="39"/>
  <c r="AC39" i="39"/>
  <c r="E97" i="39"/>
  <c r="F97" i="39"/>
  <c r="G97" i="39"/>
  <c r="C40" i="11"/>
  <c r="H74" i="43"/>
  <c r="H49" i="43"/>
  <c r="I20" i="43"/>
  <c r="F23" i="39"/>
  <c r="AA23" i="39"/>
  <c r="H27" i="36"/>
  <c r="U27" i="36"/>
  <c r="F27" i="36"/>
  <c r="AA27" i="36"/>
  <c r="H33" i="34"/>
  <c r="U33" i="34"/>
  <c r="F32" i="37"/>
  <c r="AA32" i="37"/>
  <c r="F20" i="36"/>
  <c r="AA20" i="36"/>
  <c r="J33" i="34"/>
  <c r="AC33" i="34"/>
  <c r="H23" i="39"/>
  <c r="U23" i="39"/>
  <c r="D48" i="9"/>
  <c r="M52" i="9"/>
  <c r="H86" i="43"/>
  <c r="H87" i="43"/>
  <c r="K9" i="1"/>
  <c r="M9" i="1"/>
  <c r="O9" i="1"/>
  <c r="P9" i="1"/>
  <c r="AE9" i="1"/>
  <c r="AB17" i="34"/>
  <c r="S14" i="35"/>
  <c r="S38" i="33"/>
  <c r="W39" i="33"/>
  <c r="M20" i="15"/>
  <c r="M20" i="77"/>
  <c r="F34" i="78"/>
  <c r="F62" i="78"/>
  <c r="M20" i="78"/>
  <c r="F34" i="77"/>
  <c r="F62" i="77"/>
  <c r="AB31" i="33"/>
  <c r="U42" i="34"/>
  <c r="AA42" i="34"/>
  <c r="AB23" i="34"/>
  <c r="M8" i="1"/>
  <c r="G7" i="1"/>
  <c r="S8" i="33"/>
  <c r="AC36" i="34"/>
  <c r="AC17" i="34"/>
  <c r="S9" i="34"/>
  <c r="F29" i="6"/>
  <c r="A15" i="62"/>
  <c r="B61" i="72"/>
  <c r="AC31" i="34"/>
  <c r="W31" i="34"/>
  <c r="AB14" i="37"/>
  <c r="U14" i="37"/>
  <c r="AB26" i="37"/>
  <c r="U26" i="37"/>
  <c r="U25" i="37"/>
  <c r="AB25" i="37"/>
  <c r="AA31" i="39"/>
  <c r="S31" i="39"/>
  <c r="AC32" i="40"/>
  <c r="W32" i="40"/>
  <c r="AB36" i="39"/>
  <c r="U36" i="39"/>
  <c r="AC13" i="36"/>
  <c r="W13" i="36"/>
  <c r="U27" i="37"/>
  <c r="AB27" i="37"/>
  <c r="AC31" i="40"/>
  <c r="W31" i="40"/>
  <c r="W33" i="40"/>
  <c r="AC33" i="40"/>
  <c r="AA38" i="40"/>
  <c r="S38" i="40"/>
  <c r="W40" i="40"/>
  <c r="AC40" i="40"/>
  <c r="H82" i="43"/>
  <c r="H48" i="43"/>
  <c r="H50" i="43"/>
  <c r="H75" i="43"/>
  <c r="AC11" i="39"/>
  <c r="AC35" i="21"/>
  <c r="U36" i="40"/>
  <c r="BB5" i="3"/>
  <c r="E8" i="6"/>
  <c r="W9" i="39"/>
  <c r="U40" i="39"/>
  <c r="W27" i="39"/>
  <c r="W23" i="39"/>
  <c r="AC13" i="40"/>
  <c r="AA25" i="21"/>
  <c r="AB38" i="21"/>
  <c r="AC46" i="21"/>
  <c r="W44" i="21"/>
  <c r="W26" i="37"/>
  <c r="U33" i="37"/>
  <c r="W14" i="37"/>
  <c r="U43" i="33"/>
  <c r="H32" i="40"/>
  <c r="AB32" i="40"/>
  <c r="H31" i="40"/>
  <c r="U31" i="40"/>
  <c r="S21" i="40"/>
  <c r="W36" i="39"/>
  <c r="AC45" i="39"/>
  <c r="S44" i="34"/>
  <c r="U13" i="33"/>
  <c r="AB45" i="33"/>
  <c r="AA14" i="34"/>
  <c r="AB46" i="34"/>
  <c r="AB11" i="36"/>
  <c r="U46" i="33"/>
  <c r="J27" i="37"/>
  <c r="AC27" i="37"/>
  <c r="F27" i="37"/>
  <c r="AA27" i="37"/>
  <c r="F13" i="40"/>
  <c r="AA13" i="40"/>
  <c r="F33" i="40"/>
  <c r="AA33" i="40"/>
  <c r="H25" i="36"/>
  <c r="AB25" i="36"/>
  <c r="J47" i="34"/>
  <c r="F31" i="34"/>
  <c r="S31" i="34"/>
  <c r="F13" i="34"/>
  <c r="AA13" i="34" s="1"/>
  <c r="F44" i="33"/>
  <c r="J14" i="33"/>
  <c r="J32" i="36"/>
  <c r="F45" i="21"/>
  <c r="AA45" i="21"/>
  <c r="J31" i="21"/>
  <c r="AC31" i="21"/>
  <c r="F27" i="21"/>
  <c r="AA27" i="21"/>
  <c r="J13" i="21"/>
  <c r="AC13" i="21"/>
  <c r="U23" i="40"/>
  <c r="U33" i="35"/>
  <c r="W8" i="34"/>
  <c r="S35" i="34"/>
  <c r="U8" i="35"/>
  <c r="AC16" i="36"/>
  <c r="AB12" i="36"/>
  <c r="C27" i="39"/>
  <c r="J31" i="39"/>
  <c r="S34" i="39"/>
  <c r="U40" i="40"/>
  <c r="U34" i="40"/>
  <c r="AC9" i="40"/>
  <c r="H39" i="37"/>
  <c r="U35" i="33"/>
  <c r="U34" i="35"/>
  <c r="W22" i="35"/>
  <c r="AA31" i="36"/>
  <c r="W28" i="36"/>
  <c r="F39" i="37"/>
  <c r="H12" i="33"/>
  <c r="J25" i="37"/>
  <c r="H38" i="40"/>
  <c r="F40" i="40"/>
  <c r="M108" i="43"/>
  <c r="M100" i="43"/>
  <c r="K108" i="43"/>
  <c r="K100" i="43"/>
  <c r="I108" i="43"/>
  <c r="I100" i="43"/>
  <c r="G108" i="43"/>
  <c r="G100" i="43"/>
  <c r="E108" i="43"/>
  <c r="E100" i="43"/>
  <c r="I20" i="66"/>
  <c r="D93" i="9"/>
  <c r="E12" i="6"/>
  <c r="K6" i="1"/>
  <c r="E13" i="6"/>
  <c r="E58" i="40"/>
  <c r="G29" i="6"/>
  <c r="E29" i="6"/>
  <c r="AC26" i="33"/>
  <c r="W26" i="33"/>
  <c r="W27" i="34"/>
  <c r="AC27" i="34"/>
  <c r="AB34" i="36"/>
  <c r="U34" i="36"/>
  <c r="AB33" i="36"/>
  <c r="U33" i="36"/>
  <c r="AC12" i="39"/>
  <c r="W12" i="39"/>
  <c r="AC39" i="40"/>
  <c r="W39" i="40"/>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28" i="35"/>
  <c r="U36" i="35"/>
  <c r="U32" i="35"/>
  <c r="S32" i="35"/>
  <c r="W32" i="35"/>
  <c r="S28" i="35"/>
  <c r="U22" i="35"/>
  <c r="S20"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S10" i="34"/>
  <c r="S13" i="34"/>
  <c r="H10" i="34"/>
  <c r="AB10" i="34" s="1"/>
  <c r="F11" i="34"/>
  <c r="S11" i="34"/>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J32" i="33"/>
  <c r="W32" i="33" s="1"/>
  <c r="S46" i="33"/>
  <c r="W43" i="33"/>
  <c r="S43" i="33"/>
  <c r="H27" i="33"/>
  <c r="AB27" i="33" s="1"/>
  <c r="F87" i="33"/>
  <c r="H25" i="33"/>
  <c r="F25" i="33"/>
  <c r="J23" i="33"/>
  <c r="F85" i="33"/>
  <c r="H23" i="33"/>
  <c r="F81" i="33"/>
  <c r="F19" i="33"/>
  <c r="S19" i="33"/>
  <c r="W19" i="33"/>
  <c r="J17" i="33"/>
  <c r="W17" i="33" s="1"/>
  <c r="S15" i="33"/>
  <c r="W15" i="33"/>
  <c r="U9" i="33"/>
  <c r="J10" i="33"/>
  <c r="W10" i="33" s="1"/>
  <c r="H10" i="33"/>
  <c r="AB10" i="33" s="1"/>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G30" i="6"/>
  <c r="G31" i="6"/>
  <c r="J56" i="9"/>
  <c r="J57" i="9"/>
  <c r="A24" i="51"/>
  <c r="B18" i="72"/>
  <c r="U29" i="34"/>
  <c r="E14" i="6"/>
  <c r="E64" i="39"/>
  <c r="E5" i="6"/>
  <c r="D9" i="11"/>
  <c r="C9" i="11"/>
  <c r="P10" i="1"/>
  <c r="E32" i="6"/>
  <c r="L19" i="6"/>
  <c r="G1" i="68"/>
  <c r="K1" i="12"/>
  <c r="F30" i="6"/>
  <c r="E57" i="40"/>
  <c r="AR12" i="1"/>
  <c r="AQ12" i="1"/>
  <c r="T12" i="1"/>
  <c r="E19" i="69"/>
  <c r="E19" i="68"/>
  <c r="E19" i="11"/>
  <c r="E1" i="73"/>
  <c r="K1" i="73"/>
  <c r="G41" i="69"/>
  <c r="G22" i="69"/>
  <c r="G41" i="68"/>
  <c r="G22" i="68"/>
  <c r="G27" i="12"/>
  <c r="G26" i="12"/>
  <c r="G41" i="11"/>
  <c r="G22" i="11"/>
  <c r="G25" i="12"/>
  <c r="C100" i="43"/>
  <c r="E11" i="43"/>
  <c r="E10" i="43"/>
  <c r="E9" i="43"/>
  <c r="E8" i="43"/>
  <c r="C7" i="43"/>
  <c r="E81" i="43"/>
  <c r="B79" i="43"/>
  <c r="E48" i="43"/>
  <c r="B46" i="43"/>
  <c r="E70" i="43"/>
  <c r="B68" i="43"/>
  <c r="C20" i="43"/>
  <c r="C33" i="43" s="1"/>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3"/>
  <c r="C58" i="33"/>
  <c r="D58" i="33"/>
  <c r="E58" i="33"/>
  <c r="F58" i="33"/>
  <c r="G58" i="33"/>
  <c r="H58" i="33"/>
  <c r="I58" i="33"/>
  <c r="J58" i="33"/>
  <c r="K58" i="33"/>
  <c r="L58" i="33"/>
  <c r="M58" i="33"/>
  <c r="N58" i="33"/>
  <c r="O58" i="33"/>
  <c r="C7" i="21"/>
  <c r="C7" i="40"/>
  <c r="C63" i="40"/>
  <c r="M47" i="9"/>
  <c r="G19" i="43"/>
  <c r="M20" i="43"/>
  <c r="T35" i="4"/>
  <c r="A19" i="51"/>
  <c r="B14" i="72"/>
  <c r="C46" i="36"/>
  <c r="D46" i="36"/>
  <c r="E46" i="36"/>
  <c r="C59" i="34"/>
  <c r="D59" i="34"/>
  <c r="C52" i="37"/>
  <c r="D52" i="37"/>
  <c r="A4" i="51"/>
  <c r="B6" i="72"/>
  <c r="C58" i="21"/>
  <c r="D58" i="21"/>
  <c r="C94" i="9"/>
  <c r="C4" i="12"/>
  <c r="C92" i="9"/>
  <c r="H62" i="43"/>
  <c r="H66" i="43"/>
  <c r="H61" i="43"/>
  <c r="H65" i="43"/>
  <c r="H60" i="43"/>
  <c r="H64" i="43"/>
  <c r="H59" i="43"/>
  <c r="H63" i="43"/>
  <c r="H67" i="43"/>
  <c r="H55" i="43"/>
  <c r="H51" i="43"/>
  <c r="H56" i="43"/>
  <c r="H76" i="43"/>
  <c r="H72" i="43"/>
  <c r="H77" i="43"/>
  <c r="E62" i="39"/>
  <c r="B6" i="1"/>
  <c r="E6"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AR10" i="1"/>
  <c r="E56" i="40"/>
  <c r="T10" i="1"/>
  <c r="E15" i="6"/>
  <c r="AA11" i="34"/>
  <c r="F27" i="6"/>
  <c r="F31" i="6"/>
  <c r="E56" i="39"/>
  <c r="E51" i="40"/>
  <c r="AA40" i="40"/>
  <c r="S40" i="40"/>
  <c r="AC25" i="37"/>
  <c r="W25" i="37"/>
  <c r="S39" i="37"/>
  <c r="AA39" i="37"/>
  <c r="AB39" i="37"/>
  <c r="U39" i="37"/>
  <c r="AC32" i="36"/>
  <c r="W32" i="36"/>
  <c r="S44" i="33"/>
  <c r="AA44" i="33"/>
  <c r="AB38" i="40"/>
  <c r="U38" i="40"/>
  <c r="U12" i="33"/>
  <c r="AB12" i="33"/>
  <c r="AC47" i="34"/>
  <c r="W47" i="34"/>
  <c r="J53" i="67"/>
  <c r="AQ13" i="1"/>
  <c r="M6" i="1"/>
  <c r="O6" i="1"/>
  <c r="P6" i="1"/>
  <c r="F30" i="68"/>
  <c r="C30" i="68"/>
  <c r="F30" i="11"/>
  <c r="C48" i="11"/>
  <c r="F28" i="67"/>
  <c r="C28" i="67"/>
  <c r="F31" i="12"/>
  <c r="F52" i="9"/>
  <c r="C31" i="12"/>
  <c r="M18" i="67"/>
  <c r="F32" i="67"/>
  <c r="F60" i="67"/>
  <c r="F30" i="69"/>
  <c r="C48" i="69"/>
  <c r="F32" i="15"/>
  <c r="F60" i="15"/>
  <c r="M18" i="15"/>
  <c r="F28" i="15"/>
  <c r="C28" i="15"/>
  <c r="E63" i="39"/>
  <c r="T11" i="1"/>
  <c r="D9" i="69"/>
  <c r="C9" i="69" s="1"/>
  <c r="D19" i="12"/>
  <c r="C19" i="12" s="1"/>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D9" i="68"/>
  <c r="C9" i="68" s="1"/>
  <c r="S7" i="1"/>
  <c r="C24" i="12"/>
  <c r="AA39" i="40"/>
  <c r="S39" i="40"/>
  <c r="S12" i="33"/>
  <c r="AA12" i="33"/>
  <c r="C16" i="43"/>
  <c r="D68" i="9"/>
  <c r="F54" i="9"/>
  <c r="J32" i="39"/>
  <c r="H107" i="39"/>
  <c r="I107" i="39"/>
  <c r="J107" i="39"/>
  <c r="K107" i="39"/>
  <c r="L107" i="39"/>
  <c r="M107" i="39"/>
  <c r="H32" i="39"/>
  <c r="AA32" i="39"/>
  <c r="S32" i="39"/>
  <c r="AB21" i="39"/>
  <c r="U21" i="39"/>
  <c r="AA21" i="39"/>
  <c r="S21" i="39"/>
  <c r="AC21" i="39"/>
  <c r="W21" i="39"/>
  <c r="U9" i="35"/>
  <c r="S9" i="35"/>
  <c r="AC17" i="37"/>
  <c r="S17" i="37"/>
  <c r="J19" i="37"/>
  <c r="G75" i="37"/>
  <c r="S19" i="37"/>
  <c r="AA19" i="37"/>
  <c r="AA23" i="37"/>
  <c r="J23" i="37"/>
  <c r="G79" i="37"/>
  <c r="J10" i="37"/>
  <c r="I60" i="37"/>
  <c r="G63" i="37"/>
  <c r="H11" i="37"/>
  <c r="AB10" i="37"/>
  <c r="U10" i="37"/>
  <c r="G70" i="34"/>
  <c r="H11" i="34"/>
  <c r="U10" i="34"/>
  <c r="J10" i="34"/>
  <c r="AC10" i="34" s="1"/>
  <c r="AB41" i="33"/>
  <c r="U41" i="33"/>
  <c r="W35" i="33"/>
  <c r="AC35" i="33"/>
  <c r="U27" i="33"/>
  <c r="J27" i="33"/>
  <c r="AC27" i="33" s="1"/>
  <c r="U25" i="33"/>
  <c r="AB25" i="33"/>
  <c r="S25" i="33"/>
  <c r="AA25" i="33"/>
  <c r="G87" i="33"/>
  <c r="H87" i="33"/>
  <c r="I87" i="33"/>
  <c r="J87" i="33"/>
  <c r="K87" i="33"/>
  <c r="L87" i="33"/>
  <c r="M87" i="33"/>
  <c r="J25" i="33"/>
  <c r="AB23" i="33"/>
  <c r="U23" i="33"/>
  <c r="F23" i="33"/>
  <c r="G85" i="33"/>
  <c r="AC23" i="33"/>
  <c r="W23" i="33"/>
  <c r="AA19" i="33"/>
  <c r="H19" i="33"/>
  <c r="G81" i="33"/>
  <c r="H17" i="33"/>
  <c r="F17" i="33"/>
  <c r="AC17" i="33"/>
  <c r="U10" i="33"/>
  <c r="AC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59" i="34"/>
  <c r="F59" i="34"/>
  <c r="C65" i="40"/>
  <c r="D63" i="40"/>
  <c r="K4" i="4"/>
  <c r="B46" i="48"/>
  <c r="B4" i="72"/>
  <c r="B5" i="62"/>
  <c r="B73" i="72"/>
  <c r="B4" i="62"/>
  <c r="B71" i="72"/>
  <c r="L27" i="6"/>
  <c r="S26" i="6"/>
  <c r="S22" i="6"/>
  <c r="AP7" i="1"/>
  <c r="M7" i="1"/>
  <c r="Q16" i="1"/>
  <c r="F27" i="69" s="1"/>
  <c r="C29" i="69" s="1"/>
  <c r="D27" i="69" s="1"/>
  <c r="H16" i="1"/>
  <c r="K16" i="1"/>
  <c r="AB45" i="21"/>
  <c r="AC33" i="21"/>
  <c r="W33" i="21"/>
  <c r="S33" i="21"/>
  <c r="AA33" i="21"/>
  <c r="W32" i="21"/>
  <c r="AC32" i="21"/>
  <c r="AB9" i="21"/>
  <c r="U9" i="21"/>
  <c r="AA32" i="21"/>
  <c r="S32" i="21"/>
  <c r="W9" i="21"/>
  <c r="AC9" i="21"/>
  <c r="AB32" i="21"/>
  <c r="U32" i="21"/>
  <c r="AA10" i="21"/>
  <c r="S10" i="21"/>
  <c r="C36" i="69"/>
  <c r="F31" i="15"/>
  <c r="F59" i="67"/>
  <c r="F59" i="15"/>
  <c r="M17" i="15"/>
  <c r="F31" i="67"/>
  <c r="M17" i="67"/>
  <c r="E60" i="40"/>
  <c r="E65" i="39"/>
  <c r="E66" i="39"/>
  <c r="O7" i="1"/>
  <c r="E7" i="70"/>
  <c r="S21" i="6"/>
  <c r="S8" i="1"/>
  <c r="M19" i="6"/>
  <c r="AR6" i="1"/>
  <c r="T7" i="1"/>
  <c r="AR7" i="1"/>
  <c r="C30" i="11"/>
  <c r="E6" i="70"/>
  <c r="K27" i="6"/>
  <c r="A18" i="62"/>
  <c r="B64" i="72"/>
  <c r="D3" i="34"/>
  <c r="D3" i="21"/>
  <c r="D3" i="33"/>
  <c r="C36" i="43"/>
  <c r="E36" i="43" s="1"/>
  <c r="U32" i="39"/>
  <c r="AB32" i="39"/>
  <c r="AC32" i="39"/>
  <c r="W32" i="39"/>
  <c r="W19" i="37"/>
  <c r="AC19" i="37"/>
  <c r="W23" i="37"/>
  <c r="AC23" i="37"/>
  <c r="AB11" i="37"/>
  <c r="U11" i="37"/>
  <c r="H63" i="37"/>
  <c r="I63" i="37"/>
  <c r="J63" i="37"/>
  <c r="K63" i="37"/>
  <c r="L63" i="37"/>
  <c r="M63" i="37"/>
  <c r="J11" i="37"/>
  <c r="W10" i="37"/>
  <c r="AC10" i="37"/>
  <c r="U11" i="34"/>
  <c r="AB11" i="34"/>
  <c r="H70" i="34"/>
  <c r="I70" i="34"/>
  <c r="J70" i="34"/>
  <c r="K70" i="34"/>
  <c r="L70" i="34"/>
  <c r="M70" i="34"/>
  <c r="J11" i="34"/>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I19" i="6"/>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F7" i="37"/>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S20" i="6"/>
  <c r="M27" i="6"/>
  <c r="M16" i="1"/>
  <c r="N16" i="1"/>
  <c r="F1" i="67"/>
  <c r="Q52" i="67"/>
  <c r="E8" i="70"/>
  <c r="AQ8" i="1"/>
  <c r="AR8" i="1"/>
  <c r="T8" i="1"/>
  <c r="AA7" i="36"/>
  <c r="R36" i="36"/>
  <c r="E36" i="36"/>
  <c r="E40" i="36"/>
  <c r="F40" i="36"/>
  <c r="AC11" i="37"/>
  <c r="W11" i="37"/>
  <c r="AB7" i="37"/>
  <c r="T42" i="37"/>
  <c r="G42" i="37"/>
  <c r="G46" i="37"/>
  <c r="H46" i="37"/>
  <c r="W11" i="34"/>
  <c r="AC11" i="34"/>
  <c r="AB7" i="36"/>
  <c r="T36" i="36"/>
  <c r="E6" i="3"/>
  <c r="D10" i="68"/>
  <c r="C10" i="68" s="1"/>
  <c r="D10" i="11"/>
  <c r="C10" i="11"/>
  <c r="D20" i="12"/>
  <c r="C20" i="12" s="1"/>
  <c r="D19" i="6"/>
  <c r="M19" i="9"/>
  <c r="C118" i="9" s="1"/>
  <c r="C14" i="74" s="1"/>
  <c r="B2" i="74" s="1"/>
  <c r="D7" i="74" s="1"/>
  <c r="D25" i="6"/>
  <c r="D26" i="6"/>
  <c r="D15" i="6"/>
  <c r="C18" i="4"/>
  <c r="D22" i="6"/>
  <c r="D8" i="6"/>
  <c r="D23" i="6"/>
  <c r="D24" i="6"/>
  <c r="D14" i="6"/>
  <c r="D5" i="6"/>
  <c r="D6" i="6"/>
  <c r="D12" i="6"/>
  <c r="D9" i="6"/>
  <c r="D11" i="6"/>
  <c r="D10" i="6"/>
  <c r="D13" i="6"/>
  <c r="H19" i="6"/>
  <c r="L19" i="9" s="1"/>
  <c r="D28" i="6"/>
  <c r="D29" i="6"/>
  <c r="E61" i="40"/>
  <c r="H25" i="6"/>
  <c r="R25" i="6"/>
  <c r="H22" i="6"/>
  <c r="H23" i="6"/>
  <c r="H26" i="6"/>
  <c r="H24" i="6"/>
  <c r="C13" i="12"/>
  <c r="P16" i="1"/>
  <c r="C11" i="12"/>
  <c r="C15" i="12" s="1"/>
  <c r="F34" i="11"/>
  <c r="C37" i="11"/>
  <c r="F11" i="12"/>
  <c r="F34" i="68"/>
  <c r="C36" i="68" s="1"/>
  <c r="G36" i="43"/>
  <c r="I36" i="43" s="1"/>
  <c r="J7" i="21"/>
  <c r="AC7" i="21"/>
  <c r="V48" i="21"/>
  <c r="I48" i="21"/>
  <c r="F7" i="34"/>
  <c r="S7" i="34"/>
  <c r="U7" i="35"/>
  <c r="S7" i="37"/>
  <c r="AA7" i="37"/>
  <c r="R42" i="37"/>
  <c r="F7" i="21"/>
  <c r="S7" i="21"/>
  <c r="S7" i="35"/>
  <c r="W7" i="36"/>
  <c r="AC7" i="36"/>
  <c r="V36" i="36"/>
  <c r="I36" i="36"/>
  <c r="I41" i="36"/>
  <c r="J41" i="36"/>
  <c r="W7" i="35"/>
  <c r="H7" i="21"/>
  <c r="AB7" i="21"/>
  <c r="T48" i="21"/>
  <c r="H7" i="34"/>
  <c r="U7" i="34"/>
  <c r="W7" i="37"/>
  <c r="AC7" i="37"/>
  <c r="V42" i="37"/>
  <c r="I42" i="37"/>
  <c r="W7" i="34"/>
  <c r="AC7" i="34"/>
  <c r="F63" i="40"/>
  <c r="E65" i="40"/>
  <c r="E70" i="39"/>
  <c r="F70" i="39"/>
  <c r="S19" i="6"/>
  <c r="S27" i="6"/>
  <c r="I27" i="6"/>
  <c r="F50" i="11"/>
  <c r="F50" i="69"/>
  <c r="F50" i="68"/>
  <c r="L16" i="1"/>
  <c r="C34" i="11"/>
  <c r="AA7" i="34"/>
  <c r="C36" i="11"/>
  <c r="G36" i="36"/>
  <c r="R37" i="36"/>
  <c r="AB7" i="34"/>
  <c r="W7" i="21"/>
  <c r="AA7" i="21"/>
  <c r="R48" i="21"/>
  <c r="E48" i="21"/>
  <c r="E52" i="21"/>
  <c r="F52" i="21"/>
  <c r="R26" i="6"/>
  <c r="R23" i="6"/>
  <c r="R24" i="6"/>
  <c r="R22" i="6"/>
  <c r="D30" i="6"/>
  <c r="D16" i="6"/>
  <c r="A7" i="51"/>
  <c r="B7" i="72" s="1"/>
  <c r="C4" i="52"/>
  <c r="B45" i="72" s="1"/>
  <c r="A10" i="51"/>
  <c r="B9" i="72" s="1"/>
  <c r="U7" i="21"/>
  <c r="I52" i="21"/>
  <c r="J52" i="21"/>
  <c r="I40" i="36"/>
  <c r="J40" i="36"/>
  <c r="R43" i="37"/>
  <c r="E42" i="37"/>
  <c r="I47" i="37"/>
  <c r="J47" i="37"/>
  <c r="G47" i="37"/>
  <c r="H47" i="37"/>
  <c r="I46" i="37"/>
  <c r="J46" i="37"/>
  <c r="G63" i="40"/>
  <c r="F65" i="40"/>
  <c r="G48" i="21"/>
  <c r="G70" i="39"/>
  <c r="R19" i="6"/>
  <c r="C35" i="11"/>
  <c r="C38" i="11"/>
  <c r="R49" i="21"/>
  <c r="C48" i="21"/>
  <c r="I53" i="21"/>
  <c r="J53" i="21"/>
  <c r="C37" i="36"/>
  <c r="C36" i="36"/>
  <c r="G40" i="36"/>
  <c r="H40" i="36"/>
  <c r="E41" i="36"/>
  <c r="F41" i="36"/>
  <c r="G41" i="36"/>
  <c r="H41" i="36"/>
  <c r="R6" i="1"/>
  <c r="E47" i="37"/>
  <c r="F47" i="37"/>
  <c r="E46" i="37"/>
  <c r="F46" i="37"/>
  <c r="C43" i="37"/>
  <c r="C42" i="37"/>
  <c r="G52" i="21"/>
  <c r="H52" i="21"/>
  <c r="G53" i="21"/>
  <c r="H53" i="21"/>
  <c r="E53" i="21"/>
  <c r="F53" i="21"/>
  <c r="H63" i="40"/>
  <c r="G65" i="40"/>
  <c r="H70" i="39"/>
  <c r="C33" i="11"/>
  <c r="C49" i="21"/>
  <c r="I63" i="40"/>
  <c r="H65" i="40"/>
  <c r="C39" i="11"/>
  <c r="I70" i="39"/>
  <c r="J63" i="40"/>
  <c r="I65" i="40"/>
  <c r="J70" i="39"/>
  <c r="K63" i="40"/>
  <c r="J65" i="40"/>
  <c r="K70" i="39"/>
  <c r="L63" i="40"/>
  <c r="K65" i="40"/>
  <c r="L70" i="39"/>
  <c r="E2" i="70"/>
  <c r="C34" i="69"/>
  <c r="C38" i="69" s="1"/>
  <c r="M63" i="40"/>
  <c r="L65" i="40"/>
  <c r="M70" i="39"/>
  <c r="D10" i="69"/>
  <c r="N63" i="40"/>
  <c r="M65" i="40"/>
  <c r="O70" i="39"/>
  <c r="N70" i="39"/>
  <c r="O63" i="40"/>
  <c r="O65" i="40"/>
  <c r="N65" i="40"/>
  <c r="F7" i="40"/>
  <c r="H7" i="40"/>
  <c r="J7" i="40"/>
  <c r="W7" i="40"/>
  <c r="AC7" i="40"/>
  <c r="V42" i="40"/>
  <c r="I42" i="40" s="1"/>
  <c r="I46" i="40" s="1"/>
  <c r="J46" i="40" s="1"/>
  <c r="AB7" i="40"/>
  <c r="T42" i="40"/>
  <c r="G42" i="40" s="1"/>
  <c r="G46" i="40" s="1"/>
  <c r="H46" i="40" s="1"/>
  <c r="U7" i="40"/>
  <c r="AA7" i="40"/>
  <c r="R42" i="40"/>
  <c r="R43" i="40" s="1"/>
  <c r="C43" i="40" s="1"/>
  <c r="B55" i="40" s="1"/>
  <c r="F55" i="40" s="1"/>
  <c r="S7" i="40"/>
  <c r="E42" i="40"/>
  <c r="E46" i="40" s="1"/>
  <c r="F46" i="40" s="1"/>
  <c r="B53" i="40"/>
  <c r="F53" i="40" s="1"/>
  <c r="F61" i="40"/>
  <c r="B2" i="40" s="1"/>
  <c r="B3" i="40" s="1"/>
  <c r="S16" i="1"/>
  <c r="T16" i="1"/>
  <c r="AG6" i="1"/>
  <c r="H109" i="9"/>
  <c r="H110" i="9"/>
  <c r="D18" i="53"/>
  <c r="B35" i="72"/>
  <c r="D124" i="9"/>
  <c r="D16" i="53"/>
  <c r="B34" i="72"/>
  <c r="D10" i="52"/>
  <c r="H14" i="74"/>
  <c r="D17" i="53"/>
  <c r="B36" i="72"/>
  <c r="D125" i="9"/>
  <c r="D11" i="52"/>
  <c r="B7" i="74"/>
  <c r="C7" i="74"/>
  <c r="J7" i="33"/>
  <c r="W7" i="33"/>
  <c r="F7" i="33"/>
  <c r="S7" i="33"/>
  <c r="H7" i="33"/>
  <c r="AB7" i="33"/>
  <c r="AA7" i="33"/>
  <c r="U7" i="33"/>
  <c r="AC7" i="33"/>
  <c r="J7" i="39"/>
  <c r="AC7" i="39"/>
  <c r="V47" i="39"/>
  <c r="I47" i="39" s="1"/>
  <c r="F7" i="39"/>
  <c r="S7" i="39"/>
  <c r="H7" i="39"/>
  <c r="AB7" i="39"/>
  <c r="T47" i="39"/>
  <c r="G47" i="39" s="1"/>
  <c r="W7" i="39"/>
  <c r="U7" i="39"/>
  <c r="AA7" i="39"/>
  <c r="R47" i="39"/>
  <c r="R48" i="39" s="1"/>
  <c r="C48" i="39" s="1"/>
  <c r="H112" i="9"/>
  <c r="D21" i="53"/>
  <c r="B39" i="72"/>
  <c r="H111" i="9"/>
  <c r="D126" i="9"/>
  <c r="D19" i="53"/>
  <c r="D59" i="9"/>
  <c r="M55" i="9"/>
  <c r="B38" i="72"/>
  <c r="D20" i="53"/>
  <c r="B40" i="72"/>
  <c r="I14" i="74"/>
  <c r="B8" i="74"/>
  <c r="D127" i="9"/>
  <c r="D13" i="52"/>
  <c r="D12" i="52"/>
  <c r="C8" i="74"/>
  <c r="AD3" i="71"/>
  <c r="P21" i="43"/>
  <c r="P22" i="43"/>
  <c r="P23" i="43"/>
  <c r="B71" i="39"/>
  <c r="P24" i="43"/>
  <c r="B66" i="40"/>
  <c r="P25" i="43"/>
  <c r="B13" i="49" l="1"/>
  <c r="E6" i="49"/>
  <c r="C18" i="82"/>
  <c r="D18" i="82" s="1"/>
  <c r="C18" i="83"/>
  <c r="D18" i="83" s="1"/>
  <c r="F27" i="11"/>
  <c r="C47" i="11" s="1"/>
  <c r="D45" i="11" s="1"/>
  <c r="F28" i="12"/>
  <c r="C29" i="12" s="1"/>
  <c r="D28" i="12" s="1"/>
  <c r="F27" i="68"/>
  <c r="C29" i="68" s="1"/>
  <c r="D27" i="68" s="1"/>
  <c r="E4" i="49"/>
  <c r="B6" i="49"/>
  <c r="F112" i="34"/>
  <c r="F15" i="34"/>
  <c r="J15" i="34"/>
  <c r="H15" i="34"/>
  <c r="F78" i="34"/>
  <c r="G78" i="34" s="1"/>
  <c r="U13" i="34"/>
  <c r="AB13" i="34"/>
  <c r="W12" i="34"/>
  <c r="AC12" i="34"/>
  <c r="H12" i="34"/>
  <c r="G56" i="35"/>
  <c r="H56" i="35" s="1"/>
  <c r="I56" i="35" s="1"/>
  <c r="J10" i="35"/>
  <c r="H10" i="35"/>
  <c r="S10" i="35"/>
  <c r="W10" i="34"/>
  <c r="AA41" i="34"/>
  <c r="C47" i="39"/>
  <c r="E47" i="40"/>
  <c r="F47" i="40" s="1"/>
  <c r="J26" i="35"/>
  <c r="F26" i="35"/>
  <c r="H26" i="35"/>
  <c r="H87" i="35"/>
  <c r="I87" i="35" s="1"/>
  <c r="J87" i="35" s="1"/>
  <c r="K87" i="35" s="1"/>
  <c r="L87" i="35" s="1"/>
  <c r="M87" i="35" s="1"/>
  <c r="F29" i="35"/>
  <c r="H29" i="35"/>
  <c r="E21" i="49"/>
  <c r="B16" i="49"/>
  <c r="E9" i="49"/>
  <c r="B11" i="49"/>
  <c r="E7" i="49"/>
  <c r="B10" i="49"/>
  <c r="F22" i="43"/>
  <c r="K101" i="43"/>
  <c r="F101" i="43"/>
  <c r="N101" i="43"/>
  <c r="E22" i="43"/>
  <c r="L101" i="43"/>
  <c r="H101" i="43"/>
  <c r="G22" i="43"/>
  <c r="S2" i="43"/>
  <c r="S5" i="43"/>
  <c r="S6" i="43"/>
  <c r="S3"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4" i="43"/>
  <c r="T4" i="43" s="1"/>
  <c r="V4" i="43" s="1"/>
  <c r="S7" i="43"/>
  <c r="H21" i="6"/>
  <c r="D20" i="6"/>
  <c r="D21" i="6"/>
  <c r="H20" i="6"/>
  <c r="H27" i="6" s="1"/>
  <c r="D8" i="74"/>
  <c r="G16" i="1"/>
  <c r="H10" i="40" s="1"/>
  <c r="E47" i="39"/>
  <c r="B60" i="40"/>
  <c r="F60" i="40" s="1"/>
  <c r="C42" i="40"/>
  <c r="C29" i="43"/>
  <c r="C30" i="43" s="1"/>
  <c r="E30" i="43" s="1"/>
  <c r="C34" i="43"/>
  <c r="E51" i="39"/>
  <c r="F51" i="39" s="1"/>
  <c r="E52" i="39"/>
  <c r="F52" i="39" s="1"/>
  <c r="G47" i="40"/>
  <c r="H47"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B57" i="40"/>
  <c r="F57" i="40" s="1"/>
  <c r="B58" i="40"/>
  <c r="F58" i="40" s="1"/>
  <c r="B59" i="40"/>
  <c r="F59" i="40" s="1"/>
  <c r="B52" i="40"/>
  <c r="F52" i="40" s="1"/>
  <c r="B56" i="40"/>
  <c r="F56" i="40" s="1"/>
  <c r="B51" i="40"/>
  <c r="F51" i="40" s="1"/>
  <c r="B54" i="40"/>
  <c r="F54" i="40" s="1"/>
  <c r="J10" i="39"/>
  <c r="E33" i="43"/>
  <c r="G33" i="43"/>
  <c r="I33" i="43" s="1"/>
  <c r="G52" i="39"/>
  <c r="H52" i="39" s="1"/>
  <c r="G51" i="39"/>
  <c r="H51" i="39" s="1"/>
  <c r="I51" i="39"/>
  <c r="J51" i="39" s="1"/>
  <c r="I52" i="39"/>
  <c r="J52" i="39" s="1"/>
  <c r="I47" i="40"/>
  <c r="J47" i="40" s="1"/>
  <c r="E29" i="43"/>
  <c r="C26" i="43" s="1"/>
  <c r="C37" i="43"/>
  <c r="C39" i="43"/>
  <c r="E39" i="43" s="1"/>
  <c r="T6" i="43"/>
  <c r="V6" i="43" s="1"/>
  <c r="T5" i="43"/>
  <c r="V5" i="43" s="1"/>
  <c r="T10" i="43"/>
  <c r="V10" i="43" s="1"/>
  <c r="T13" i="43"/>
  <c r="V13" i="43" s="1"/>
  <c r="T15" i="43"/>
  <c r="V15" i="43" s="1"/>
  <c r="T8" i="43"/>
  <c r="V8" i="43" s="1"/>
  <c r="T2" i="43"/>
  <c r="V2" i="43" s="1"/>
  <c r="T7" i="43"/>
  <c r="V7" i="43" s="1"/>
  <c r="T3" i="43"/>
  <c r="V3" i="43" s="1"/>
  <c r="T9" i="43"/>
  <c r="V9" i="43" s="1"/>
  <c r="T12" i="43"/>
  <c r="V12" i="43" s="1"/>
  <c r="T14" i="43"/>
  <c r="V14" i="43" s="1"/>
  <c r="T16" i="43"/>
  <c r="V16" i="43" s="1"/>
  <c r="T11" i="43"/>
  <c r="V11" i="43" s="1"/>
  <c r="C38" i="43"/>
  <c r="C35" i="43"/>
  <c r="AB26" i="33"/>
  <c r="W27" i="33"/>
  <c r="D19" i="69"/>
  <c r="D37" i="69" s="1"/>
  <c r="C37" i="69" s="1"/>
  <c r="AC32" i="33"/>
  <c r="G111" i="33"/>
  <c r="J36" i="33" s="1"/>
  <c r="D19" i="68"/>
  <c r="C19" i="68" s="1"/>
  <c r="AA10" i="33"/>
  <c r="AA12" i="34"/>
  <c r="AC12" i="33"/>
  <c r="C14" i="12"/>
  <c r="C47" i="69"/>
  <c r="D45" i="69" s="1"/>
  <c r="C23" i="12"/>
  <c r="B29" i="1"/>
  <c r="C18" i="12" s="1"/>
  <c r="C47" i="68"/>
  <c r="D45" i="68" s="1"/>
  <c r="U32" i="33"/>
  <c r="C34" i="68"/>
  <c r="C38" i="68" s="1"/>
  <c r="C12" i="12"/>
  <c r="C35" i="69"/>
  <c r="C10" i="69"/>
  <c r="C8" i="69" s="1"/>
  <c r="C5" i="69" s="1"/>
  <c r="C46" i="11" l="1"/>
  <c r="C45" i="11" s="1"/>
  <c r="C29" i="11"/>
  <c r="D27" i="11" s="1"/>
  <c r="C28" i="11"/>
  <c r="C27" i="11" s="1"/>
  <c r="G112" i="34"/>
  <c r="J37" i="34" s="1"/>
  <c r="U15" i="34"/>
  <c r="AB15" i="34"/>
  <c r="W15" i="34"/>
  <c r="AC15" i="34"/>
  <c r="U12" i="34"/>
  <c r="AB12" i="34"/>
  <c r="AA15" i="34"/>
  <c r="S15" i="34"/>
  <c r="AC10" i="35"/>
  <c r="W10" i="35"/>
  <c r="AB10" i="35"/>
  <c r="U10" i="35"/>
  <c r="AA26" i="35"/>
  <c r="S26" i="35"/>
  <c r="AB26" i="35"/>
  <c r="U26" i="35"/>
  <c r="AC26" i="35"/>
  <c r="W26" i="35"/>
  <c r="AB29" i="35"/>
  <c r="T38" i="35" s="1"/>
  <c r="G38" i="35" s="1"/>
  <c r="G42" i="35" s="1"/>
  <c r="H42" i="35" s="1"/>
  <c r="U29" i="35"/>
  <c r="J29" i="35"/>
  <c r="AA29" i="35"/>
  <c r="S29" i="35"/>
  <c r="C19" i="69"/>
  <c r="C20" i="69" s="1"/>
  <c r="C28" i="69" s="1"/>
  <c r="C27" i="69" s="1"/>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H102" i="43"/>
  <c r="H103" i="43"/>
  <c r="H104" i="43"/>
  <c r="H109" i="43"/>
  <c r="H107" i="43"/>
  <c r="H106" i="43"/>
  <c r="H105" i="43"/>
  <c r="D22" i="43"/>
  <c r="F102" i="43"/>
  <c r="F105" i="43"/>
  <c r="F109" i="43"/>
  <c r="F104" i="43"/>
  <c r="F107" i="43"/>
  <c r="F106" i="43"/>
  <c r="F103" i="43"/>
  <c r="L19" i="82"/>
  <c r="M19" i="82"/>
  <c r="C118" i="82" s="1"/>
  <c r="R20" i="6"/>
  <c r="D27" i="6"/>
  <c r="D31" i="6" s="1"/>
  <c r="I109" i="43"/>
  <c r="I104" i="43"/>
  <c r="I107" i="43"/>
  <c r="I105" i="43"/>
  <c r="I102" i="43"/>
  <c r="I106" i="43"/>
  <c r="I103" i="43"/>
  <c r="D109" i="43"/>
  <c r="D105" i="43"/>
  <c r="D106" i="43"/>
  <c r="D102" i="43"/>
  <c r="D103" i="43"/>
  <c r="D104" i="43"/>
  <c r="D107" i="43"/>
  <c r="M19" i="83"/>
  <c r="C118" i="83" s="1"/>
  <c r="L19" i="83"/>
  <c r="R21" i="6"/>
  <c r="R8" i="1" s="1"/>
  <c r="E104" i="43"/>
  <c r="E107" i="43"/>
  <c r="E105" i="43"/>
  <c r="E106" i="43"/>
  <c r="E102" i="43"/>
  <c r="E103" i="43"/>
  <c r="E109" i="43"/>
  <c r="M109" i="43"/>
  <c r="M104" i="43"/>
  <c r="M107" i="43"/>
  <c r="M102" i="43"/>
  <c r="M103" i="43"/>
  <c r="M106" i="43"/>
  <c r="M105" i="43"/>
  <c r="J104" i="43"/>
  <c r="J107" i="43"/>
  <c r="J102" i="43"/>
  <c r="J109" i="43"/>
  <c r="J105" i="43"/>
  <c r="J103" i="43"/>
  <c r="J106" i="43"/>
  <c r="G105" i="43"/>
  <c r="G107" i="43"/>
  <c r="G104" i="43"/>
  <c r="G106" i="43"/>
  <c r="G102" i="43"/>
  <c r="G103" i="43"/>
  <c r="G109" i="43"/>
  <c r="L109" i="43"/>
  <c r="L106" i="43"/>
  <c r="L107" i="43"/>
  <c r="L103" i="43"/>
  <c r="L102" i="43"/>
  <c r="L105" i="43"/>
  <c r="L104" i="43"/>
  <c r="N105" i="43"/>
  <c r="N104" i="43"/>
  <c r="N109" i="43"/>
  <c r="N102" i="43"/>
  <c r="N103" i="43"/>
  <c r="N106" i="43"/>
  <c r="N107" i="43"/>
  <c r="K102" i="43"/>
  <c r="K105" i="43"/>
  <c r="K109" i="43"/>
  <c r="K103" i="43"/>
  <c r="K107" i="43"/>
  <c r="K104" i="43"/>
  <c r="K106" i="43"/>
  <c r="E11" i="49"/>
  <c r="B8" i="49"/>
  <c r="B4" i="49"/>
  <c r="E5" i="49"/>
  <c r="E10" i="49"/>
  <c r="E8" i="49"/>
  <c r="E16" i="49"/>
  <c r="B9" i="49"/>
  <c r="B5" i="49"/>
  <c r="E22" i="49"/>
  <c r="B14" i="49"/>
  <c r="B7" i="49"/>
  <c r="B22" i="49"/>
  <c r="C27" i="43"/>
  <c r="G34" i="43"/>
  <c r="I34" i="43" s="1"/>
  <c r="E34" i="43"/>
  <c r="F10" i="39"/>
  <c r="F10" i="40"/>
  <c r="J10" i="40"/>
  <c r="H10" i="39"/>
  <c r="G38" i="43"/>
  <c r="I38" i="43" s="1"/>
  <c r="E38" i="43"/>
  <c r="B2" i="43"/>
  <c r="AC10" i="39"/>
  <c r="W10" i="39"/>
  <c r="E35" i="43"/>
  <c r="G35" i="43"/>
  <c r="I35" i="43" s="1"/>
  <c r="E37" i="43"/>
  <c r="G37" i="43"/>
  <c r="I37" i="43" s="1"/>
  <c r="U10" i="40"/>
  <c r="AB10" i="40"/>
  <c r="W36" i="33"/>
  <c r="AC36" i="33"/>
  <c r="V48" i="33" s="1"/>
  <c r="I48" i="33" s="1"/>
  <c r="I52" i="33" s="1"/>
  <c r="J52" i="33" s="1"/>
  <c r="F36" i="33"/>
  <c r="H36" i="33"/>
  <c r="H111" i="33"/>
  <c r="I111" i="33" s="1"/>
  <c r="J111" i="33" s="1"/>
  <c r="K111" i="33" s="1"/>
  <c r="L111" i="33" s="1"/>
  <c r="M111" i="33" s="1"/>
  <c r="C8" i="68"/>
  <c r="C5" i="68" s="1"/>
  <c r="C20" i="68" s="1"/>
  <c r="C28" i="68" s="1"/>
  <c r="C27" i="68" s="1"/>
  <c r="D37" i="68"/>
  <c r="C37" i="68" s="1"/>
  <c r="C16" i="12"/>
  <c r="C21" i="12" s="1"/>
  <c r="C22" i="12" s="1"/>
  <c r="C30" i="12" s="1"/>
  <c r="C28" i="12" s="1"/>
  <c r="C33" i="69"/>
  <c r="C39" i="69" s="1"/>
  <c r="C35" i="68"/>
  <c r="F40" i="67"/>
  <c r="F16" i="67"/>
  <c r="M22" i="15"/>
  <c r="F9" i="15"/>
  <c r="F6" i="77"/>
  <c r="L48" i="15"/>
  <c r="F13" i="67"/>
  <c r="M24" i="15"/>
  <c r="F26" i="15"/>
  <c r="F26" i="67"/>
  <c r="E8" i="76"/>
  <c r="F8" i="77"/>
  <c r="D6" i="73"/>
  <c r="J15" i="78"/>
  <c r="F16" i="15"/>
  <c r="F4" i="73"/>
  <c r="M26" i="15"/>
  <c r="M24" i="77"/>
  <c r="M23" i="78"/>
  <c r="F35" i="15"/>
  <c r="J15" i="15"/>
  <c r="M27" i="15"/>
  <c r="M26" i="78"/>
  <c r="D2" i="21"/>
  <c r="M8" i="15"/>
  <c r="F7" i="77"/>
  <c r="E10" i="76"/>
  <c r="F9" i="77"/>
  <c r="F26" i="77"/>
  <c r="D7" i="73"/>
  <c r="M24" i="78"/>
  <c r="F41" i="67"/>
  <c r="E2" i="69"/>
  <c r="L48" i="77"/>
  <c r="F9" i="78"/>
  <c r="M6" i="15"/>
  <c r="M21" i="67"/>
  <c r="F13" i="77"/>
  <c r="M9" i="67"/>
  <c r="M21" i="15"/>
  <c r="M29" i="67"/>
  <c r="F38" i="67"/>
  <c r="M6" i="78"/>
  <c r="M9" i="77"/>
  <c r="M28" i="77"/>
  <c r="M22" i="77"/>
  <c r="D3" i="73"/>
  <c r="F42" i="78"/>
  <c r="M27" i="77"/>
  <c r="M23" i="15"/>
  <c r="M8" i="77"/>
  <c r="M9" i="15"/>
  <c r="M29" i="15"/>
  <c r="F7" i="15"/>
  <c r="E11" i="76"/>
  <c r="M9" i="78"/>
  <c r="D2" i="33"/>
  <c r="L47" i="67"/>
  <c r="M8" i="78"/>
  <c r="C76" i="78"/>
  <c r="B8" i="76"/>
  <c r="C76" i="15"/>
  <c r="L48" i="67"/>
  <c r="B12" i="76"/>
  <c r="F8" i="78"/>
  <c r="B10" i="76"/>
  <c r="F40" i="78"/>
  <c r="M29" i="78"/>
  <c r="F26" i="78"/>
  <c r="F43" i="78"/>
  <c r="L47" i="15"/>
  <c r="F36" i="67"/>
  <c r="F36" i="77"/>
  <c r="E2" i="68"/>
  <c r="L47" i="77"/>
  <c r="J15" i="77"/>
  <c r="F40" i="15"/>
  <c r="F6" i="15"/>
  <c r="E9" i="76"/>
  <c r="F43" i="15"/>
  <c r="F3" i="73"/>
  <c r="M27" i="67"/>
  <c r="M6" i="67"/>
  <c r="D2" i="36"/>
  <c r="F40" i="77"/>
  <c r="F43" i="77"/>
  <c r="F6" i="67"/>
  <c r="M23" i="67"/>
  <c r="E13" i="76"/>
  <c r="F37" i="77"/>
  <c r="F7" i="67"/>
  <c r="F8" i="67"/>
  <c r="D2" i="34"/>
  <c r="L47" i="78"/>
  <c r="M24" i="67"/>
  <c r="F36" i="15"/>
  <c r="M22" i="78"/>
  <c r="F8" i="15"/>
  <c r="C14" i="15"/>
  <c r="AO12" i="1"/>
  <c r="M8" i="67"/>
  <c r="D5" i="73"/>
  <c r="F6" i="78"/>
  <c r="C14" i="77"/>
  <c r="F37" i="15"/>
  <c r="E12" i="76"/>
  <c r="L48" i="78"/>
  <c r="F37" i="78"/>
  <c r="C76" i="67"/>
  <c r="B9" i="76"/>
  <c r="M28" i="67"/>
  <c r="AO10" i="1"/>
  <c r="B13" i="76"/>
  <c r="D4" i="73"/>
  <c r="F43" i="67"/>
  <c r="F7" i="73"/>
  <c r="C76" i="77"/>
  <c r="F42" i="67"/>
  <c r="B7" i="76"/>
  <c r="F20" i="31"/>
  <c r="F5" i="73"/>
  <c r="M28" i="15"/>
  <c r="F7" i="78"/>
  <c r="F42" i="15"/>
  <c r="F6" i="73"/>
  <c r="B11" i="76"/>
  <c r="AO11" i="1"/>
  <c r="F13" i="15"/>
  <c r="M29" i="77"/>
  <c r="F42" i="77"/>
  <c r="M22" i="67"/>
  <c r="J15" i="67"/>
  <c r="M28" i="78"/>
  <c r="M23" i="77"/>
  <c r="F38" i="78"/>
  <c r="F16" i="77"/>
  <c r="AO9" i="1"/>
  <c r="E7" i="76"/>
  <c r="F38" i="15"/>
  <c r="F37" i="67"/>
  <c r="M6" i="77"/>
  <c r="D2" i="35"/>
  <c r="F36" i="78"/>
  <c r="D2" i="37"/>
  <c r="F38" i="77"/>
  <c r="F9" i="67"/>
  <c r="F35" i="67"/>
  <c r="M26" i="77"/>
  <c r="AO13" i="1"/>
  <c r="F16" i="78"/>
  <c r="M27" i="78"/>
  <c r="M26" i="67"/>
  <c r="F13" i="78"/>
  <c r="C14" i="78"/>
  <c r="F35" i="77"/>
  <c r="M21" i="77"/>
  <c r="B6" i="76"/>
  <c r="G1" i="73"/>
  <c r="C18" i="78" l="1"/>
  <c r="C15" i="78"/>
  <c r="B13" i="70"/>
  <c r="C34" i="67"/>
  <c r="F63" i="67"/>
  <c r="C62" i="67" s="1"/>
  <c r="F66" i="77"/>
  <c r="B2" i="37"/>
  <c r="B3" i="37" s="1"/>
  <c r="F64" i="78"/>
  <c r="F65" i="67"/>
  <c r="F66" i="15"/>
  <c r="B9" i="70"/>
  <c r="F66" i="78"/>
  <c r="B11" i="70"/>
  <c r="F50" i="78"/>
  <c r="M7" i="78"/>
  <c r="J6" i="78" s="1"/>
  <c r="B20" i="31"/>
  <c r="F70" i="67"/>
  <c r="Q71" i="77"/>
  <c r="F71" i="67"/>
  <c r="E20" i="43"/>
  <c r="P17" i="43" s="1"/>
  <c r="B10" i="70"/>
  <c r="Q71" i="67"/>
  <c r="F65" i="78"/>
  <c r="J57" i="78"/>
  <c r="J55" i="78" s="1"/>
  <c r="J58" i="78" s="1"/>
  <c r="Q50" i="78" s="1"/>
  <c r="L60" i="78"/>
  <c r="Q66" i="78" s="1"/>
  <c r="I54" i="78"/>
  <c r="L57" i="78"/>
  <c r="L56" i="78"/>
  <c r="J53" i="78"/>
  <c r="Q52" i="78" s="1"/>
  <c r="F65" i="15"/>
  <c r="C18" i="77"/>
  <c r="C15" i="77"/>
  <c r="C6" i="78"/>
  <c r="B12" i="70"/>
  <c r="C15" i="15"/>
  <c r="C18" i="15"/>
  <c r="F51" i="15"/>
  <c r="F64" i="15"/>
  <c r="L59" i="78"/>
  <c r="N59" i="78"/>
  <c r="L58" i="78"/>
  <c r="Q60" i="78" s="1"/>
  <c r="M59" i="78"/>
  <c r="F51" i="67"/>
  <c r="F50" i="67"/>
  <c r="M7" i="67"/>
  <c r="J6" i="67" s="1"/>
  <c r="F65" i="77"/>
  <c r="C6" i="67"/>
  <c r="F71" i="77"/>
  <c r="F68" i="77"/>
  <c r="B2" i="36"/>
  <c r="B3" i="36" s="1"/>
  <c r="F71" i="15"/>
  <c r="C6" i="15"/>
  <c r="F68" i="15"/>
  <c r="L59" i="77"/>
  <c r="Q61" i="77" s="1"/>
  <c r="L58" i="77"/>
  <c r="Q73" i="77" s="1"/>
  <c r="N59" i="77"/>
  <c r="M59" i="77"/>
  <c r="F64" i="77"/>
  <c r="F64" i="67"/>
  <c r="M59" i="15"/>
  <c r="L59" i="15"/>
  <c r="Q61" i="15" s="1"/>
  <c r="L58" i="15"/>
  <c r="Q73" i="15" s="1"/>
  <c r="N59" i="15"/>
  <c r="F71" i="78"/>
  <c r="C27" i="78"/>
  <c r="F68" i="78"/>
  <c r="F51" i="78"/>
  <c r="C49" i="78" s="1"/>
  <c r="L56" i="67"/>
  <c r="I54" i="67"/>
  <c r="J57" i="67"/>
  <c r="J55" i="67" s="1"/>
  <c r="J58" i="67" s="1"/>
  <c r="Q50" i="67" s="1"/>
  <c r="Q71" i="15"/>
  <c r="Q71" i="78"/>
  <c r="N59" i="67"/>
  <c r="M59" i="67"/>
  <c r="L58" i="67"/>
  <c r="Q73" i="67" s="1"/>
  <c r="L59" i="67"/>
  <c r="Q74" i="67" s="1"/>
  <c r="F50" i="15"/>
  <c r="C49" i="15" s="1"/>
  <c r="M7" i="15"/>
  <c r="J6" i="15" s="1"/>
  <c r="F66" i="67"/>
  <c r="J20" i="15"/>
  <c r="J20" i="67"/>
  <c r="L56" i="77"/>
  <c r="L60" i="77"/>
  <c r="Q57" i="77" s="1"/>
  <c r="L57" i="77"/>
  <c r="I54" i="77"/>
  <c r="J53" i="77"/>
  <c r="F1" i="77" s="1"/>
  <c r="J57" i="77"/>
  <c r="J55" i="77" s="1"/>
  <c r="J58" i="77" s="1"/>
  <c r="Q50" i="77" s="1"/>
  <c r="F69" i="67"/>
  <c r="C27" i="77"/>
  <c r="F50" i="77"/>
  <c r="M7" i="77"/>
  <c r="J6" i="77" s="1"/>
  <c r="B2" i="21"/>
  <c r="B3" i="21" s="1"/>
  <c r="F63" i="15"/>
  <c r="C62" i="15" s="1"/>
  <c r="C34" i="15"/>
  <c r="I1" i="73"/>
  <c r="B39" i="1" s="1"/>
  <c r="M11" i="77" s="1"/>
  <c r="F51" i="77"/>
  <c r="C27" i="67"/>
  <c r="C27" i="15"/>
  <c r="L56" i="15"/>
  <c r="J53" i="15"/>
  <c r="Q52" i="15" s="1"/>
  <c r="L60" i="15"/>
  <c r="Q66" i="15" s="1"/>
  <c r="J57" i="15"/>
  <c r="J55" i="15" s="1"/>
  <c r="J58" i="15" s="1"/>
  <c r="Q50" i="15" s="1"/>
  <c r="L57" i="15"/>
  <c r="I54" i="15"/>
  <c r="C6" i="77"/>
  <c r="F68" i="67"/>
  <c r="B40" i="1"/>
  <c r="F24" i="78" s="1"/>
  <c r="C24" i="78" s="1"/>
  <c r="Q73" i="78"/>
  <c r="AC37" i="34"/>
  <c r="V49" i="34" s="1"/>
  <c r="I49" i="34" s="1"/>
  <c r="W37" i="34"/>
  <c r="H112" i="34"/>
  <c r="I112" i="34" s="1"/>
  <c r="J112" i="34" s="1"/>
  <c r="K112" i="34" s="1"/>
  <c r="L112" i="34" s="1"/>
  <c r="M112" i="34" s="1"/>
  <c r="F37" i="34"/>
  <c r="H37" i="34"/>
  <c r="R38" i="35"/>
  <c r="AC29" i="35"/>
  <c r="V38" i="35" s="1"/>
  <c r="I38" i="35" s="1"/>
  <c r="G43" i="35" s="1"/>
  <c r="H43" i="35" s="1"/>
  <c r="W29" i="35"/>
  <c r="Q60" i="15"/>
  <c r="Q52" i="77"/>
  <c r="C49" i="67"/>
  <c r="C49" i="77"/>
  <c r="Q61" i="67"/>
  <c r="O17" i="43"/>
  <c r="N17" i="43"/>
  <c r="Q57" i="78"/>
  <c r="F63" i="77"/>
  <c r="C62" i="77" s="1"/>
  <c r="C34" i="77"/>
  <c r="J20" i="77"/>
  <c r="R7" i="1"/>
  <c r="R27" i="6"/>
  <c r="C115" i="43"/>
  <c r="D113" i="43" s="1"/>
  <c r="J22" i="43" s="1"/>
  <c r="I6" i="6"/>
  <c r="I5" i="6"/>
  <c r="Q74" i="77"/>
  <c r="F1" i="78"/>
  <c r="F1" i="15"/>
  <c r="Q60" i="77"/>
  <c r="M17" i="43"/>
  <c r="W10" i="40"/>
  <c r="AC10" i="40"/>
  <c r="S10" i="39"/>
  <c r="AA10" i="39"/>
  <c r="AB10" i="39"/>
  <c r="U10" i="39"/>
  <c r="AA10" i="40"/>
  <c r="S10" i="40"/>
  <c r="B2" i="76"/>
  <c r="B3" i="43"/>
  <c r="AA36" i="33"/>
  <c r="R48" i="33" s="1"/>
  <c r="S36" i="33"/>
  <c r="AB36" i="33"/>
  <c r="T48" i="33" s="1"/>
  <c r="G48" i="33" s="1"/>
  <c r="U36" i="33"/>
  <c r="C33" i="68"/>
  <c r="C39" i="68" s="1"/>
  <c r="C46" i="69"/>
  <c r="C45" i="69" s="1"/>
  <c r="C16" i="78"/>
  <c r="C16" i="77"/>
  <c r="C17" i="67"/>
  <c r="C17" i="77"/>
  <c r="C14" i="67"/>
  <c r="C16" i="67"/>
  <c r="C17" i="15"/>
  <c r="C17" i="78"/>
  <c r="AE8" i="1"/>
  <c r="C16" i="15"/>
  <c r="F35" i="78"/>
  <c r="F41" i="77"/>
  <c r="AE7" i="1"/>
  <c r="E6" i="76"/>
  <c r="M21" i="78"/>
  <c r="AE6" i="1"/>
  <c r="F41" i="15"/>
  <c r="Q60" i="67" l="1"/>
  <c r="Q74" i="15"/>
  <c r="F22" i="68"/>
  <c r="C25" i="68" s="1"/>
  <c r="F24" i="15"/>
  <c r="C24" i="15" s="1"/>
  <c r="F22" i="69"/>
  <c r="C44" i="69" s="1"/>
  <c r="D41" i="69" s="1"/>
  <c r="Q57" i="15"/>
  <c r="J10" i="77"/>
  <c r="J5" i="77" s="1"/>
  <c r="J24" i="77" s="1"/>
  <c r="M11" i="15"/>
  <c r="J10" i="15" s="1"/>
  <c r="J5" i="15" s="1"/>
  <c r="J24" i="15" s="1"/>
  <c r="Q66" i="77"/>
  <c r="F11" i="77"/>
  <c r="C10" i="77" s="1"/>
  <c r="C5" i="77" s="1"/>
  <c r="C19" i="15"/>
  <c r="C20" i="15" s="1"/>
  <c r="C26" i="15" s="1"/>
  <c r="C18" i="67"/>
  <c r="C15" i="67"/>
  <c r="C19" i="77"/>
  <c r="C20" i="77" s="1"/>
  <c r="C19" i="78"/>
  <c r="C20" i="78" s="1"/>
  <c r="C26" i="78" s="1"/>
  <c r="M11" i="67"/>
  <c r="J10" i="67" s="1"/>
  <c r="J5" i="67" s="1"/>
  <c r="J18" i="67" s="1"/>
  <c r="F11" i="15"/>
  <c r="C53" i="15" s="1"/>
  <c r="C48" i="15" s="1"/>
  <c r="C66" i="15" s="1"/>
  <c r="F11" i="67"/>
  <c r="C10" i="67" s="1"/>
  <c r="C5" i="67" s="1"/>
  <c r="F11" i="78"/>
  <c r="C10" i="78" s="1"/>
  <c r="C5" i="78" s="1"/>
  <c r="C32" i="78" s="1"/>
  <c r="M11" i="78"/>
  <c r="J10" i="78" s="1"/>
  <c r="J5" i="78" s="1"/>
  <c r="J24" i="78" s="1"/>
  <c r="Q74" i="78"/>
  <c r="Q61" i="78"/>
  <c r="F22" i="11"/>
  <c r="C44" i="11" s="1"/>
  <c r="D41" i="11" s="1"/>
  <c r="C53" i="67"/>
  <c r="C48" i="67" s="1"/>
  <c r="C66" i="67" s="1"/>
  <c r="F25" i="12"/>
  <c r="C27" i="12" s="1"/>
  <c r="C25" i="12" s="1"/>
  <c r="F24" i="67"/>
  <c r="C24" i="67" s="1"/>
  <c r="F24" i="77"/>
  <c r="C24" i="77" s="1"/>
  <c r="R39" i="35"/>
  <c r="C39" i="35" s="1"/>
  <c r="B2" i="35" s="1"/>
  <c r="I53" i="34"/>
  <c r="J53" i="34" s="1"/>
  <c r="AA37" i="34"/>
  <c r="R49" i="34" s="1"/>
  <c r="S37" i="34"/>
  <c r="U37" i="34"/>
  <c r="AB37" i="34"/>
  <c r="T49" i="34" s="1"/>
  <c r="G49" i="34" s="1"/>
  <c r="E38" i="35"/>
  <c r="E43" i="35" s="1"/>
  <c r="F43" i="35" s="1"/>
  <c r="I42" i="35"/>
  <c r="J42" i="35" s="1"/>
  <c r="I43" i="35"/>
  <c r="J43" i="35" s="1"/>
  <c r="C38" i="35"/>
  <c r="J26" i="15"/>
  <c r="J29" i="15" s="1"/>
  <c r="J18" i="15"/>
  <c r="C53" i="77"/>
  <c r="C48" i="77" s="1"/>
  <c r="C60" i="77" s="1"/>
  <c r="C25" i="69"/>
  <c r="F63" i="78"/>
  <c r="C62" i="78" s="1"/>
  <c r="C34" i="78"/>
  <c r="J20" i="78"/>
  <c r="E2" i="76"/>
  <c r="B3" i="76" s="1"/>
  <c r="R16" i="1"/>
  <c r="C43" i="69"/>
  <c r="G52" i="33"/>
  <c r="H52" i="33" s="1"/>
  <c r="G53" i="33"/>
  <c r="H53" i="33" s="1"/>
  <c r="E48" i="33"/>
  <c r="R49" i="33"/>
  <c r="C46" i="68"/>
  <c r="C45" i="68" s="1"/>
  <c r="F69" i="15"/>
  <c r="F69" i="77"/>
  <c r="C26" i="77"/>
  <c r="C32" i="67"/>
  <c r="C38" i="67"/>
  <c r="C38" i="77"/>
  <c r="C32" i="77"/>
  <c r="C33" i="77"/>
  <c r="F41" i="78"/>
  <c r="C19" i="83"/>
  <c r="C24" i="68" l="1"/>
  <c r="C42" i="68"/>
  <c r="C23" i="68"/>
  <c r="C22" i="68" s="1"/>
  <c r="C33" i="78"/>
  <c r="C44" i="68"/>
  <c r="D41" i="68" s="1"/>
  <c r="C26" i="68"/>
  <c r="D22" i="68" s="1"/>
  <c r="C23" i="69"/>
  <c r="C38" i="78"/>
  <c r="C42" i="11"/>
  <c r="C25" i="11"/>
  <c r="C23" i="11"/>
  <c r="C26" i="12"/>
  <c r="D25" i="12" s="1"/>
  <c r="C32" i="12" s="1"/>
  <c r="B2" i="12" s="1"/>
  <c r="B3" i="12" s="1"/>
  <c r="C23" i="78"/>
  <c r="C29" i="78" s="1"/>
  <c r="C57" i="78" s="1"/>
  <c r="C23" i="15"/>
  <c r="C29" i="15" s="1"/>
  <c r="Q49" i="15" s="1"/>
  <c r="C24" i="69"/>
  <c r="C22" i="69" s="1"/>
  <c r="C42" i="69"/>
  <c r="C26" i="69"/>
  <c r="D22" i="69" s="1"/>
  <c r="J18" i="77"/>
  <c r="C53" i="78"/>
  <c r="C48" i="78" s="1"/>
  <c r="C60" i="78" s="1"/>
  <c r="J26" i="77"/>
  <c r="J29" i="77" s="1"/>
  <c r="C43" i="68"/>
  <c r="C10" i="15"/>
  <c r="C5" i="15" s="1"/>
  <c r="C38" i="15" s="1"/>
  <c r="C19" i="67"/>
  <c r="C20" i="67" s="1"/>
  <c r="J18" i="78"/>
  <c r="J26" i="67"/>
  <c r="J29" i="67" s="1"/>
  <c r="C23" i="77"/>
  <c r="C29" i="77" s="1"/>
  <c r="C13" i="77" s="1"/>
  <c r="J26" i="78"/>
  <c r="J24" i="67"/>
  <c r="C60" i="15"/>
  <c r="C26" i="11"/>
  <c r="D22" i="11" s="1"/>
  <c r="C24" i="11"/>
  <c r="C43" i="11"/>
  <c r="C23" i="67"/>
  <c r="F69" i="78"/>
  <c r="J29" i="78"/>
  <c r="C41" i="69"/>
  <c r="C49" i="69" s="1"/>
  <c r="C51" i="69" s="1"/>
  <c r="C60" i="67"/>
  <c r="G54" i="34"/>
  <c r="H54" i="34" s="1"/>
  <c r="G53" i="34"/>
  <c r="H53" i="34" s="1"/>
  <c r="E49" i="34"/>
  <c r="R50" i="34"/>
  <c r="E42" i="35"/>
  <c r="F42" i="35" s="1"/>
  <c r="C21" i="83"/>
  <c r="C102" i="83"/>
  <c r="B3" i="35"/>
  <c r="C66" i="77"/>
  <c r="C48" i="33"/>
  <c r="C49" i="33"/>
  <c r="E52" i="33"/>
  <c r="F52" i="33" s="1"/>
  <c r="E53" i="33"/>
  <c r="F53" i="33" s="1"/>
  <c r="I53" i="33"/>
  <c r="J53" i="33" s="1"/>
  <c r="C31" i="77"/>
  <c r="C31" i="78"/>
  <c r="Q49" i="78"/>
  <c r="J19" i="15"/>
  <c r="J17" i="15" s="1"/>
  <c r="J14" i="15"/>
  <c r="C57" i="15"/>
  <c r="J59" i="15"/>
  <c r="J60" i="15" s="1"/>
  <c r="C20" i="83"/>
  <c r="J14" i="78" l="1"/>
  <c r="J22" i="78" s="1"/>
  <c r="J59" i="78"/>
  <c r="J60" i="78" s="1"/>
  <c r="J19" i="78"/>
  <c r="C26" i="67"/>
  <c r="C66" i="78"/>
  <c r="C41" i="11"/>
  <c r="C49" i="11" s="1"/>
  <c r="C51" i="11" s="1"/>
  <c r="C41" i="68"/>
  <c r="C49" i="68" s="1"/>
  <c r="C51" i="68" s="1"/>
  <c r="C13" i="15"/>
  <c r="C37" i="15" s="1"/>
  <c r="C36" i="15"/>
  <c r="C31" i="68"/>
  <c r="C22" i="11"/>
  <c r="C31" i="11" s="1"/>
  <c r="C31" i="69"/>
  <c r="C52" i="69" s="1"/>
  <c r="B2" i="69" s="1"/>
  <c r="B3" i="69" s="1"/>
  <c r="C36" i="78"/>
  <c r="C13" i="78"/>
  <c r="C75" i="78" s="1"/>
  <c r="J17" i="78"/>
  <c r="C33" i="15"/>
  <c r="C32" i="15"/>
  <c r="C29" i="67"/>
  <c r="Q49" i="67" s="1"/>
  <c r="E54" i="34"/>
  <c r="F54" i="34" s="1"/>
  <c r="E53" i="34"/>
  <c r="F53" i="34" s="1"/>
  <c r="I54" i="34"/>
  <c r="J54" i="34" s="1"/>
  <c r="C49" i="34"/>
  <c r="C50" i="34"/>
  <c r="C103" i="83"/>
  <c r="J19" i="77"/>
  <c r="J17" i="77" s="1"/>
  <c r="Q49" i="77"/>
  <c r="J59" i="77"/>
  <c r="J60" i="77" s="1"/>
  <c r="Q48" i="77" s="1"/>
  <c r="C36" i="77"/>
  <c r="J14" i="77"/>
  <c r="J22" i="77" s="1"/>
  <c r="C57" i="77"/>
  <c r="C64" i="77" s="1"/>
  <c r="B2" i="33"/>
  <c r="B3" i="33"/>
  <c r="Q70" i="15"/>
  <c r="Q48" i="78"/>
  <c r="L46" i="78"/>
  <c r="Q70" i="78"/>
  <c r="Q48" i="15"/>
  <c r="L46" i="15"/>
  <c r="C61" i="15"/>
  <c r="C59" i="15" s="1"/>
  <c r="C64" i="15"/>
  <c r="J13" i="15"/>
  <c r="J23" i="15" s="1"/>
  <c r="J22" i="15"/>
  <c r="J13" i="78"/>
  <c r="J23" i="78" s="1"/>
  <c r="C37" i="77"/>
  <c r="C56" i="77"/>
  <c r="C65" i="77" s="1"/>
  <c r="Q70" i="77"/>
  <c r="C75" i="77"/>
  <c r="C64" i="78"/>
  <c r="C61" i="78"/>
  <c r="C59" i="78" s="1"/>
  <c r="C19" i="82"/>
  <c r="C20" i="82"/>
  <c r="C52" i="68" l="1"/>
  <c r="B2" i="68" s="1"/>
  <c r="B3" i="68" s="1"/>
  <c r="C37" i="78"/>
  <c r="C75" i="15"/>
  <c r="C52" i="11"/>
  <c r="B2" i="11" s="1"/>
  <c r="B3" i="11" s="1"/>
  <c r="C56" i="78"/>
  <c r="C65" i="78" s="1"/>
  <c r="C58" i="78" s="1"/>
  <c r="C67" i="78" s="1"/>
  <c r="C68" i="78" s="1"/>
  <c r="C71" i="78" s="1"/>
  <c r="C56" i="15"/>
  <c r="C65" i="15" s="1"/>
  <c r="C58" i="15" s="1"/>
  <c r="C67" i="15" s="1"/>
  <c r="C68" i="15" s="1"/>
  <c r="C31" i="15"/>
  <c r="C30" i="15" s="1"/>
  <c r="C39" i="15" s="1"/>
  <c r="Q69" i="15" s="1"/>
  <c r="Q68" i="15" s="1"/>
  <c r="C30" i="78"/>
  <c r="C39" i="78" s="1"/>
  <c r="C40" i="78" s="1"/>
  <c r="J14" i="67"/>
  <c r="J22" i="67" s="1"/>
  <c r="J59" i="67"/>
  <c r="J60" i="67" s="1"/>
  <c r="L46" i="67" s="1"/>
  <c r="C33" i="67"/>
  <c r="C31" i="67" s="1"/>
  <c r="J19" i="67"/>
  <c r="J17" i="67" s="1"/>
  <c r="C36" i="67"/>
  <c r="C13" i="67"/>
  <c r="Q70" i="67" s="1"/>
  <c r="C57" i="67"/>
  <c r="C61" i="67" s="1"/>
  <c r="C59" i="67" s="1"/>
  <c r="J13" i="77"/>
  <c r="J23" i="77" s="1"/>
  <c r="J16" i="77" s="1"/>
  <c r="J25" i="77" s="1"/>
  <c r="C61" i="77"/>
  <c r="C59" i="77" s="1"/>
  <c r="C58" i="77" s="1"/>
  <c r="C67" i="77" s="1"/>
  <c r="C68" i="77" s="1"/>
  <c r="C57" i="69"/>
  <c r="C56" i="69" s="1"/>
  <c r="B2" i="34"/>
  <c r="G25" i="9" s="1"/>
  <c r="B3" i="34"/>
  <c r="L46" i="77"/>
  <c r="C56" i="11"/>
  <c r="C57" i="11" s="1"/>
  <c r="C30" i="77"/>
  <c r="C39" i="77" s="1"/>
  <c r="Q69" i="77" s="1"/>
  <c r="Q68" i="77" s="1"/>
  <c r="C103" i="82"/>
  <c r="C102" i="82"/>
  <c r="C21" i="82"/>
  <c r="J13" i="67"/>
  <c r="J23" i="67" s="1"/>
  <c r="J16" i="78"/>
  <c r="J25" i="78" s="1"/>
  <c r="J16" i="15"/>
  <c r="J25" i="15" s="1"/>
  <c r="Q69" i="78"/>
  <c r="Q68" i="78" s="1"/>
  <c r="C20" i="9"/>
  <c r="C19" i="9"/>
  <c r="L51" i="78"/>
  <c r="L51" i="77"/>
  <c r="C64" i="67" l="1"/>
  <c r="C57" i="68"/>
  <c r="C56" i="68" s="1"/>
  <c r="C80" i="78"/>
  <c r="C79" i="78" s="1"/>
  <c r="Q48" i="67"/>
  <c r="C37" i="67"/>
  <c r="C30" i="67" s="1"/>
  <c r="C39" i="67" s="1"/>
  <c r="C40" i="67" s="1"/>
  <c r="D2" i="67" s="1"/>
  <c r="B2" i="67" s="1"/>
  <c r="C56" i="67"/>
  <c r="C65" i="67" s="1"/>
  <c r="C75" i="67"/>
  <c r="C80" i="67" s="1"/>
  <c r="C79" i="67" s="1"/>
  <c r="C21" i="9"/>
  <c r="C102" i="9"/>
  <c r="C103" i="9"/>
  <c r="G25" i="83"/>
  <c r="G25" i="82"/>
  <c r="C80" i="15"/>
  <c r="C79" i="15" s="1"/>
  <c r="C40" i="15"/>
  <c r="Q65" i="15" s="1"/>
  <c r="Q75" i="15" s="1"/>
  <c r="C40" i="77"/>
  <c r="B2" i="77" s="1"/>
  <c r="C80" i="77"/>
  <c r="C79" i="77" s="1"/>
  <c r="Q69" i="67"/>
  <c r="Q68" i="67" s="1"/>
  <c r="J16" i="67"/>
  <c r="J25" i="67" s="1"/>
  <c r="Q67" i="78"/>
  <c r="Q67" i="77"/>
  <c r="C71" i="77"/>
  <c r="C71" i="15"/>
  <c r="Q65" i="78"/>
  <c r="Q75" i="78" s="1"/>
  <c r="Q47" i="78"/>
  <c r="Q53" i="78" s="1"/>
  <c r="B2" i="78"/>
  <c r="Q56" i="78"/>
  <c r="Q62" i="78" s="1"/>
  <c r="C43" i="78"/>
  <c r="C83" i="78"/>
  <c r="C82" i="78" s="1"/>
  <c r="C46" i="78"/>
  <c r="AO7" i="1"/>
  <c r="L51" i="15"/>
  <c r="L51" i="67"/>
  <c r="D19" i="82"/>
  <c r="AO8" i="1"/>
  <c r="D19" i="83"/>
  <c r="C58" i="67" l="1"/>
  <c r="C67" i="67" s="1"/>
  <c r="C68" i="67" s="1"/>
  <c r="C71" i="67" s="1"/>
  <c r="Q56" i="67"/>
  <c r="Q47" i="67"/>
  <c r="Q53" i="67" s="1"/>
  <c r="C43" i="67"/>
  <c r="Q65" i="67"/>
  <c r="C83" i="67"/>
  <c r="C82" i="67" s="1"/>
  <c r="C43" i="15"/>
  <c r="Q67" i="15"/>
  <c r="Q67" i="67"/>
  <c r="L57" i="67"/>
  <c r="L60" i="67" s="1"/>
  <c r="Q57" i="67" s="1"/>
  <c r="Q62" i="67" s="1"/>
  <c r="C46" i="77"/>
  <c r="B2" i="15"/>
  <c r="B3" i="15" s="1"/>
  <c r="B3" i="67"/>
  <c r="Q47" i="15"/>
  <c r="Q53" i="15" s="1"/>
  <c r="C46" i="15"/>
  <c r="C83" i="15"/>
  <c r="C82" i="15" s="1"/>
  <c r="Q56" i="15"/>
  <c r="Q62" i="15" s="1"/>
  <c r="Q66" i="67"/>
  <c r="Q65" i="77"/>
  <c r="Q75" i="77" s="1"/>
  <c r="C83" i="77"/>
  <c r="C82" i="77" s="1"/>
  <c r="Q56" i="77"/>
  <c r="Q62" i="77" s="1"/>
  <c r="Q47" i="77"/>
  <c r="Q53" i="77" s="1"/>
  <c r="C43" i="77"/>
  <c r="H25" i="83"/>
  <c r="H27" i="83" s="1"/>
  <c r="D102" i="83"/>
  <c r="D21" i="83"/>
  <c r="G19" i="83"/>
  <c r="D22" i="83"/>
  <c r="B8" i="70"/>
  <c r="B7" i="70"/>
  <c r="D102" i="82"/>
  <c r="H25" i="82"/>
  <c r="H27" i="82" s="1"/>
  <c r="D21" i="82"/>
  <c r="D22" i="82"/>
  <c r="G19" i="82"/>
  <c r="B3" i="77"/>
  <c r="B3" i="78"/>
  <c r="AO6" i="1"/>
  <c r="D20" i="83"/>
  <c r="D19" i="9"/>
  <c r="D20" i="82"/>
  <c r="D20" i="9"/>
  <c r="C45" i="67" l="1"/>
  <c r="C46" i="67" s="1"/>
  <c r="Q75" i="67"/>
  <c r="H25" i="9"/>
  <c r="D21" i="9"/>
  <c r="G19" i="9"/>
  <c r="C32" i="9" s="1"/>
  <c r="D102" i="9"/>
  <c r="D22" i="9"/>
  <c r="B6" i="70"/>
  <c r="B2" i="70" s="1"/>
  <c r="B3" i="70" s="1"/>
  <c r="D103" i="9"/>
  <c r="G20" i="9"/>
  <c r="D103" i="83"/>
  <c r="G20" i="83"/>
  <c r="D103" i="82"/>
  <c r="G20" i="82"/>
  <c r="G21" i="82"/>
  <c r="G15" i="74"/>
  <c r="D15" i="74" s="1"/>
  <c r="C32" i="82"/>
  <c r="G21" i="83"/>
  <c r="G16" i="74"/>
  <c r="D16" i="74" s="1"/>
  <c r="C32" i="83"/>
  <c r="D35" i="83"/>
  <c r="D35" i="9"/>
  <c r="D34" i="83"/>
  <c r="D34" i="9"/>
  <c r="D34" i="82"/>
  <c r="D35" i="82"/>
  <c r="H27" i="9" l="1"/>
  <c r="H29" i="9" s="1"/>
  <c r="I27" i="9"/>
  <c r="H28" i="9"/>
  <c r="G21" i="9"/>
  <c r="C35" i="83"/>
  <c r="F118" i="83" s="1"/>
  <c r="H118" i="83"/>
  <c r="F15" i="74"/>
  <c r="E15" i="74"/>
  <c r="E16" i="74"/>
  <c r="F16" i="74"/>
  <c r="C35" i="82"/>
  <c r="F118" i="82" s="1"/>
  <c r="H118" i="82"/>
  <c r="C35" i="9"/>
  <c r="F118" i="9" s="1"/>
  <c r="H118" i="9"/>
  <c r="C34" i="9" l="1"/>
  <c r="D118" i="9" s="1"/>
  <c r="D119" i="9" s="1"/>
  <c r="D5" i="52" s="1"/>
  <c r="B49" i="72" s="1"/>
  <c r="C34" i="83"/>
  <c r="D118" i="83" s="1"/>
  <c r="D119" i="83" s="1"/>
  <c r="C34" i="82"/>
  <c r="D118" i="82" s="1"/>
  <c r="D119" i="82" s="1"/>
  <c r="G118" i="9"/>
  <c r="G4" i="52" s="1"/>
  <c r="B52" i="72" s="1"/>
  <c r="F4" i="52"/>
  <c r="B51" i="72" s="1"/>
  <c r="F119" i="9"/>
  <c r="F5" i="52" s="1"/>
  <c r="B53" i="72" s="1"/>
  <c r="G118" i="83"/>
  <c r="F119" i="83"/>
  <c r="C104" i="9"/>
  <c r="H101" i="9"/>
  <c r="I118" i="9"/>
  <c r="H119" i="9"/>
  <c r="H5" i="52" s="1"/>
  <c r="H4" i="52"/>
  <c r="D14" i="74"/>
  <c r="H119" i="82"/>
  <c r="H101" i="82"/>
  <c r="I118" i="82"/>
  <c r="C104" i="82"/>
  <c r="G118" i="82"/>
  <c r="F119" i="82"/>
  <c r="C104" i="83"/>
  <c r="H101" i="83"/>
  <c r="I118" i="83"/>
  <c r="H119" i="83"/>
  <c r="D4" i="52" l="1"/>
  <c r="B47" i="72" s="1"/>
  <c r="H107" i="83"/>
  <c r="M48" i="83"/>
  <c r="D45" i="83"/>
  <c r="H107" i="82"/>
  <c r="M48" i="82"/>
  <c r="D45" i="82"/>
  <c r="B5" i="74"/>
  <c r="E14" i="74"/>
  <c r="F14" i="74"/>
  <c r="H107" i="9"/>
  <c r="D5" i="53"/>
  <c r="M48" i="9"/>
  <c r="D45" i="9"/>
  <c r="C105" i="83"/>
  <c r="E118" i="83"/>
  <c r="H102" i="83"/>
  <c r="H102" i="82"/>
  <c r="E118" i="82"/>
  <c r="C105" i="82"/>
  <c r="C105" i="9"/>
  <c r="I4" i="52"/>
  <c r="H102" i="9"/>
  <c r="D7" i="53" s="1"/>
  <c r="B21" i="72" s="1"/>
  <c r="E118" i="9"/>
  <c r="E4" i="52" s="1"/>
  <c r="B48" i="72" s="1"/>
  <c r="D53" i="9" l="1"/>
  <c r="C93" i="9"/>
  <c r="C86" i="9" s="1"/>
  <c r="D52" i="9"/>
  <c r="C72" i="9"/>
  <c r="C78" i="9"/>
  <c r="C73" i="9" s="1"/>
  <c r="C85" i="9"/>
  <c r="D55" i="9"/>
  <c r="M53" i="9" s="1"/>
  <c r="C64" i="9"/>
  <c r="C63" i="9" s="1"/>
  <c r="C67" i="9" s="1"/>
  <c r="C68" i="9" s="1"/>
  <c r="D54" i="9" s="1"/>
  <c r="B20" i="72"/>
  <c r="D6" i="53"/>
  <c r="B22" i="72" s="1"/>
  <c r="C5" i="74"/>
  <c r="D5" i="74"/>
  <c r="C78" i="83"/>
  <c r="C73" i="83" s="1"/>
  <c r="D52" i="83"/>
  <c r="C72" i="83"/>
  <c r="C64" i="83"/>
  <c r="C63" i="83" s="1"/>
  <c r="C67" i="83" s="1"/>
  <c r="C68" i="83" s="1"/>
  <c r="D54" i="83" s="1"/>
  <c r="C93" i="83"/>
  <c r="C86" i="83" s="1"/>
  <c r="C85" i="83"/>
  <c r="D55" i="83"/>
  <c r="M53" i="83" s="1"/>
  <c r="D53" i="83"/>
  <c r="D122" i="83"/>
  <c r="D123" i="83" s="1"/>
  <c r="H108" i="83"/>
  <c r="M49" i="83"/>
  <c r="H108" i="9"/>
  <c r="D15" i="53" s="1"/>
  <c r="B31" i="72" s="1"/>
  <c r="M49" i="9"/>
  <c r="D122" i="9"/>
  <c r="D13" i="53"/>
  <c r="D55" i="82"/>
  <c r="M53" i="82" s="1"/>
  <c r="D52" i="82"/>
  <c r="C64" i="82"/>
  <c r="C63" i="82" s="1"/>
  <c r="C67" i="82" s="1"/>
  <c r="C68" i="82" s="1"/>
  <c r="D54" i="82" s="1"/>
  <c r="C93" i="82"/>
  <c r="C86" i="82" s="1"/>
  <c r="C72" i="82"/>
  <c r="C78" i="82"/>
  <c r="C73" i="82" s="1"/>
  <c r="C85" i="82"/>
  <c r="D53" i="82"/>
  <c r="D122" i="82"/>
  <c r="D123" i="82" s="1"/>
  <c r="M49" i="82"/>
  <c r="H108" i="82"/>
  <c r="C79" i="83" l="1"/>
  <c r="C80" i="83" s="1"/>
  <c r="E80" i="83" s="1"/>
  <c r="E81" i="83" s="1"/>
  <c r="C95" i="9"/>
  <c r="C96" i="9" s="1"/>
  <c r="E96" i="9" s="1"/>
  <c r="E97" i="9" s="1"/>
  <c r="L66" i="82"/>
  <c r="M66" i="82" s="1"/>
  <c r="L64" i="82"/>
  <c r="M64" i="82" s="1"/>
  <c r="L65" i="82"/>
  <c r="M65" i="82" s="1"/>
  <c r="L68" i="82"/>
  <c r="M68" i="82" s="1"/>
  <c r="L63" i="82"/>
  <c r="M63" i="82" s="1"/>
  <c r="L67" i="82"/>
  <c r="M67" i="82" s="1"/>
  <c r="B30" i="72"/>
  <c r="D14" i="53"/>
  <c r="B32" i="72" s="1"/>
  <c r="L66" i="9"/>
  <c r="M66" i="9" s="1"/>
  <c r="L68" i="9"/>
  <c r="M68" i="9" s="1"/>
  <c r="L65" i="9"/>
  <c r="M65" i="9" s="1"/>
  <c r="L64" i="9"/>
  <c r="M64" i="9" s="1"/>
  <c r="L67" i="9"/>
  <c r="M67" i="9" s="1"/>
  <c r="L63" i="9"/>
  <c r="M63" i="9" s="1"/>
  <c r="L65" i="83"/>
  <c r="M65" i="83" s="1"/>
  <c r="L68" i="83"/>
  <c r="M68" i="83" s="1"/>
  <c r="L67" i="83"/>
  <c r="M67" i="83" s="1"/>
  <c r="L63" i="83"/>
  <c r="M63" i="83" s="1"/>
  <c r="L66" i="83"/>
  <c r="M66" i="83" s="1"/>
  <c r="L64" i="83"/>
  <c r="M64" i="83" s="1"/>
  <c r="C95" i="82"/>
  <c r="C79" i="82"/>
  <c r="G14" i="74"/>
  <c r="B6" i="74" s="1"/>
  <c r="D123" i="9"/>
  <c r="D9" i="52" s="1"/>
  <c r="D8" i="52"/>
  <c r="C95" i="83"/>
  <c r="C79" i="9"/>
  <c r="M69" i="82" l="1"/>
  <c r="N69" i="82" s="1"/>
  <c r="C80" i="9"/>
  <c r="E80" i="9" s="1"/>
  <c r="E81" i="9" s="1"/>
  <c r="D6" i="74"/>
  <c r="C6" i="74"/>
  <c r="C80" i="82"/>
  <c r="E80" i="82" s="1"/>
  <c r="E81" i="82" s="1"/>
  <c r="C81" i="83"/>
  <c r="C97" i="9"/>
  <c r="D58" i="9" s="1"/>
  <c r="D56" i="9" s="1"/>
  <c r="M54" i="9" s="1"/>
  <c r="N57" i="9" s="1"/>
  <c r="C96" i="83"/>
  <c r="E96" i="83" s="1"/>
  <c r="E97" i="83" s="1"/>
  <c r="C96" i="82"/>
  <c r="E96" i="82" s="1"/>
  <c r="E97" i="82" s="1"/>
  <c r="M69" i="83"/>
  <c r="N69" i="83" s="1"/>
  <c r="M69" i="9"/>
  <c r="N69" i="9" s="1"/>
  <c r="C97" i="82" l="1"/>
  <c r="D58" i="82" s="1"/>
  <c r="D56" i="82" s="1"/>
  <c r="M54" i="82" s="1"/>
  <c r="N57" i="82" s="1"/>
  <c r="N58" i="82" s="1"/>
  <c r="C97" i="83"/>
  <c r="D58" i="83" s="1"/>
  <c r="D56" i="83" s="1"/>
  <c r="M54" i="83" s="1"/>
  <c r="N57" i="83" s="1"/>
  <c r="P57" i="83" s="1"/>
  <c r="N58" i="9"/>
  <c r="P57" i="9"/>
  <c r="N59" i="9"/>
  <c r="C81" i="82"/>
  <c r="C81" i="9"/>
  <c r="N58" i="83" l="1"/>
  <c r="N59" i="83"/>
  <c r="N60" i="83" s="1"/>
  <c r="N59" i="82"/>
  <c r="N61" i="82" s="1"/>
  <c r="P57" i="82"/>
  <c r="N60" i="9"/>
  <c r="N61" i="9"/>
  <c r="N60" i="82" l="1"/>
  <c r="N61"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<sst xmlns="http://schemas.openxmlformats.org/spreadsheetml/2006/main" count="9863" uniqueCount="3693">
  <si>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</si>
  <si>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</si>
  <si>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</si>
  <si>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</si>
  <si>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</si>
  <si>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</si>
  <si>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</si>
  <si>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</si>
  <si>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</si>
  <si>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</si>
  <si>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</si>
  <si>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</si>
  <si>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</si>
  <si>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</si>
  <si>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</si>
  <si>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</si>
  <si>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</si>
  <si>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</si>
  <si>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</si>
  <si>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</si>
  <si>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</si>
  <si>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</si>
  <si>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</si>
  <si>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</si>
  <si>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t>
    <phoneticPr fontId="34" type="noConversion"/>
  </si>
  <si>
    <t>-</t>
    <phoneticPr fontId="34" type="noConversion"/>
  </si>
  <si>
    <t>-</t>
    <phoneticPr fontId="34" type="noConversion"/>
  </si>
  <si>
    <t>办公</t>
  </si>
  <si>
    <t>-</t>
    <phoneticPr fontId="34" type="noConversion"/>
  </si>
  <si>
    <t>-</t>
    <phoneticPr fontId="34" type="noConversion"/>
  </si>
  <si>
    <t>五级</t>
    <phoneticPr fontId="6" type="noConversion"/>
  </si>
  <si>
    <t>六级</t>
    <phoneticPr fontId="6" type="noConversion"/>
  </si>
  <si>
    <t>——</t>
    <phoneticPr fontId="41" type="noConversion"/>
  </si>
  <si>
    <t>——</t>
    <phoneticPr fontId="28"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</si>
  <si>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</si>
  <si>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</si>
  <si>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</si>
  <si>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</si>
  <si>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</si>
  <si>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</si>
  <si>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</si>
  <si>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</si>
  <si>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</si>
  <si>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</si>
  <si>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</si>
  <si>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</si>
  <si>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</si>
  <si>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</si>
  <si>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</si>
  <si>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5" type="noConversion"/>
  </si>
  <si>
    <t>地下公共配套设施</t>
    <phoneticPr fontId="45" type="noConversion"/>
  </si>
  <si>
    <t>地上物业管理用房</t>
    <phoneticPr fontId="45" type="noConversion"/>
  </si>
  <si>
    <t>地下设备及其他</t>
    <phoneticPr fontId="45" type="noConversion"/>
  </si>
  <si>
    <t>分摊土地面积</t>
    <phoneticPr fontId="45" type="noConversion"/>
  </si>
  <si>
    <t>建筑面积</t>
    <phoneticPr fontId="45" type="noConversion"/>
  </si>
  <si>
    <t>面积合计</t>
    <phoneticPr fontId="45"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</si>
  <si>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</si>
  <si>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</si>
  <si>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</si>
  <si>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</si>
  <si>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</si>
  <si>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</si>
  <si>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</si>
  <si>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</si>
  <si>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</si>
  <si>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</si>
  <si>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</si>
  <si>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</si>
  <si>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</si>
  <si>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</si>
  <si>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</si>
  <si>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</si>
  <si>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</si>
  <si>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</si>
  <si>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</si>
  <si>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</si>
  <si>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</si>
  <si>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</si>
  <si>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</si>
  <si>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</si>
  <si>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</si>
  <si>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</si>
  <si>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</si>
  <si>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</si>
  <si>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</si>
  <si>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</si>
  <si>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</si>
  <si>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</si>
  <si>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</si>
  <si>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</si>
  <si>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</si>
  <si>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</si>
  <si>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</si>
  <si>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</si>
  <si>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</si>
  <si>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</si>
  <si>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</si>
  <si>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</si>
  <si>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</si>
  <si>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</si>
  <si>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</si>
  <si>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</si>
  <si>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</si>
  <si>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</si>
  <si>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</si>
  <si>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</si>
  <si>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</si>
  <si>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</si>
  <si>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</si>
  <si>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</si>
  <si>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</si>
  <si>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</si>
  <si>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</si>
  <si>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</si>
  <si>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</si>
  <si>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</si>
  <si>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</si>
  <si>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</si>
  <si>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</si>
  <si>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</si>
  <si>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</si>
  <si>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</si>
  <si>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</si>
  <si>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</si>
  <si>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</si>
  <si>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</si>
  <si>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</si>
  <si>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</si>
  <si>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</si>
  <si>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</si>
  <si>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</si>
  <si>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</si>
  <si>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</si>
  <si>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</si>
  <si>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</si>
  <si>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</si>
  <si>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</si>
  <si>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</si>
  <si>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</si>
  <si>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</si>
  <si>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</si>
  <si>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</si>
  <si>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</si>
  <si>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</si>
  <si>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</si>
  <si>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</si>
  <si>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</si>
  <si>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</si>
  <si>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</si>
  <si>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</si>
  <si>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</si>
  <si>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</si>
  <si>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</si>
  <si>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</si>
  <si>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</si>
  <si>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</si>
  <si>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</si>
  <si>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</si>
  <si>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</si>
  <si>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</si>
  <si>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</si>
  <si>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</si>
  <si>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</si>
  <si>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</si>
  <si>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</si>
  <si>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</si>
  <si>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</si>
  <si>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</si>
  <si>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</si>
  <si>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</si>
  <si>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</si>
  <si>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</si>
  <si>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</si>
  <si>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</si>
  <si>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</si>
  <si>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</si>
  <si>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</si>
  <si>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</si>
  <si>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</si>
  <si>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</si>
  <si>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</si>
  <si>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</si>
  <si>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</si>
  <si>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</si>
  <si>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</si>
  <si>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</si>
  <si>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</si>
  <si>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</si>
  <si>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</si>
  <si>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</si>
  <si>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</si>
  <si>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</si>
  <si>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</si>
  <si>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</si>
  <si>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</si>
  <si>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</si>
  <si>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</si>
  <si>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</si>
  <si>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</si>
  <si>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</si>
  <si>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</si>
  <si>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</si>
  <si>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</si>
  <si>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</si>
  <si>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</si>
  <si>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</si>
  <si>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</si>
  <si>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</si>
  <si>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</si>
  <si>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</si>
  <si>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</si>
  <si>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</si>
  <si>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</si>
  <si>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</si>
  <si>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</si>
  <si>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</si>
  <si>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</si>
  <si>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</si>
  <si>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</si>
  <si>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</si>
  <si>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</si>
  <si>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</si>
  <si>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</si>
  <si>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</si>
  <si>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</si>
  <si>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</si>
  <si>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</si>
  <si>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</si>
  <si>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</si>
  <si>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</si>
  <si>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</si>
  <si>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</si>
  <si>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</si>
  <si>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</si>
  <si>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</si>
  <si>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</si>
  <si>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</si>
  <si>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</si>
  <si>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</si>
  <si>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</si>
  <si>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</si>
  <si>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</si>
  <si>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</si>
  <si>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</si>
  <si>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</si>
  <si>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</si>
  <si>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</si>
  <si>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</si>
  <si>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</si>
  <si>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</si>
  <si>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</si>
  <si>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</si>
  <si>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</si>
  <si>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</si>
  <si>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</si>
  <si>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</si>
  <si>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</si>
  <si>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</si>
  <si>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</si>
  <si>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</si>
  <si>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</si>
  <si>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</si>
  <si>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</si>
  <si>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</si>
  <si>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</si>
  <si>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</si>
  <si>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</si>
  <si>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</si>
  <si>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</si>
  <si>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</si>
  <si>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</si>
  <si>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Ⅱ—09</t>
  </si>
  <si>
    <t>Ⅲ—09</t>
  </si>
  <si>
    <t>Ⅳ-09</t>
  </si>
  <si>
    <t>Ⅴ-09</t>
  </si>
  <si>
    <t>Ⅵ-09</t>
  </si>
  <si>
    <t>Ⅶ-09</t>
  </si>
  <si>
    <t>Ⅷ-房3</t>
  </si>
  <si>
    <t>Ⅸ-房4</t>
  </si>
  <si>
    <t>Ⅹ-顺3</t>
  </si>
  <si>
    <t>Ⅺ-昌1</t>
    <phoneticPr fontId="6" type="noConversion"/>
  </si>
  <si>
    <t>Ⅱ—10</t>
  </si>
  <si>
    <t>Ⅲ—10</t>
  </si>
  <si>
    <t>Ⅳ-10</t>
  </si>
  <si>
    <t>Ⅴ-10</t>
  </si>
  <si>
    <t>Ⅵ-10</t>
  </si>
  <si>
    <t>Ⅶ-10</t>
  </si>
  <si>
    <t>Ⅷ-通1</t>
    <phoneticPr fontId="6" type="noConversion"/>
  </si>
  <si>
    <t>Ⅸ-房5</t>
  </si>
  <si>
    <t>Ⅹ-兴1</t>
    <phoneticPr fontId="6" type="noConversion"/>
  </si>
  <si>
    <t>Ⅺ-昌2</t>
  </si>
  <si>
    <t>Ⅱ—11</t>
  </si>
  <si>
    <t>Ⅲ—11</t>
  </si>
  <si>
    <t>Ⅳ-11</t>
  </si>
  <si>
    <t>Ⅴ-11</t>
  </si>
  <si>
    <t>Ⅵ-11</t>
  </si>
  <si>
    <t>Ⅶ-11</t>
  </si>
  <si>
    <t>Ⅷ-通2</t>
  </si>
  <si>
    <t>Ⅸ-房6</t>
  </si>
  <si>
    <t>Ⅹ-兴2</t>
  </si>
  <si>
    <t>Ⅺ-平1</t>
    <phoneticPr fontId="6" type="noConversion"/>
  </si>
  <si>
    <t>Ⅱ—12</t>
  </si>
  <si>
    <t>Ⅲ—12</t>
  </si>
  <si>
    <t>Ⅳ-12</t>
  </si>
  <si>
    <t>Ⅴ-12</t>
  </si>
  <si>
    <t>Ⅵ-12</t>
  </si>
  <si>
    <t>Ⅶ-12</t>
  </si>
  <si>
    <t>Ⅷ-通3</t>
  </si>
  <si>
    <t>Ⅸ-通1</t>
    <phoneticPr fontId="6" type="noConversion"/>
  </si>
  <si>
    <t>Ⅹ-昌1</t>
    <phoneticPr fontId="6" type="noConversion"/>
  </si>
  <si>
    <t>Ⅺ-平2</t>
  </si>
  <si>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</si>
  <si>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</si>
  <si>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</si>
  <si>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</si>
  <si>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</si>
  <si>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</si>
  <si>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</si>
  <si>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</si>
  <si>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</si>
  <si>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</si>
  <si>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</si>
  <si>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</si>
  <si>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</si>
  <si>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</si>
  <si>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</si>
  <si>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</si>
  <si>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</si>
  <si>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</si>
  <si>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</si>
  <si>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</si>
  <si>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</si>
  <si>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</si>
  <si>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</si>
  <si>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</si>
  <si>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</si>
  <si>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</si>
  <si>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</si>
  <si>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</si>
  <si>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</si>
  <si>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</si>
  <si>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</si>
  <si>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</si>
  <si>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</si>
  <si>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</si>
  <si>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</si>
  <si>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</si>
  <si>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</si>
  <si>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</si>
  <si>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</si>
  <si>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</si>
  <si>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</si>
  <si>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</si>
  <si>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</si>
  <si>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</si>
  <si>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</si>
  <si>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</si>
  <si>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</si>
  <si>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</si>
  <si>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</si>
  <si>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</si>
  <si>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</si>
  <si>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</si>
  <si>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</si>
  <si>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</si>
  <si>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</si>
  <si>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</si>
  <si>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</si>
  <si>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</si>
  <si>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</si>
  <si>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</si>
  <si>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</si>
  <si>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</si>
  <si>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</si>
  <si>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</si>
  <si>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</si>
  <si>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</si>
  <si>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</si>
  <si>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</si>
  <si>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</si>
  <si>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</si>
  <si>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</si>
  <si>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</si>
  <si>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</si>
  <si>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</si>
  <si>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</si>
  <si>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</si>
  <si>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</si>
  <si>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</si>
  <si>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</si>
  <si>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</si>
  <si>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</si>
  <si>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</si>
  <si>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</si>
  <si>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</si>
  <si>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</si>
  <si>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</si>
  <si>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</si>
  <si>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</si>
  <si>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</si>
  <si>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</si>
  <si>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</si>
  <si>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</si>
  <si>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</si>
  <si>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</si>
  <si>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</si>
  <si>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</si>
  <si>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</si>
  <si>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</si>
  <si>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</si>
  <si>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</si>
  <si>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</si>
  <si>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</si>
  <si>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</si>
  <si>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</si>
  <si>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</si>
  <si>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</si>
  <si>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</si>
  <si>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</si>
  <si>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</si>
  <si>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</si>
  <si>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</si>
  <si>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</si>
  <si>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</si>
  <si>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</si>
  <si>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</si>
  <si>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</si>
  <si>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</si>
  <si>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</si>
  <si>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</si>
  <si>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</si>
  <si>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</si>
  <si>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</si>
  <si>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</si>
  <si>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</si>
  <si>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</si>
  <si>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</si>
  <si>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</si>
  <si>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</si>
  <si>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</si>
  <si>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</si>
  <si>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</si>
  <si>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</si>
  <si>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</si>
  <si>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</si>
  <si>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</si>
  <si>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</si>
  <si>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</si>
  <si>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</si>
  <si>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</si>
  <si>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</si>
  <si>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</si>
  <si>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</si>
  <si>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</si>
  <si>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</si>
  <si>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</si>
  <si>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</si>
  <si>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</si>
  <si>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</si>
  <si>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</si>
  <si>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</si>
  <si>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</si>
  <si>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</si>
  <si>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</si>
  <si>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</si>
  <si>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</si>
  <si>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</si>
  <si>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</si>
  <si>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</si>
  <si>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</si>
  <si>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</si>
  <si>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</si>
  <si>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</si>
  <si>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</si>
  <si>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</si>
  <si>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</si>
  <si>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</si>
  <si>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</si>
  <si>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</si>
  <si>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</si>
  <si>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</si>
  <si>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</si>
  <si>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</si>
  <si>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</si>
  <si>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</si>
  <si>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</si>
  <si>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</si>
  <si>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</si>
  <si>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</si>
  <si>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</si>
  <si>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</si>
  <si>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</si>
  <si>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</si>
  <si>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</si>
  <si>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</si>
  <si>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</si>
  <si>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</si>
  <si>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</si>
  <si>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</si>
  <si>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</si>
  <si>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</si>
  <si>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</si>
  <si>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</si>
  <si>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</si>
  <si>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</si>
  <si>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</si>
  <si>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</si>
  <si>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</si>
  <si>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</si>
  <si>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</si>
  <si>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</si>
  <si>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</si>
  <si>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</si>
  <si>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</si>
  <si>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</si>
  <si>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</si>
  <si>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</si>
  <si>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</si>
  <si>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</si>
  <si>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</si>
  <si>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</si>
  <si>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</si>
  <si>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</si>
  <si>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</si>
  <si>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</si>
  <si>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</si>
  <si>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</si>
  <si>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</si>
  <si>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</si>
  <si>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</si>
  <si>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</si>
  <si>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</si>
  <si>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</si>
  <si>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</si>
  <si>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</si>
  <si>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</si>
  <si>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</si>
  <si>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</si>
  <si>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</si>
  <si>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</si>
  <si>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</si>
  <si>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</si>
  <si>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</si>
  <si>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</si>
  <si>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</si>
  <si>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</si>
  <si>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</si>
  <si>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</si>
  <si>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</si>
  <si>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</si>
  <si>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</si>
  <si>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</si>
  <si>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</si>
  <si>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</si>
  <si>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</si>
  <si>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</si>
  <si>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</si>
  <si>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</si>
  <si>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</si>
  <si>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</si>
  <si>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</si>
  <si>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</si>
  <si>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</si>
  <si>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</si>
  <si>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</si>
  <si>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</si>
  <si>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</si>
  <si>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</si>
  <si>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</si>
  <si>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</si>
  <si>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</si>
  <si>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</si>
  <si>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</si>
  <si>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</si>
  <si>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</si>
  <si>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</si>
  <si>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</si>
  <si>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</si>
  <si>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</si>
  <si>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</si>
  <si>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</si>
  <si>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</si>
  <si>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</si>
  <si>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</si>
  <si>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</si>
  <si>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</si>
  <si>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</si>
  <si>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</si>
  <si>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</si>
  <si>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</si>
  <si>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</si>
  <si>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</si>
  <si>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</si>
  <si>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</si>
  <si>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</si>
  <si>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</si>
  <si>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</si>
  <si>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</si>
  <si>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</si>
  <si>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</si>
  <si>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</si>
  <si>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</si>
  <si>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</si>
  <si>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</si>
  <si>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</si>
  <si>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</si>
  <si>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</si>
  <si>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</si>
  <si>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</si>
  <si>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</si>
  <si>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</si>
  <si>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</si>
  <si>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</si>
  <si>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</si>
  <si>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</si>
  <si>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</si>
  <si>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</si>
  <si>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</si>
  <si>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</si>
  <si>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</si>
  <si>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</si>
  <si>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</si>
  <si>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</si>
  <si>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</si>
  <si>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</si>
  <si>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</si>
  <si>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</si>
  <si>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</si>
  <si>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</si>
  <si>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</si>
  <si>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</si>
  <si>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</si>
  <si>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</si>
  <si>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</si>
  <si>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</si>
  <si>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</si>
  <si>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</si>
  <si>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</si>
  <si>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</si>
  <si>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</si>
  <si>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</si>
  <si>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</si>
  <si>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</si>
  <si>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</si>
  <si>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</si>
  <si>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</si>
  <si>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</si>
  <si>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</si>
  <si>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</si>
  <si>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</si>
  <si>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</si>
  <si>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</si>
  <si>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</si>
  <si>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</si>
  <si>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</si>
  <si>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</si>
  <si>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</si>
  <si>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</si>
  <si>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</si>
  <si>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</si>
  <si>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</si>
  <si>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</si>
  <si>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</si>
  <si>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</si>
  <si>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</si>
  <si>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</si>
  <si>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</si>
  <si>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</si>
  <si>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</si>
  <si>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</si>
  <si>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</si>
  <si>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</si>
  <si>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</si>
  <si>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</si>
  <si>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</si>
  <si>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</si>
  <si>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</si>
  <si>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</si>
  <si>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</si>
  <si>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</si>
  <si>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</si>
  <si>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</si>
  <si>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</si>
  <si>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</si>
  <si>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</si>
  <si>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</si>
  <si>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</si>
  <si>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</si>
  <si>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</si>
  <si>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</si>
  <si>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</si>
  <si>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</si>
  <si>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</si>
  <si>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</si>
  <si>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</si>
  <si>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</si>
  <si>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</si>
  <si>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</si>
  <si>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</si>
  <si>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</si>
  <si>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</si>
  <si>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</si>
  <si>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</si>
  <si>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</si>
  <si>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</si>
  <si>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</si>
  <si>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</si>
  <si>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</si>
  <si>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</si>
  <si>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</si>
  <si>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</si>
  <si>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</si>
  <si>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</si>
  <si>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</si>
  <si>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</si>
  <si>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</si>
  <si>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</si>
  <si>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</si>
  <si>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</si>
  <si>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</si>
  <si>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</si>
  <si>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</si>
  <si>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</si>
  <si>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</si>
  <si>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</si>
  <si>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</si>
  <si>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</si>
  <si>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</si>
  <si>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</si>
  <si>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</si>
  <si>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</si>
  <si>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</si>
  <si>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</si>
  <si>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</si>
  <si>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</si>
  <si>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</si>
  <si>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</si>
  <si>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</si>
  <si>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</si>
  <si>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</si>
  <si>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</si>
  <si>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</si>
  <si>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</si>
  <si>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</si>
  <si>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</si>
  <si>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</si>
  <si>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</si>
  <si>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</si>
  <si>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</si>
  <si>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</si>
  <si>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</si>
  <si>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住宅</t>
    <phoneticPr fontId="6" type="noConversion"/>
  </si>
  <si>
    <t>住宅</t>
    <phoneticPr fontId="6" type="noConversion"/>
  </si>
  <si>
    <t>区域土地利用方向</t>
    <phoneticPr fontId="48" type="noConversion"/>
  </si>
  <si>
    <r>
      <rPr>
        <sz val="10"/>
        <color indexed="8"/>
        <rFont val="宋体"/>
        <family val="3"/>
        <charset val="134"/>
      </rPr>
      <t>修正系数</t>
    </r>
    <phoneticPr fontId="82" type="noConversion"/>
  </si>
  <si>
    <t>五等判定</t>
    <phoneticPr fontId="19" type="noConversion"/>
  </si>
  <si>
    <t>基准地价修正</t>
    <phoneticPr fontId="19" type="noConversion"/>
  </si>
  <si>
    <t>*</t>
    <phoneticPr fontId="19" type="noConversion"/>
  </si>
  <si>
    <t>二级分类</t>
    <phoneticPr fontId="6"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</si>
  <si>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</si>
  <si>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</si>
  <si>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</si>
  <si>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</si>
  <si>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</si>
  <si>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</si>
  <si>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</si>
  <si>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</si>
  <si>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</si>
  <si>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</si>
  <si>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</si>
  <si>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</si>
  <si>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</si>
  <si>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</si>
  <si>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</si>
  <si>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</si>
  <si>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</si>
  <si>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</si>
  <si>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</si>
  <si>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</si>
  <si>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</si>
  <si>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</si>
  <si>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</si>
  <si>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</si>
  <si>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</si>
  <si>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</si>
  <si>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</si>
  <si>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</si>
  <si>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</si>
  <si>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</si>
  <si>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</si>
  <si>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</si>
  <si>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</si>
  <si>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</si>
  <si>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</si>
  <si>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</si>
  <si>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</si>
  <si>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</si>
  <si>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</si>
  <si>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</si>
  <si>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</si>
  <si>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</si>
  <si>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</si>
  <si>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</si>
  <si>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</si>
  <si>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</si>
  <si>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</si>
  <si>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</si>
  <si>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82" type="noConversion"/>
  </si>
  <si>
    <t>2.</t>
    <phoneticPr fontId="82" type="noConversion"/>
  </si>
  <si>
    <t>3.</t>
    <phoneticPr fontId="82" type="noConversion"/>
  </si>
  <si>
    <t>4.</t>
    <phoneticPr fontId="6" type="noConversion"/>
  </si>
  <si>
    <t>5.</t>
    <phoneticPr fontId="6" type="noConversion"/>
  </si>
  <si>
    <t>6.</t>
    <phoneticPr fontId="6" type="noConversion"/>
  </si>
  <si>
    <t>7.</t>
    <phoneticPr fontId="6" type="noConversion"/>
  </si>
  <si>
    <t>十一级</t>
  </si>
  <si>
    <t>十二级</t>
  </si>
  <si>
    <t>一级</t>
    <phoneticPr fontId="82" type="noConversion"/>
  </si>
  <si>
    <t>Ⅰ—01</t>
    <phoneticPr fontId="6" type="noConversion"/>
  </si>
  <si>
    <t xml:space="preserve">— </t>
    <phoneticPr fontId="88" type="noConversion"/>
  </si>
  <si>
    <t>估价项目名称：</t>
    <phoneticPr fontId="88" type="noConversion"/>
  </si>
  <si>
    <t>估价委托人：</t>
    <phoneticPr fontId="88" type="noConversion"/>
  </si>
  <si>
    <t>房地产估价机构：</t>
    <phoneticPr fontId="88" type="noConversion"/>
  </si>
  <si>
    <t>北京康正宏基房地产评估有限公司</t>
    <phoneticPr fontId="88" type="noConversion"/>
  </si>
  <si>
    <t>注册房地产估价师：</t>
    <phoneticPr fontId="88" type="noConversion"/>
  </si>
  <si>
    <t>估价报告编号：</t>
    <phoneticPr fontId="88" type="noConversion"/>
  </si>
  <si>
    <t>今日</t>
    <phoneticPr fontId="88" type="noConversion"/>
  </si>
  <si>
    <t>资质过期显示为红色</t>
    <phoneticPr fontId="88" type="noConversion"/>
  </si>
  <si>
    <t>注册房地产估价师</t>
    <phoneticPr fontId="88" type="noConversion"/>
  </si>
  <si>
    <t>注册证号</t>
    <phoneticPr fontId="88" type="noConversion"/>
  </si>
  <si>
    <t>资质有效期</t>
    <phoneticPr fontId="88" type="noConversion"/>
  </si>
  <si>
    <t>土地估价师</t>
    <phoneticPr fontId="88" type="noConversion"/>
  </si>
  <si>
    <t>证号</t>
    <phoneticPr fontId="88" type="noConversion"/>
  </si>
  <si>
    <t>梁津</t>
    <phoneticPr fontId="88" type="noConversion"/>
  </si>
  <si>
    <t>李立</t>
    <phoneticPr fontId="88" type="noConversion"/>
  </si>
  <si>
    <t>叶凌</t>
    <phoneticPr fontId="88" type="noConversion"/>
  </si>
  <si>
    <t>王鹏</t>
    <phoneticPr fontId="88" type="noConversion"/>
  </si>
  <si>
    <t>欧红伟</t>
    <phoneticPr fontId="88" type="noConversion"/>
  </si>
  <si>
    <t>吴薇</t>
    <phoneticPr fontId="88" type="noConversion"/>
  </si>
  <si>
    <t>陈颖</t>
    <phoneticPr fontId="88" type="noConversion"/>
  </si>
  <si>
    <t>崔锴</t>
    <phoneticPr fontId="88" type="noConversion"/>
  </si>
  <si>
    <t>郑燚</t>
    <phoneticPr fontId="88" type="noConversion"/>
  </si>
  <si>
    <t>马琳琳</t>
    <phoneticPr fontId="88" type="noConversion"/>
  </si>
  <si>
    <t>刘梅</t>
    <phoneticPr fontId="88" type="noConversion"/>
  </si>
  <si>
    <t>赵雯</t>
    <phoneticPr fontId="88" type="noConversion"/>
  </si>
  <si>
    <t>刘敬东</t>
    <phoneticPr fontId="88" type="noConversion"/>
  </si>
  <si>
    <t>王萌</t>
    <phoneticPr fontId="88" type="noConversion"/>
  </si>
  <si>
    <t>估价机构</t>
    <phoneticPr fontId="88" type="noConversion"/>
  </si>
  <si>
    <t>房地产</t>
    <phoneticPr fontId="88" type="noConversion"/>
  </si>
  <si>
    <t>土地</t>
    <phoneticPr fontId="88" type="noConversion"/>
  </si>
  <si>
    <t>证书名称</t>
    <phoneticPr fontId="88" type="noConversion"/>
  </si>
  <si>
    <t>号码</t>
    <phoneticPr fontId="88" type="noConversion"/>
  </si>
  <si>
    <t>资质有效期</t>
    <phoneticPr fontId="88" type="noConversion"/>
  </si>
  <si>
    <t>资质证书：一级</t>
    <phoneticPr fontId="88" type="noConversion"/>
  </si>
  <si>
    <t>建房估证字[2013]081号</t>
    <phoneticPr fontId="88" type="noConversion"/>
  </si>
  <si>
    <t>注册证书</t>
    <phoneticPr fontId="88" type="noConversion"/>
  </si>
  <si>
    <t>A201111009</t>
    <phoneticPr fontId="88" type="noConversion"/>
  </si>
  <si>
    <t>资信等级：A级</t>
    <phoneticPr fontId="88" type="noConversion"/>
  </si>
  <si>
    <t>估价目的</t>
    <phoneticPr fontId="90" type="noConversion"/>
  </si>
  <si>
    <t>优先受偿</t>
    <phoneticPr fontId="90" type="noConversion"/>
  </si>
  <si>
    <t>抵押</t>
    <phoneticPr fontId="90" type="noConversion"/>
  </si>
  <si>
    <t>2.估价师所知悉的法定优先受偿款</t>
    <phoneticPr fontId="90" type="noConversion"/>
  </si>
  <si>
    <t>2.估价师所知悉的除抵押担保权以外的法定优先受偿款</t>
    <phoneticPr fontId="90" type="noConversion"/>
  </si>
  <si>
    <t>价值类型及定义</t>
    <phoneticPr fontId="90" type="noConversion"/>
  </si>
  <si>
    <t>房地产价值</t>
    <phoneticPr fontId="90" type="noConversion"/>
  </si>
  <si>
    <t>房地产抵押价值</t>
    <phoneticPr fontId="90" type="noConversion"/>
  </si>
  <si>
    <t>已注销</t>
    <phoneticPr fontId="90" type="noConversion"/>
  </si>
  <si>
    <t>已注销及未注销</t>
    <phoneticPr fontId="90" type="noConversion"/>
  </si>
  <si>
    <t>抵押净值</t>
    <phoneticPr fontId="90" type="noConversion"/>
  </si>
  <si>
    <t>——</t>
    <phoneticPr fontId="19" type="noConversion"/>
  </si>
  <si>
    <t>XX</t>
  </si>
  <si>
    <t>附表：</t>
    <phoneticPr fontId="98" type="noConversion"/>
  </si>
  <si>
    <t>北京市区片基准地价因素总修正幅度表</t>
    <phoneticPr fontId="6" type="noConversion"/>
  </si>
  <si>
    <t>级别</t>
    <phoneticPr fontId="6" type="noConversion"/>
  </si>
  <si>
    <t>区片编号</t>
    <phoneticPr fontId="6" type="noConversion"/>
  </si>
  <si>
    <t>商业</t>
    <phoneticPr fontId="6" type="noConversion"/>
  </si>
  <si>
    <t>办公</t>
    <phoneticPr fontId="6" type="noConversion"/>
  </si>
  <si>
    <t>住宅</t>
    <phoneticPr fontId="6" type="noConversion"/>
  </si>
  <si>
    <t>工业</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</si>
  <si>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</si>
  <si>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</si>
  <si>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</si>
  <si>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</si>
  <si>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</si>
  <si>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</si>
  <si>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</si>
  <si>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</si>
  <si>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</si>
  <si>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</si>
  <si>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</si>
  <si>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</si>
  <si>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</si>
  <si>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</si>
  <si>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</si>
  <si>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</si>
  <si>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</si>
  <si>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</si>
  <si>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</si>
  <si>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</si>
  <si>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</si>
  <si>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</si>
  <si>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</si>
  <si>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</si>
  <si>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</si>
  <si>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</si>
  <si>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</si>
  <si>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</si>
  <si>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</si>
  <si>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</si>
  <si>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</si>
  <si>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</si>
  <si>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</si>
  <si>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</si>
  <si>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</si>
  <si>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</si>
  <si>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</si>
  <si>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</si>
  <si>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</si>
  <si>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</si>
  <si>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</si>
  <si>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</si>
  <si>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</si>
  <si>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</si>
  <si>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</si>
  <si>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</si>
  <si>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</si>
  <si>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</si>
  <si>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</si>
  <si>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</si>
  <si>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</si>
  <si>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</si>
  <si>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</si>
  <si>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</si>
  <si>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</si>
  <si>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</si>
  <si>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</si>
  <si>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</si>
  <si>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</si>
  <si>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</si>
  <si>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</si>
  <si>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</si>
  <si>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</si>
  <si>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</si>
  <si>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</si>
  <si>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</si>
  <si>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</si>
  <si>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</si>
  <si>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</si>
  <si>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</si>
  <si>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</si>
  <si>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</si>
  <si>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</si>
  <si>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</si>
  <si>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</si>
  <si>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</si>
  <si>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</si>
  <si>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</si>
  <si>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</si>
  <si>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</si>
  <si>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</si>
  <si>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</si>
  <si>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</si>
  <si>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</si>
  <si>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</si>
  <si>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</si>
  <si>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</si>
  <si>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</si>
  <si>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</si>
  <si>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</si>
  <si>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</si>
  <si>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</si>
  <si>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</si>
  <si>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</si>
  <si>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</si>
  <si>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</si>
  <si>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</si>
  <si>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</si>
  <si>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</si>
  <si>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</si>
  <si>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</si>
  <si>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</si>
  <si>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</si>
  <si>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</si>
  <si>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</si>
  <si>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</si>
  <si>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</si>
  <si>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</si>
  <si>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</si>
  <si>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</si>
  <si>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</si>
  <si>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</si>
  <si>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</si>
  <si>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</si>
  <si>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</si>
  <si>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</si>
  <si>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</si>
  <si>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</si>
  <si>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</si>
  <si>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</si>
  <si>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</si>
  <si>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</si>
  <si>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</si>
  <si>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</si>
  <si>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</si>
  <si>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</si>
  <si>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</si>
  <si>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</si>
  <si>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</si>
  <si>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</si>
  <si>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</si>
  <si>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</si>
  <si>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</si>
  <si>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</si>
  <si>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</si>
  <si>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</si>
  <si>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</si>
  <si>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</si>
  <si>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</si>
  <si>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</si>
  <si>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</si>
  <si>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</si>
  <si>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</si>
  <si>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</si>
  <si>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</si>
  <si>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</si>
  <si>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</si>
  <si>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</si>
  <si>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</si>
  <si>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</si>
  <si>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</si>
  <si>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</si>
  <si>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</si>
  <si>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</si>
  <si>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</si>
  <si>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</si>
  <si>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</si>
  <si>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</si>
  <si>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</si>
  <si>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</si>
  <si>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</si>
  <si>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</si>
  <si>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</si>
  <si>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</si>
  <si>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</si>
  <si>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</si>
  <si>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</si>
  <si>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</si>
  <si>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</si>
  <si>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</si>
  <si>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</si>
  <si>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</si>
  <si>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</si>
  <si>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</si>
  <si>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</si>
  <si>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t>Ⅷ-延1</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</si>
  <si>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</si>
  <si>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</si>
  <si>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</si>
  <si>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</si>
  <si>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</si>
  <si>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</si>
  <si>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</si>
  <si>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</si>
  <si>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</si>
  <si>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</si>
  <si>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</si>
  <si>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</si>
  <si>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</si>
  <si>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</si>
  <si>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</si>
  <si>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</si>
  <si>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</si>
  <si>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</si>
  <si>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</si>
  <si>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</si>
  <si>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</si>
  <si>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</si>
  <si>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</si>
  <si>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</si>
  <si>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</si>
  <si>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</si>
  <si>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</si>
  <si>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</si>
  <si>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</si>
  <si>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</si>
  <si>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</si>
  <si>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</si>
  <si>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</si>
  <si>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</si>
  <si>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</si>
  <si>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</si>
  <si>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</si>
  <si>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</si>
  <si>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</si>
  <si>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</si>
  <si>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</si>
  <si>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</si>
  <si>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</si>
  <si>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</si>
  <si>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</si>
  <si>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</si>
  <si>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</si>
  <si>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</si>
  <si>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</si>
  <si>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</si>
  <si>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</si>
  <si>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</si>
  <si>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</si>
  <si>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</si>
  <si>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</si>
  <si>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</si>
  <si>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</si>
  <si>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</si>
  <si>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</si>
  <si>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</si>
  <si>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</si>
  <si>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</si>
  <si>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</si>
  <si>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</si>
  <si>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</si>
  <si>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</si>
  <si>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</si>
  <si>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</si>
  <si>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其他收入</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</si>
  <si>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</si>
  <si>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</si>
  <si>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</si>
  <si>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</si>
  <si>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</si>
  <si>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</si>
  <si>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</si>
  <si>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</si>
  <si>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</si>
  <si>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</si>
  <si>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</si>
  <si>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</si>
  <si>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</si>
  <si>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</si>
  <si>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</si>
  <si>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</si>
  <si>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</si>
  <si>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</si>
  <si>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</si>
  <si>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</si>
  <si>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</si>
  <si>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</si>
  <si>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</si>
  <si>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</si>
  <si>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</si>
  <si>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</si>
  <si>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杨红英</t>
    <phoneticPr fontId="88" type="noConversion"/>
  </si>
  <si>
    <t>公示地价指数</t>
    <phoneticPr fontId="154" type="noConversion"/>
  </si>
  <si>
    <r>
      <rPr>
        <b/>
        <sz val="10"/>
        <color theme="1"/>
        <rFont val="楷体_GB2312"/>
        <family val="2"/>
        <charset val="134"/>
      </rPr>
      <t>公示增长率</t>
    </r>
    <phoneticPr fontId="154" type="noConversion"/>
  </si>
  <si>
    <r>
      <rPr>
        <b/>
        <sz val="10"/>
        <color theme="1"/>
        <rFont val="楷体_GB2312"/>
        <family val="2"/>
        <charset val="134"/>
      </rPr>
      <t>核算至百分数</t>
    </r>
    <phoneticPr fontId="154" type="noConversion"/>
  </si>
  <si>
    <r>
      <rPr>
        <b/>
        <sz val="10"/>
        <color theme="1"/>
        <rFont val="楷体_GB2312"/>
        <family val="2"/>
        <charset val="134"/>
      </rPr>
      <t>验证</t>
    </r>
    <phoneticPr fontId="154" type="noConversion"/>
  </si>
  <si>
    <t>季度连乘</t>
    <phoneticPr fontId="146" type="noConversion"/>
  </si>
  <si>
    <t>平均增幅</t>
    <phoneticPr fontId="146"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</si>
  <si>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</si>
  <si>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</si>
  <si>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</si>
  <si>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</si>
  <si>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</si>
  <si>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</si>
  <si>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基准季度</t>
    <phoneticPr fontId="146" type="noConversion"/>
  </si>
  <si>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</si>
  <si>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</si>
  <si>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</si>
  <si>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</si>
  <si>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</si>
  <si>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</si>
  <si>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</si>
  <si>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</si>
  <si>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</si>
  <si>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</si>
  <si>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</si>
  <si>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</si>
  <si>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</si>
  <si>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</si>
  <si>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</si>
  <si>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</si>
  <si>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</si>
  <si>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</si>
  <si>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</si>
  <si>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</si>
  <si>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</si>
  <si>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</si>
  <si>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</si>
  <si>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</si>
  <si>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</si>
  <si>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</si>
  <si>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</si>
  <si>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</si>
  <si>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</si>
  <si>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</si>
  <si>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</si>
  <si>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</si>
  <si>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</si>
  <si>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</si>
  <si>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</si>
  <si>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</si>
  <si>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</si>
  <si>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</si>
  <si>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</si>
  <si>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</si>
  <si>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</si>
  <si>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</si>
  <si>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</si>
  <si>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</si>
  <si>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</si>
  <si>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</si>
  <si>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</si>
  <si>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</si>
  <si>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</si>
  <si>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</si>
  <si>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</si>
  <si>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</si>
  <si>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</si>
  <si>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</si>
  <si>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</si>
  <si>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</si>
  <si>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</si>
  <si>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</si>
  <si>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</si>
  <si>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</si>
  <si>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</si>
  <si>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</si>
  <si>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</si>
  <si>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</si>
  <si>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</si>
  <si>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4" type="noConversion"/>
  </si>
  <si>
    <t>致函-价值类型-抵押</t>
    <phoneticPr fontId="154" type="noConversion"/>
  </si>
  <si>
    <t>致函-价值类型-优先受偿</t>
    <phoneticPr fontId="154" type="noConversion"/>
  </si>
  <si>
    <t>致函-价值类型-净值</t>
    <phoneticPr fontId="154" type="noConversion"/>
  </si>
  <si>
    <t>致函-估价方法</t>
    <phoneticPr fontId="154" type="noConversion"/>
  </si>
  <si>
    <t>致函-估价结果</t>
    <phoneticPr fontId="146" type="noConversion"/>
  </si>
  <si>
    <t>致函-估价结果-表1-总</t>
    <phoneticPr fontId="154" type="noConversion"/>
  </si>
  <si>
    <t>致函-估价结果-表1-单</t>
    <phoneticPr fontId="154" type="noConversion"/>
  </si>
  <si>
    <t>致函-估价结果-表1-大</t>
    <phoneticPr fontId="154" type="noConversion"/>
  </si>
  <si>
    <t>致函-估价结果-表1-优先（大）</t>
    <phoneticPr fontId="154" type="noConversion"/>
  </si>
  <si>
    <t>致函-估价结果-表1-优先-抵押</t>
    <phoneticPr fontId="154" type="noConversion"/>
  </si>
  <si>
    <t>致函-估价结果-表1-优先-工程</t>
    <phoneticPr fontId="154" type="noConversion"/>
  </si>
  <si>
    <t>致函-估价结果-表1-优先-其他</t>
    <phoneticPr fontId="154" type="noConversion"/>
  </si>
  <si>
    <t>致函-估价结果-表1-抵押（大）</t>
    <phoneticPr fontId="154" type="noConversion"/>
  </si>
  <si>
    <t>致函-估价结果-表1-已注（大）</t>
    <phoneticPr fontId="154" type="noConversion"/>
  </si>
  <si>
    <t>致函-估价结果-表1-净值（单）</t>
    <phoneticPr fontId="154" type="noConversion"/>
  </si>
  <si>
    <t>致函-估价结果-表1-净值（大）</t>
    <phoneticPr fontId="154" type="noConversion"/>
  </si>
  <si>
    <t>致函-估价结果-表2-土地面积</t>
    <phoneticPr fontId="154" type="noConversion"/>
  </si>
  <si>
    <t>致函-估价结果-表2-地（总）</t>
    <phoneticPr fontId="154" type="noConversion"/>
  </si>
  <si>
    <t>致函-估价结果-表2-地（单）</t>
    <phoneticPr fontId="154" type="noConversion"/>
  </si>
  <si>
    <t>致函-估价结果-表2-地（大）</t>
    <phoneticPr fontId="154" type="noConversion"/>
  </si>
  <si>
    <t>致函-估价结果-表2-建（总）</t>
    <phoneticPr fontId="154" type="noConversion"/>
  </si>
  <si>
    <t>致函-估价结果-表2-建（单）</t>
    <phoneticPr fontId="154" type="noConversion"/>
  </si>
  <si>
    <t>致函-特别提示-1</t>
    <phoneticPr fontId="154" type="noConversion"/>
  </si>
  <si>
    <t>致函-特别提示-2</t>
  </si>
  <si>
    <t>致函-特别提示-优先受偿-1</t>
    <phoneticPr fontId="154" type="noConversion"/>
  </si>
  <si>
    <t>致函-特别提示-优先受偿-2</t>
  </si>
  <si>
    <t>致函-特别提示-优先受偿-3</t>
  </si>
  <si>
    <t>致函-特别提示-优先受偿-4</t>
  </si>
  <si>
    <t>致函-特别提示-4</t>
    <phoneticPr fontId="154"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</si>
  <si>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</si>
  <si>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</si>
  <si>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</si>
  <si>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</si>
  <si>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</si>
  <si>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</si>
  <si>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致函-估价对象-现房-1</t>
    <phoneticPr fontId="146" type="noConversion"/>
  </si>
  <si>
    <t>致函-估价对象-现房-2</t>
  </si>
  <si>
    <t>致函-估价对象-在建-1</t>
    <phoneticPr fontId="146" type="noConversion"/>
  </si>
  <si>
    <t>致函-估价对象-在建-2</t>
  </si>
  <si>
    <t>致函-特别提示-优先受偿-5</t>
  </si>
  <si>
    <t>致函-特别提示-6</t>
  </si>
  <si>
    <t>致函-特别提示-7</t>
  </si>
  <si>
    <t>致函-估价结果-表2-地（名称）</t>
    <phoneticPr fontId="154" type="noConversion"/>
  </si>
  <si>
    <t>致函-估价结果-表2-建（名称）</t>
    <phoneticPr fontId="154" type="noConversion"/>
  </si>
  <si>
    <t>致函-估价结果-表2-土地面积（名称）</t>
    <phoneticPr fontId="154" type="noConversion"/>
  </si>
  <si>
    <t>致函-估价结果-表1-抵押（单）</t>
    <phoneticPr fontId="154" type="noConversion"/>
  </si>
  <si>
    <t>致函-估价结果-表1-已注（单）</t>
    <phoneticPr fontId="154" type="noConversion"/>
  </si>
  <si>
    <t>致函-估价结果-表1-已注（名称）</t>
    <phoneticPr fontId="154" type="noConversion"/>
  </si>
  <si>
    <t>致函-估价结果-表1-净值（名称）</t>
    <phoneticPr fontId="154" type="noConversion"/>
  </si>
  <si>
    <t>致函-估价结果-表2-建（大）</t>
  </si>
  <si>
    <t>致函-估价结果-表2-已注（名称）</t>
    <phoneticPr fontId="154" type="noConversion"/>
  </si>
  <si>
    <t>致函-估价结果-表2-净值（名称）</t>
    <phoneticPr fontId="154" type="noConversion"/>
  </si>
  <si>
    <t>本次估价的“房地产抵押价值”是指估价对象在价值时点的“房地产价值”扣减估价师于价值时点所知悉的法定优先受偿款后的余额。</t>
    <phoneticPr fontId="90" type="noConversion"/>
  </si>
  <si>
    <t>本次估价的“抵押担保权已注销时的房地产抵押价值”是指估价对象在价值时点的“房地产价值”扣减估价师于价值时点所知悉的除抵押担保权以外的其他法定优先受偿款后的余额。</t>
    <phoneticPr fontId="90" type="noConversion"/>
  </si>
  <si>
    <t>本次估价的“抵押净值”是指估价对象“房地产抵押价值”减去估价对象在价值时点以“房地产销售收入”为基数计算的预计抵押权实现进行处置时需缴纳的各项费用、税金等相关费用后的价值。</t>
    <phoneticPr fontId="90"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</si>
  <si>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</si>
  <si>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</si>
  <si>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0" type="noConversion"/>
  </si>
  <si>
    <t>致函-估价结果-表1-优先（名称）</t>
    <phoneticPr fontId="154" type="noConversion"/>
  </si>
  <si>
    <t>致函-估价结果-表2-建筑面积（名称）</t>
    <phoneticPr fontId="154" type="noConversion"/>
  </si>
  <si>
    <t>致函-估价结果-表2-建筑面积</t>
    <phoneticPr fontId="154" type="noConversion"/>
  </si>
  <si>
    <t>致函-估价结果-表2-项目名称</t>
    <phoneticPr fontId="154" type="noConversion"/>
  </si>
  <si>
    <t>致函-估价结果-表1-抵押（名称）</t>
    <phoneticPr fontId="154" type="noConversion"/>
  </si>
  <si>
    <t>致函-估价结果-表1-抵押（总）</t>
    <phoneticPr fontId="154" type="noConversion"/>
  </si>
  <si>
    <t>致函-估价结果-表1-优先（总）</t>
    <phoneticPr fontId="154" type="noConversion"/>
  </si>
  <si>
    <t>致函-估价结果-表1-已注（总）</t>
    <phoneticPr fontId="154" type="noConversion"/>
  </si>
  <si>
    <t>致函-估价结果-表1-净值（总）</t>
    <phoneticPr fontId="154" type="noConversion"/>
  </si>
  <si>
    <t>致函-估价结果-表2-抵押（名称）</t>
    <phoneticPr fontId="146" type="noConversion"/>
  </si>
  <si>
    <t>致函-估价结果-表2-优先（名称）</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</si>
  <si>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4" type="noConversion"/>
  </si>
  <si>
    <t>致函-其他专业人员</t>
    <phoneticPr fontId="146" type="noConversion"/>
  </si>
  <si>
    <t>价值时点</t>
    <phoneticPr fontId="6" type="noConversion"/>
  </si>
  <si>
    <t>开发期</t>
    <phoneticPr fontId="146" type="noConversion"/>
  </si>
  <si>
    <t>贷款利率</t>
    <phoneticPr fontId="6" type="noConversion"/>
  </si>
  <si>
    <t>贷款利率</t>
    <phoneticPr fontId="146" type="noConversion"/>
  </si>
  <si>
    <t>存款利率</t>
    <phoneticPr fontId="146"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</si>
  <si>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</si>
  <si>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</si>
  <si>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</si>
  <si>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</si>
  <si>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</si>
  <si>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</si>
  <si>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</si>
  <si>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</si>
  <si>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</si>
  <si>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</si>
  <si>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</si>
  <si>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</si>
  <si>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</si>
  <si>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</si>
  <si>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</si>
  <si>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</si>
  <si>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</si>
  <si>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</si>
  <si>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</si>
  <si>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</si>
  <si>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</si>
  <si>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</si>
  <si>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</si>
  <si>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</si>
  <si>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</si>
  <si>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</si>
  <si>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</si>
  <si>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</si>
  <si>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t>
    <phoneticPr fontId="89"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</si>
  <si>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</si>
  <si>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</si>
  <si>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</si>
  <si>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</si>
  <si>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</si>
  <si>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</si>
  <si>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此处对应收益法中未来第一年总收益</t>
    <phoneticPr fontId="146" type="noConversion"/>
  </si>
  <si>
    <t>估价对象10</t>
  </si>
  <si>
    <t>估价对象9</t>
  </si>
  <si>
    <t>估价对象8</t>
  </si>
  <si>
    <t>估价对象7</t>
  </si>
  <si>
    <t>估价对象6</t>
  </si>
  <si>
    <t>估价对象5</t>
  </si>
  <si>
    <t>估价对象4</t>
  </si>
  <si>
    <t>估价对象3</t>
  </si>
  <si>
    <t>估价对象2</t>
    <phoneticPr fontId="146" type="noConversion"/>
  </si>
  <si>
    <t>估价对象1（本表）</t>
    <phoneticPr fontId="146" type="noConversion"/>
  </si>
  <si>
    <t>抵押净值（万元）</t>
    <phoneticPr fontId="146" type="noConversion"/>
  </si>
  <si>
    <t>抵押价值（万元）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</si>
  <si>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</si>
  <si>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租金</t>
    <phoneticPr fontId="146" type="noConversion"/>
  </si>
  <si>
    <t>总投</t>
    <phoneticPr fontId="146" type="noConversion"/>
  </si>
  <si>
    <t>抵押价值</t>
  </si>
  <si>
    <t>市场价值</t>
  </si>
  <si>
    <t>地面单价（元/平方米）</t>
    <phoneticPr fontId="146" type="noConversion"/>
  </si>
  <si>
    <t>楼面单价（元/平方米）</t>
  </si>
  <si>
    <t>总价（万元）</t>
  </si>
  <si>
    <t>价值类型</t>
  </si>
  <si>
    <t>价值时点/估价期日</t>
    <phoneticPr fontId="146" type="noConversion"/>
  </si>
  <si>
    <t>抵押价值-已注销（万元）</t>
    <phoneticPr fontId="146" type="noConversion"/>
  </si>
  <si>
    <t>抵押价值-已注销</t>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</si>
  <si>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</si>
  <si>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</si>
  <si>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t>市场价值（万元）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</si>
  <si>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</si>
  <si>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项目名称</t>
    <phoneticPr fontId="146" type="noConversion"/>
  </si>
  <si>
    <t>重置成新价</t>
    <phoneticPr fontId="14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</si>
  <si>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</si>
  <si>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</si>
  <si>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</si>
  <si>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</si>
  <si>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</si>
  <si>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</si>
  <si>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</si>
  <si>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</si>
  <si>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</si>
  <si>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</si>
  <si>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6" type="noConversion"/>
  </si>
  <si>
    <t>高限</t>
    <phoneticPr fontId="146" type="noConversion"/>
  </si>
  <si>
    <t>平均</t>
    <phoneticPr fontId="146" type="noConversion"/>
  </si>
  <si>
    <t>2017A-006</t>
    <phoneticPr fontId="139" type="noConversion"/>
  </si>
  <si>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</si>
  <si>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</si>
  <si>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</si>
  <si>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</si>
  <si>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</si>
  <si>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</si>
  <si>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</si>
  <si>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</si>
  <si>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</si>
  <si>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</si>
  <si>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</si>
  <si>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</si>
  <si>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</si>
  <si>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</si>
  <si>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</si>
  <si>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</si>
  <si>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</si>
  <si>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</si>
  <si>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</si>
  <si>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</si>
  <si>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</si>
  <si>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</si>
  <si>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</si>
  <si>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</si>
  <si>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</si>
  <si>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</si>
  <si>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押金方式</t>
    </r>
    <phoneticPr fontId="6" type="noConversion"/>
  </si>
  <si>
    <r>
      <rPr>
        <b/>
        <sz val="10"/>
        <color indexed="8"/>
        <rFont val="宋体"/>
        <family val="3"/>
        <charset val="134"/>
      </rPr>
      <t>押二</t>
    </r>
  </si>
  <si>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</si>
  <si>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</si>
  <si>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</si>
  <si>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</si>
  <si>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</si>
  <si>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</si>
  <si>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</si>
  <si>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</si>
  <si>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</si>
  <si>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</si>
  <si>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</si>
  <si>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</si>
  <si>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</si>
  <si>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</si>
  <si>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</si>
  <si>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</si>
  <si>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</si>
  <si>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</si>
  <si>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</si>
  <si>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</si>
  <si>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</si>
  <si>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</si>
  <si>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</si>
  <si>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</si>
  <si>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</si>
  <si>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</si>
  <si>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</si>
  <si>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</si>
  <si>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</si>
  <si>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</si>
  <si>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</si>
  <si>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</si>
  <si>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</si>
  <si>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</si>
  <si>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</si>
  <si>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</si>
  <si>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</si>
  <si>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</si>
  <si>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</si>
  <si>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</si>
  <si>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</si>
  <si>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</si>
  <si>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</si>
  <si>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</si>
  <si>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</si>
  <si>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</si>
  <si>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</si>
  <si>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</si>
  <si>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</si>
  <si>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</si>
  <si>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</si>
  <si>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</si>
  <si>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</si>
  <si>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</si>
  <si>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</si>
  <si>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</si>
  <si>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</si>
  <si>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</si>
  <si>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</si>
  <si>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</si>
  <si>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</si>
  <si>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</si>
  <si>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</si>
  <si>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</si>
  <si>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</si>
  <si>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</si>
  <si>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</si>
  <si>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</si>
  <si>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</si>
  <si>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</si>
  <si>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</si>
  <si>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</si>
  <si>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</si>
  <si>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</si>
  <si>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</si>
  <si>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</si>
  <si>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</si>
  <si>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</si>
  <si>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</si>
  <si>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</si>
  <si>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</si>
  <si>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</si>
  <si>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</si>
  <si>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</si>
  <si>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</si>
  <si>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</si>
  <si>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</si>
  <si>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</si>
  <si>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</si>
  <si>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</si>
  <si>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</si>
  <si>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</si>
  <si>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</si>
  <si>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</si>
  <si>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</si>
  <si>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</si>
  <si>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</si>
  <si>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</si>
  <si>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</si>
  <si>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</si>
  <si>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</si>
  <si>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</si>
  <si>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</si>
  <si>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</si>
  <si>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</si>
  <si>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</si>
  <si>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</si>
  <si>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</si>
  <si>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</si>
  <si>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</si>
  <si>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</si>
  <si>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</si>
  <si>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</si>
  <si>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</si>
  <si>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</si>
  <si>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</si>
  <si>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</si>
  <si>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</si>
  <si>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</si>
  <si>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</si>
  <si>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</si>
  <si>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</si>
  <si>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</si>
  <si>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</si>
  <si>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</si>
  <si>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</si>
  <si>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</si>
  <si>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</si>
  <si>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</si>
  <si>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</si>
  <si>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</si>
  <si>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</si>
  <si>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</si>
  <si>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</si>
  <si>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</si>
  <si>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</si>
  <si>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</si>
  <si>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</si>
  <si>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</si>
  <si>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</si>
  <si>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</si>
  <si>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收益还原</t>
    </r>
  </si>
  <si>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</si>
  <si>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</si>
  <si>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</si>
  <si>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</si>
  <si>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</si>
  <si>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</si>
  <si>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</si>
  <si>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</si>
  <si>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</si>
  <si>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</si>
  <si>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</si>
  <si>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</si>
  <si>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</si>
  <si>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</si>
  <si>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</si>
  <si>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</si>
  <si>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</si>
  <si>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</si>
  <si>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</si>
  <si>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</si>
  <si>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</si>
  <si>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</si>
  <si>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</si>
  <si>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</si>
  <si>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</si>
  <si>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</si>
  <si>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</si>
  <si>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</si>
  <si>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</si>
  <si>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</si>
  <si>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</si>
  <si>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</si>
  <si>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</si>
  <si>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</si>
  <si>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</si>
  <si>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</si>
  <si>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</si>
  <si>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</si>
  <si>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9"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</si>
  <si>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</si>
  <si>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</si>
  <si>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</si>
  <si>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</si>
  <si>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</si>
  <si>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</si>
  <si>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</si>
  <si>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</si>
  <si>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</si>
  <si>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</si>
  <si>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</si>
  <si>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color indexed="8"/>
        <rFont val="宋体"/>
        <family val="3"/>
        <charset val="134"/>
      </rPr>
      <t>元</t>
    </r>
    <phoneticPr fontId="149"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</si>
  <si>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</si>
  <si>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</si>
  <si>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</si>
  <si>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</si>
  <si>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90" type="noConversion"/>
  </si>
  <si>
    <r>
      <rPr>
        <sz val="14"/>
        <color theme="9" tint="-0.249977111117893"/>
        <rFont val="宋体"/>
        <family val="3"/>
        <charset val="134"/>
      </rPr>
      <t>（本页下方空白无内容）</t>
    </r>
  </si>
  <si>
    <r>
      <rPr>
        <b/>
        <sz val="18"/>
        <color theme="1"/>
        <rFont val="宋体"/>
        <family val="3"/>
        <charset val="134"/>
      </rPr>
      <t>评估意见函</t>
    </r>
    <phoneticPr fontId="90" type="noConversion"/>
  </si>
  <si>
    <r>
      <rPr>
        <b/>
        <sz val="14"/>
        <color rgb="FF000000"/>
        <rFont val="宋体"/>
        <family val="3"/>
        <charset val="134"/>
      </rPr>
      <t>估价对象：</t>
    </r>
    <phoneticPr fontId="90" type="noConversion"/>
  </si>
  <si>
    <r>
      <rPr>
        <b/>
        <i/>
        <sz val="14"/>
        <color theme="3" tint="0.39997558519241921"/>
        <rFont val="宋体"/>
        <family val="3"/>
        <charset val="134"/>
      </rPr>
      <t>现房：</t>
    </r>
    <phoneticPr fontId="90"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</si>
  <si>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1" type="noConversion"/>
  </si>
  <si>
    <r>
      <rPr>
        <b/>
        <i/>
        <sz val="14"/>
        <color theme="3" tint="0.39997558519241921"/>
        <rFont val="宋体"/>
        <family val="3"/>
        <charset val="134"/>
      </rPr>
      <t>在建：</t>
    </r>
    <phoneticPr fontId="90"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</si>
  <si>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1" type="noConversion"/>
  </si>
  <si>
    <r>
      <rPr>
        <b/>
        <sz val="14"/>
        <color rgb="FF000000"/>
        <rFont val="宋体"/>
        <family val="3"/>
        <charset val="134"/>
      </rPr>
      <t>估价目的：</t>
    </r>
    <phoneticPr fontId="90" type="noConversion"/>
  </si>
  <si>
    <r>
      <rPr>
        <b/>
        <sz val="14"/>
        <color theme="1"/>
        <rFont val="宋体"/>
        <family val="3"/>
        <charset val="134"/>
      </rPr>
      <t>价值时点：</t>
    </r>
    <phoneticPr fontId="90" type="noConversion"/>
  </si>
  <si>
    <r>
      <rPr>
        <b/>
        <sz val="14"/>
        <color theme="1"/>
        <rFont val="宋体"/>
        <family val="3"/>
        <charset val="134"/>
      </rPr>
      <t>价值类型：</t>
    </r>
    <phoneticPr fontId="90"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</si>
  <si>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0" type="noConversion"/>
  </si>
  <si>
    <r>
      <rPr>
        <b/>
        <sz val="14"/>
        <color theme="1"/>
        <rFont val="宋体"/>
        <family val="3"/>
        <charset val="134"/>
      </rPr>
      <t>估价结果：</t>
    </r>
    <phoneticPr fontId="90" type="noConversion"/>
  </si>
  <si>
    <r>
      <t>1.</t>
    </r>
    <r>
      <rPr>
        <b/>
        <sz val="12"/>
        <color indexed="8"/>
        <rFont val="宋体"/>
        <family val="3"/>
        <charset val="134"/>
      </rPr>
      <t>房地产价值</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</si>
  <si>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</si>
  <si>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</si>
  <si>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2"/>
        <color theme="1"/>
        <rFont val="宋体"/>
        <family val="3"/>
        <charset val="134"/>
      </rPr>
      <t>单价</t>
    </r>
    <phoneticPr fontId="90" type="noConversion"/>
  </si>
  <si>
    <r>
      <rPr>
        <b/>
        <sz val="12"/>
        <color rgb="FF000000"/>
        <rFont val="宋体"/>
        <family val="3"/>
        <charset val="134"/>
      </rPr>
      <t>总额</t>
    </r>
    <phoneticPr fontId="90" type="noConversion"/>
  </si>
  <si>
    <r>
      <rPr>
        <sz val="12"/>
        <color rgb="FF000000"/>
        <rFont val="宋体"/>
        <family val="3"/>
        <charset val="134"/>
      </rPr>
      <t>总额</t>
    </r>
    <phoneticPr fontId="90" type="noConversion"/>
  </si>
  <si>
    <r>
      <rPr>
        <sz val="14"/>
        <color theme="1"/>
        <rFont val="宋体"/>
        <family val="3"/>
        <charset val="134"/>
      </rPr>
      <t>（转下页）</t>
    </r>
    <phoneticPr fontId="92"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</si>
  <si>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0" type="noConversion"/>
  </si>
  <si>
    <r>
      <rPr>
        <b/>
        <sz val="14"/>
        <color theme="1"/>
        <rFont val="宋体"/>
        <family val="3"/>
        <charset val="134"/>
      </rPr>
      <t>结果表</t>
    </r>
    <r>
      <rPr>
        <b/>
        <sz val="14"/>
        <color theme="1"/>
        <rFont val="Arial"/>
        <family val="2"/>
      </rPr>
      <t>-1</t>
    </r>
    <phoneticPr fontId="92"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</si>
  <si>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0" type="noConversion"/>
  </si>
  <si>
    <r>
      <rPr>
        <sz val="12"/>
        <color rgb="FF000000"/>
        <rFont val="宋体"/>
        <family val="3"/>
        <charset val="134"/>
      </rPr>
      <t>总额</t>
    </r>
    <phoneticPr fontId="90"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</si>
  <si>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0" type="noConversion"/>
  </si>
  <si>
    <r>
      <rPr>
        <sz val="12"/>
        <color theme="1"/>
        <rFont val="宋体"/>
        <family val="3"/>
        <charset val="134"/>
      </rPr>
      <t>单价</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</si>
  <si>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</si>
  <si>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</si>
  <si>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2"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</si>
  <si>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</si>
  <si>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</si>
  <si>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</si>
  <si>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2" type="noConversion"/>
  </si>
  <si>
    <r>
      <rPr>
        <sz val="12"/>
        <color indexed="8"/>
        <rFont val="宋体"/>
        <family val="3"/>
        <charset val="134"/>
      </rPr>
      <t>建筑面积</t>
    </r>
    <phoneticPr fontId="90"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</si>
  <si>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0" type="noConversion"/>
  </si>
  <si>
    <r>
      <rPr>
        <sz val="12"/>
        <color indexed="8"/>
        <rFont val="宋体"/>
        <family val="3"/>
        <charset val="134"/>
      </rPr>
      <t>楼面单价</t>
    </r>
    <phoneticPr fontId="90"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</si>
  <si>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0"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</si>
  <si>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</si>
  <si>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</si>
  <si>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</si>
  <si>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</si>
  <si>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</si>
  <si>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</si>
  <si>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7"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</si>
  <si>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</si>
  <si>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</si>
  <si>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6"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</si>
  <si>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7"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</si>
  <si>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</si>
  <si>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4"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</si>
  <si>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</si>
  <si>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</si>
  <si>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</si>
  <si>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</si>
  <si>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</si>
  <si>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</si>
  <si>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</si>
  <si>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</si>
  <si>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</si>
  <si>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</si>
  <si>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</si>
  <si>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</si>
  <si>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</si>
  <si>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</si>
  <si>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</si>
  <si>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</si>
  <si>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</si>
  <si>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</si>
  <si>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</si>
  <si>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</si>
  <si>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</si>
  <si>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</si>
  <si>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</si>
  <si>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</si>
  <si>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</si>
  <si>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</si>
  <si>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</si>
  <si>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</si>
  <si>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</si>
  <si>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</si>
  <si>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</si>
  <si>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19" type="noConversion"/>
  </si>
  <si>
    <r>
      <rPr>
        <sz val="11"/>
        <color indexed="8"/>
        <rFont val="宋体"/>
        <family val="3"/>
        <charset val="134"/>
        <scheme val="minor"/>
      </rPr>
      <t>判定</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</si>
  <si>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</si>
  <si>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</si>
  <si>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</si>
  <si>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</si>
  <si>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</si>
  <si>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</si>
  <si>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</si>
  <si>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</si>
  <si>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</si>
  <si>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</si>
  <si>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</si>
  <si>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</si>
  <si>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8"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</si>
  <si>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</si>
  <si>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</si>
  <si>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</si>
  <si>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</si>
  <si>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</si>
  <si>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</si>
  <si>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t>60-70</t>
    </r>
    <r>
      <rPr>
        <sz val="11"/>
        <color indexed="8"/>
        <rFont val="宋体"/>
        <family val="3"/>
        <charset val="134"/>
        <scheme val="minor"/>
      </rPr>
      <t>（含）</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</si>
  <si>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</si>
  <si>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</si>
  <si>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8"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</si>
  <si>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</si>
  <si>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</si>
  <si>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</si>
  <si>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</si>
  <si>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t>50-60</t>
    </r>
    <r>
      <rPr>
        <sz val="11"/>
        <color indexed="8"/>
        <rFont val="宋体"/>
        <family val="3"/>
        <charset val="134"/>
        <scheme val="minor"/>
      </rPr>
      <t>（含）</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</si>
  <si>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</si>
  <si>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</si>
  <si>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8"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</si>
  <si>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</si>
  <si>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</si>
  <si>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</si>
  <si>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</si>
  <si>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</si>
  <si>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t>40-50</t>
    </r>
    <r>
      <rPr>
        <sz val="11"/>
        <color indexed="8"/>
        <rFont val="宋体"/>
        <family val="3"/>
        <charset val="134"/>
        <scheme val="minor"/>
      </rPr>
      <t>（含）</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</si>
  <si>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</si>
  <si>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8"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</si>
  <si>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</si>
  <si>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</si>
  <si>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</si>
  <si>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</si>
  <si>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t>30-40</t>
    </r>
    <r>
      <rPr>
        <sz val="11"/>
        <color indexed="8"/>
        <rFont val="宋体"/>
        <family val="3"/>
        <charset val="134"/>
        <scheme val="minor"/>
      </rPr>
      <t>（含）</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</si>
  <si>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</si>
  <si>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8"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</si>
  <si>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</si>
  <si>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</si>
  <si>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t>20-30</t>
    </r>
    <r>
      <rPr>
        <sz val="11"/>
        <color indexed="8"/>
        <rFont val="宋体"/>
        <family val="3"/>
        <charset val="134"/>
        <scheme val="minor"/>
      </rPr>
      <t>（含）</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</si>
  <si>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</si>
  <si>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</si>
  <si>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</si>
  <si>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</si>
  <si>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t>10-20</t>
    </r>
    <r>
      <rPr>
        <sz val="11"/>
        <color indexed="8"/>
        <rFont val="宋体"/>
        <family val="3"/>
        <charset val="134"/>
        <scheme val="minor"/>
      </rPr>
      <t>（含）</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</si>
  <si>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</si>
  <si>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</si>
  <si>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</si>
  <si>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t>0-10</t>
    </r>
    <r>
      <rPr>
        <sz val="11"/>
        <color indexed="8"/>
        <rFont val="宋体"/>
        <family val="3"/>
        <charset val="134"/>
        <scheme val="minor"/>
      </rPr>
      <t>（含）</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</si>
  <si>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</si>
  <si>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</si>
  <si>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</si>
  <si>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</si>
  <si>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</si>
  <si>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</si>
  <si>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</si>
  <si>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</si>
  <si>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</si>
  <si>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</si>
  <si>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</si>
  <si>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</si>
  <si>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</si>
  <si>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</si>
  <si>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</si>
  <si>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</si>
  <si>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</si>
  <si>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</si>
  <si>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</si>
  <si>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</si>
  <si>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</si>
  <si>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</si>
  <si>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</si>
  <si>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</si>
  <si>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</si>
  <si>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</si>
  <si>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2"/>
        <color indexed="8"/>
        <rFont val="宋体"/>
        <family val="3"/>
        <charset val="134"/>
      </rPr>
      <t>估价项目名称</t>
    </r>
    <phoneticPr fontId="6" type="noConversion"/>
  </si>
  <si>
    <r>
      <rPr>
        <sz val="12"/>
        <color indexed="8"/>
        <rFont val="宋体"/>
        <family val="3"/>
        <charset val="134"/>
      </rPr>
      <t>报告编号</t>
    </r>
    <phoneticPr fontId="9" type="noConversion"/>
  </si>
  <si>
    <r>
      <rPr>
        <sz val="12"/>
        <color indexed="8"/>
        <rFont val="宋体"/>
        <family val="3"/>
        <charset val="134"/>
      </rPr>
      <t>现场勘查日</t>
    </r>
    <phoneticPr fontId="90" type="noConversion"/>
  </si>
  <si>
    <r>
      <rPr>
        <sz val="12"/>
        <color indexed="8"/>
        <rFont val="宋体"/>
        <family val="3"/>
        <charset val="134"/>
      </rPr>
      <t>价值时点</t>
    </r>
    <phoneticPr fontId="90" type="noConversion"/>
  </si>
  <si>
    <r>
      <rPr>
        <sz val="12"/>
        <color indexed="8"/>
        <rFont val="宋体"/>
        <family val="3"/>
        <charset val="134"/>
      </rPr>
      <t>签字估价师</t>
    </r>
    <phoneticPr fontId="90" type="noConversion"/>
  </si>
  <si>
    <r>
      <rPr>
        <sz val="12"/>
        <color indexed="8"/>
        <rFont val="宋体"/>
        <family val="3"/>
        <charset val="134"/>
      </rPr>
      <t>估价委托人</t>
    </r>
    <r>
      <rPr>
        <sz val="12"/>
        <color indexed="8"/>
        <rFont val="Arial"/>
        <family val="2"/>
      </rPr>
      <t xml:space="preserve">  </t>
    </r>
    <phoneticPr fontId="88"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</si>
  <si>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8" type="noConversion"/>
  </si>
  <si>
    <r>
      <rPr>
        <sz val="12"/>
        <color indexed="8"/>
        <rFont val="宋体"/>
        <family val="3"/>
        <charset val="134"/>
      </rPr>
      <t>借款方</t>
    </r>
    <phoneticPr fontId="9" type="noConversion"/>
  </si>
  <si>
    <r>
      <rPr>
        <sz val="12"/>
        <color indexed="8"/>
        <rFont val="宋体"/>
        <family val="3"/>
        <charset val="134"/>
      </rPr>
      <t>估价目的</t>
    </r>
    <phoneticPr fontId="88" type="noConversion"/>
  </si>
  <si>
    <r>
      <rPr>
        <sz val="12"/>
        <color indexed="8"/>
        <rFont val="宋体"/>
        <family val="3"/>
        <charset val="134"/>
      </rPr>
      <t>抵押结果包含：</t>
    </r>
    <phoneticPr fontId="90" type="noConversion"/>
  </si>
  <si>
    <r>
      <rPr>
        <sz val="12"/>
        <color indexed="8"/>
        <rFont val="宋体"/>
        <family val="3"/>
        <charset val="134"/>
      </rPr>
      <t>价值类型</t>
    </r>
    <phoneticPr fontId="88" type="noConversion"/>
  </si>
  <si>
    <r>
      <rPr>
        <sz val="12"/>
        <color indexed="8"/>
        <rFont val="宋体"/>
        <family val="3"/>
        <charset val="134"/>
      </rPr>
      <t>项目所在城市</t>
    </r>
    <phoneticPr fontId="9" type="noConversion"/>
  </si>
  <si>
    <r>
      <rPr>
        <sz val="12"/>
        <color indexed="8"/>
        <rFont val="宋体"/>
        <family val="3"/>
        <charset val="134"/>
      </rPr>
      <t>坐落</t>
    </r>
    <phoneticPr fontId="88" type="noConversion"/>
  </si>
  <si>
    <r>
      <rPr>
        <sz val="12"/>
        <color indexed="8"/>
        <rFont val="宋体"/>
        <family val="3"/>
        <charset val="134"/>
      </rPr>
      <t>不动产权利人</t>
    </r>
    <phoneticPr fontId="9" type="noConversion"/>
  </si>
  <si>
    <r>
      <rPr>
        <sz val="12"/>
        <color indexed="8"/>
        <rFont val="宋体"/>
        <family val="3"/>
        <charset val="134"/>
      </rPr>
      <t>土地性质</t>
    </r>
    <phoneticPr fontId="88" type="noConversion"/>
  </si>
  <si>
    <r>
      <rPr>
        <sz val="11"/>
        <color indexed="8"/>
        <rFont val="宋体"/>
        <family val="3"/>
        <charset val="134"/>
      </rPr>
      <t>用途</t>
    </r>
    <phoneticPr fontId="9" type="noConversion"/>
  </si>
  <si>
    <r>
      <rPr>
        <sz val="11"/>
        <color indexed="8"/>
        <rFont val="宋体"/>
        <family val="3"/>
        <charset val="134"/>
      </rPr>
      <t>住宅</t>
    </r>
    <phoneticPr fontId="9" type="noConversion"/>
  </si>
  <si>
    <r>
      <rPr>
        <sz val="11"/>
        <color indexed="8"/>
        <rFont val="宋体"/>
        <family val="3"/>
        <charset val="134"/>
      </rPr>
      <t>商业</t>
    </r>
    <phoneticPr fontId="9" type="noConversion"/>
  </si>
  <si>
    <r>
      <rPr>
        <sz val="11"/>
        <color indexed="8"/>
        <rFont val="宋体"/>
        <family val="3"/>
        <charset val="134"/>
      </rPr>
      <t>办公</t>
    </r>
    <phoneticPr fontId="9" type="noConversion"/>
  </si>
  <si>
    <r>
      <rPr>
        <sz val="11"/>
        <color indexed="8"/>
        <rFont val="宋体"/>
        <family val="3"/>
        <charset val="134"/>
      </rPr>
      <t>车库</t>
    </r>
    <phoneticPr fontId="9" type="noConversion"/>
  </si>
  <si>
    <r>
      <rPr>
        <sz val="11"/>
        <color indexed="8"/>
        <rFont val="宋体"/>
        <family val="3"/>
        <charset val="134"/>
      </rPr>
      <t>仓储</t>
    </r>
    <phoneticPr fontId="9" type="noConversion"/>
  </si>
  <si>
    <r>
      <rPr>
        <sz val="11"/>
        <color indexed="8"/>
        <rFont val="宋体"/>
        <family val="3"/>
        <charset val="134"/>
      </rPr>
      <t>工业</t>
    </r>
    <phoneticPr fontId="9" type="noConversion"/>
  </si>
  <si>
    <r>
      <rPr>
        <sz val="12"/>
        <color indexed="8"/>
        <rFont val="宋体"/>
        <family val="3"/>
        <charset val="134"/>
      </rPr>
      <t>终止日期</t>
    </r>
    <phoneticPr fontId="9" type="noConversion"/>
  </si>
  <si>
    <r>
      <rPr>
        <sz val="12"/>
        <color indexed="8"/>
        <rFont val="宋体"/>
        <family val="3"/>
        <charset val="134"/>
      </rPr>
      <t>出让年限</t>
    </r>
    <phoneticPr fontId="9" type="noConversion"/>
  </si>
  <si>
    <r>
      <rPr>
        <sz val="12"/>
        <color indexed="8"/>
        <rFont val="宋体"/>
        <family val="3"/>
        <charset val="134"/>
      </rPr>
      <t>剩余年限</t>
    </r>
    <phoneticPr fontId="9" type="noConversion"/>
  </si>
  <si>
    <r>
      <rPr>
        <sz val="12"/>
        <color indexed="8"/>
        <rFont val="宋体"/>
        <family val="3"/>
        <charset val="134"/>
      </rPr>
      <t>估价对象用途明细</t>
    </r>
    <phoneticPr fontId="88" type="noConversion"/>
  </si>
  <si>
    <r>
      <rPr>
        <sz val="12"/>
        <color indexed="8"/>
        <rFont val="宋体"/>
        <family val="3"/>
        <charset val="134"/>
      </rPr>
      <t>剩余土地年限</t>
    </r>
    <phoneticPr fontId="9" type="noConversion"/>
  </si>
  <si>
    <r>
      <rPr>
        <sz val="12"/>
        <color indexed="8"/>
        <rFont val="宋体"/>
        <family val="3"/>
        <charset val="134"/>
      </rPr>
      <t>面积指标</t>
    </r>
    <phoneticPr fontId="88" type="noConversion"/>
  </si>
  <si>
    <r>
      <rPr>
        <sz val="12"/>
        <color indexed="8"/>
        <rFont val="宋体"/>
        <family val="3"/>
        <charset val="134"/>
      </rPr>
      <t>建筑面积</t>
    </r>
    <phoneticPr fontId="88" type="noConversion"/>
  </si>
  <si>
    <r>
      <rPr>
        <sz val="12"/>
        <color indexed="8"/>
        <rFont val="宋体"/>
        <family val="3"/>
        <charset val="134"/>
      </rPr>
      <t>面积依据</t>
    </r>
    <phoneticPr fontId="88" type="noConversion"/>
  </si>
  <si>
    <r>
      <rPr>
        <sz val="12"/>
        <color indexed="8"/>
        <rFont val="宋体"/>
        <family val="3"/>
        <charset val="134"/>
      </rPr>
      <t>土地面积</t>
    </r>
    <phoneticPr fontId="88" type="noConversion"/>
  </si>
  <si>
    <r>
      <rPr>
        <sz val="10"/>
        <color indexed="8"/>
        <rFont val="宋体"/>
        <family val="3"/>
        <charset val="134"/>
      </rPr>
      <t>权利状况（抵押）</t>
    </r>
    <phoneticPr fontId="90" type="noConversion"/>
  </si>
  <si>
    <r>
      <rPr>
        <sz val="10"/>
        <color indexed="8"/>
        <rFont val="宋体"/>
        <family val="3"/>
        <charset val="134"/>
      </rPr>
      <t>是否抵押</t>
    </r>
    <phoneticPr fontId="90" type="noConversion"/>
  </si>
  <si>
    <r>
      <rPr>
        <sz val="10"/>
        <color indexed="8"/>
        <rFont val="宋体"/>
        <family val="3"/>
        <charset val="134"/>
      </rPr>
      <t>权属证件是否登记权利价值</t>
    </r>
    <phoneticPr fontId="90" type="noConversion"/>
  </si>
  <si>
    <r>
      <rPr>
        <sz val="10"/>
        <color indexed="8"/>
        <rFont val="宋体"/>
        <family val="3"/>
        <charset val="134"/>
      </rPr>
      <t>依据</t>
    </r>
    <phoneticPr fontId="90" type="noConversion"/>
  </si>
  <si>
    <r>
      <rPr>
        <sz val="10"/>
        <color indexed="8"/>
        <rFont val="宋体"/>
        <family val="3"/>
        <charset val="134"/>
      </rPr>
      <t>权属文件</t>
    </r>
    <phoneticPr fontId="90" type="noConversion"/>
  </si>
  <si>
    <r>
      <rPr>
        <sz val="10"/>
        <color indexed="8"/>
        <rFont val="宋体"/>
        <family val="3"/>
        <charset val="134"/>
      </rPr>
      <t>他项权证</t>
    </r>
    <phoneticPr fontId="90" type="noConversion"/>
  </si>
  <si>
    <r>
      <rPr>
        <sz val="10"/>
        <color indexed="8"/>
        <rFont val="宋体"/>
        <family val="3"/>
        <charset val="134"/>
      </rPr>
      <t>其他资料</t>
    </r>
    <phoneticPr fontId="90" type="noConversion"/>
  </si>
  <si>
    <r>
      <rPr>
        <sz val="10"/>
        <color indexed="8"/>
        <rFont val="宋体"/>
        <family val="3"/>
        <charset val="134"/>
      </rPr>
      <t>抵押情况描述</t>
    </r>
    <phoneticPr fontId="90" type="noConversion"/>
  </si>
  <si>
    <r>
      <rPr>
        <sz val="10"/>
        <color indexed="8"/>
        <rFont val="宋体"/>
        <family val="3"/>
        <charset val="134"/>
      </rPr>
      <t>抵押信息</t>
    </r>
    <phoneticPr fontId="90" type="noConversion"/>
  </si>
  <si>
    <r>
      <rPr>
        <sz val="10"/>
        <color indexed="8"/>
        <rFont val="宋体"/>
        <family val="3"/>
        <charset val="134"/>
      </rPr>
      <t>设定日期</t>
    </r>
    <phoneticPr fontId="90" type="noConversion"/>
  </si>
  <si>
    <r>
      <rPr>
        <sz val="10"/>
        <color indexed="8"/>
        <rFont val="宋体"/>
        <family val="3"/>
        <charset val="134"/>
      </rPr>
      <t>权利人</t>
    </r>
    <phoneticPr fontId="90" type="noConversion"/>
  </si>
  <si>
    <r>
      <rPr>
        <sz val="10"/>
        <color indexed="8"/>
        <rFont val="宋体"/>
        <family val="3"/>
        <charset val="134"/>
      </rPr>
      <t>权利范围</t>
    </r>
    <phoneticPr fontId="90" type="noConversion"/>
  </si>
  <si>
    <r>
      <rPr>
        <sz val="10"/>
        <color indexed="8"/>
        <rFont val="宋体"/>
        <family val="3"/>
        <charset val="134"/>
      </rPr>
      <t>权利价值</t>
    </r>
    <phoneticPr fontId="90" type="noConversion"/>
  </si>
  <si>
    <r>
      <rPr>
        <sz val="10"/>
        <color indexed="8"/>
        <rFont val="宋体"/>
        <family val="3"/>
        <charset val="134"/>
      </rPr>
      <t>权利价值</t>
    </r>
    <phoneticPr fontId="90" type="noConversion"/>
  </si>
  <si>
    <r>
      <rPr>
        <sz val="12"/>
        <color indexed="8"/>
        <rFont val="宋体"/>
        <family val="3"/>
        <charset val="134"/>
      </rPr>
      <t>项目类型</t>
    </r>
    <phoneticPr fontId="9" type="noConversion"/>
  </si>
  <si>
    <r>
      <rPr>
        <sz val="12"/>
        <color indexed="8"/>
        <rFont val="宋体"/>
        <family val="3"/>
        <charset val="134"/>
      </rPr>
      <t>按主用途</t>
    </r>
    <phoneticPr fontId="9" type="noConversion"/>
  </si>
  <si>
    <r>
      <rPr>
        <sz val="12"/>
        <color indexed="8"/>
        <rFont val="宋体"/>
        <family val="3"/>
        <charset val="134"/>
      </rPr>
      <t>特殊细项</t>
    </r>
    <phoneticPr fontId="9" type="noConversion"/>
  </si>
  <si>
    <r>
      <rPr>
        <sz val="12"/>
        <color indexed="8"/>
        <rFont val="宋体"/>
        <family val="3"/>
        <charset val="134"/>
      </rPr>
      <t>是否配建</t>
    </r>
    <phoneticPr fontId="9" type="noConversion"/>
  </si>
  <si>
    <r>
      <rPr>
        <sz val="12"/>
        <color indexed="8"/>
        <rFont val="宋体"/>
        <family val="3"/>
        <charset val="134"/>
      </rPr>
      <t>配建类型</t>
    </r>
    <phoneticPr fontId="9" type="noConversion"/>
  </si>
  <si>
    <r>
      <rPr>
        <sz val="12"/>
        <color indexed="8"/>
        <rFont val="宋体"/>
        <family val="3"/>
        <charset val="134"/>
      </rPr>
      <t>项目现状</t>
    </r>
    <phoneticPr fontId="9" type="noConversion"/>
  </si>
  <si>
    <r>
      <rPr>
        <sz val="12"/>
        <color indexed="8"/>
        <rFont val="宋体"/>
        <family val="3"/>
        <charset val="134"/>
      </rPr>
      <t>红线外市政</t>
    </r>
    <phoneticPr fontId="9" type="noConversion"/>
  </si>
  <si>
    <r>
      <rPr>
        <sz val="11"/>
        <color indexed="8"/>
        <rFont val="宋体"/>
        <family val="3"/>
        <charset val="134"/>
      </rPr>
      <t>一通</t>
    </r>
    <phoneticPr fontId="95" type="noConversion"/>
  </si>
  <si>
    <r>
      <rPr>
        <sz val="11"/>
        <color indexed="8"/>
        <rFont val="宋体"/>
        <family val="3"/>
        <charset val="134"/>
      </rPr>
      <t>二通</t>
    </r>
    <phoneticPr fontId="95" type="noConversion"/>
  </si>
  <si>
    <r>
      <rPr>
        <sz val="11"/>
        <color indexed="8"/>
        <rFont val="宋体"/>
        <family val="3"/>
        <charset val="134"/>
      </rPr>
      <t>三通</t>
    </r>
    <phoneticPr fontId="95" type="noConversion"/>
  </si>
  <si>
    <r>
      <rPr>
        <sz val="11"/>
        <color indexed="8"/>
        <rFont val="宋体"/>
        <family val="3"/>
        <charset val="134"/>
      </rPr>
      <t>四通</t>
    </r>
    <phoneticPr fontId="95" type="noConversion"/>
  </si>
  <si>
    <r>
      <rPr>
        <sz val="11"/>
        <color indexed="8"/>
        <rFont val="宋体"/>
        <family val="3"/>
        <charset val="134"/>
      </rPr>
      <t>五通</t>
    </r>
    <phoneticPr fontId="95" type="noConversion"/>
  </si>
  <si>
    <r>
      <rPr>
        <sz val="11"/>
        <color indexed="8"/>
        <rFont val="宋体"/>
        <family val="3"/>
        <charset val="134"/>
      </rPr>
      <t>六通</t>
    </r>
    <phoneticPr fontId="95" type="noConversion"/>
  </si>
  <si>
    <r>
      <rPr>
        <sz val="11"/>
        <color indexed="8"/>
        <rFont val="宋体"/>
        <family val="3"/>
        <charset val="134"/>
      </rPr>
      <t>七通</t>
    </r>
    <phoneticPr fontId="95" type="noConversion"/>
  </si>
  <si>
    <r>
      <rPr>
        <sz val="11"/>
        <color indexed="8"/>
        <rFont val="宋体"/>
        <family val="3"/>
        <charset val="134"/>
      </rPr>
      <t>估价对象</t>
    </r>
    <phoneticPr fontId="95" type="noConversion"/>
  </si>
  <si>
    <r>
      <rPr>
        <sz val="12"/>
        <color indexed="8"/>
        <rFont val="宋体"/>
        <family val="3"/>
        <charset val="134"/>
      </rPr>
      <t>北京市</t>
    </r>
    <phoneticPr fontId="9" type="noConversion"/>
  </si>
  <si>
    <r>
      <rPr>
        <sz val="12"/>
        <color indexed="8"/>
        <rFont val="宋体"/>
        <family val="3"/>
        <charset val="134"/>
      </rPr>
      <t>商业</t>
    </r>
    <phoneticPr fontId="9" type="noConversion"/>
  </si>
  <si>
    <r>
      <rPr>
        <sz val="12"/>
        <color indexed="8"/>
        <rFont val="宋体"/>
        <family val="3"/>
        <charset val="134"/>
      </rPr>
      <t>办公</t>
    </r>
    <phoneticPr fontId="9" type="noConversion"/>
  </si>
  <si>
    <r>
      <rPr>
        <sz val="12"/>
        <color indexed="8"/>
        <rFont val="宋体"/>
        <family val="3"/>
        <charset val="134"/>
      </rPr>
      <t>住宅</t>
    </r>
    <phoneticPr fontId="9" type="noConversion"/>
  </si>
  <si>
    <r>
      <rPr>
        <sz val="12"/>
        <color indexed="8"/>
        <rFont val="宋体"/>
        <family val="3"/>
        <charset val="134"/>
      </rPr>
      <t>工业</t>
    </r>
    <phoneticPr fontId="9" type="noConversion"/>
  </si>
  <si>
    <r>
      <rPr>
        <sz val="12"/>
        <color indexed="8"/>
        <rFont val="宋体"/>
        <family val="3"/>
        <charset val="134"/>
      </rPr>
      <t>土地级别</t>
    </r>
    <phoneticPr fontId="9" type="noConversion"/>
  </si>
  <si>
    <r>
      <rPr>
        <sz val="12"/>
        <color indexed="8"/>
        <rFont val="宋体"/>
        <family val="3"/>
        <charset val="134"/>
      </rPr>
      <t>区片编号</t>
    </r>
    <phoneticPr fontId="9" type="noConversion"/>
  </si>
  <si>
    <r>
      <rPr>
        <b/>
        <sz val="16"/>
        <color rgb="FFFF0000"/>
        <rFont val="宋体"/>
        <family val="3"/>
        <charset val="134"/>
      </rPr>
      <t>虚线以上为必填</t>
    </r>
    <phoneticPr fontId="9" type="noConversion"/>
  </si>
  <si>
    <r>
      <rPr>
        <b/>
        <sz val="11"/>
        <color indexed="8"/>
        <rFont val="宋体"/>
        <family val="3"/>
        <charset val="134"/>
      </rPr>
      <t>证件取得及他项权利状况</t>
    </r>
    <phoneticPr fontId="9" type="noConversion"/>
  </si>
  <si>
    <r>
      <rPr>
        <sz val="11"/>
        <color indexed="8"/>
        <rFont val="宋体"/>
        <family val="3"/>
        <charset val="134"/>
      </rPr>
      <t>地块编号</t>
    </r>
    <phoneticPr fontId="6"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</si>
  <si>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6" type="noConversion"/>
  </si>
  <si>
    <r>
      <rPr>
        <sz val="11"/>
        <color indexed="8"/>
        <rFont val="宋体"/>
        <family val="3"/>
        <charset val="134"/>
      </rPr>
      <t>出让合同</t>
    </r>
    <phoneticPr fontId="6" type="noConversion"/>
  </si>
  <si>
    <r>
      <rPr>
        <sz val="11"/>
        <color indexed="8"/>
        <rFont val="宋体"/>
        <family val="3"/>
        <charset val="134"/>
      </rPr>
      <t>用地规划</t>
    </r>
    <phoneticPr fontId="6" type="noConversion"/>
  </si>
  <si>
    <r>
      <rPr>
        <sz val="11"/>
        <color indexed="8"/>
        <rFont val="宋体"/>
        <family val="3"/>
        <charset val="134"/>
      </rPr>
      <t>规划意见复函</t>
    </r>
    <phoneticPr fontId="6" type="noConversion"/>
  </si>
  <si>
    <r>
      <rPr>
        <sz val="11"/>
        <color indexed="8"/>
        <rFont val="宋体"/>
        <family val="3"/>
        <charset val="134"/>
      </rPr>
      <t>工程规划</t>
    </r>
    <phoneticPr fontId="6" type="noConversion"/>
  </si>
  <si>
    <r>
      <rPr>
        <sz val="11"/>
        <color indexed="8"/>
        <rFont val="宋体"/>
        <family val="3"/>
        <charset val="134"/>
      </rPr>
      <t>施工证</t>
    </r>
    <phoneticPr fontId="6" type="noConversion"/>
  </si>
  <si>
    <r>
      <rPr>
        <sz val="11"/>
        <color indexed="8"/>
        <rFont val="宋体"/>
        <family val="3"/>
        <charset val="134"/>
      </rPr>
      <t>预售证</t>
    </r>
    <phoneticPr fontId="6" type="noConversion"/>
  </si>
  <si>
    <r>
      <rPr>
        <sz val="11"/>
        <color indexed="8"/>
        <rFont val="宋体"/>
        <family val="3"/>
        <charset val="134"/>
      </rPr>
      <t>竣工备案</t>
    </r>
    <phoneticPr fontId="6" type="noConversion"/>
  </si>
  <si>
    <r>
      <rPr>
        <sz val="11"/>
        <color indexed="8"/>
        <rFont val="宋体"/>
        <family val="3"/>
        <charset val="134"/>
      </rPr>
      <t>测绘报告</t>
    </r>
    <phoneticPr fontId="6" type="noConversion"/>
  </si>
  <si>
    <r>
      <rPr>
        <sz val="11"/>
        <color indexed="8"/>
        <rFont val="宋体"/>
        <family val="3"/>
        <charset val="134"/>
      </rPr>
      <t>现状</t>
    </r>
    <phoneticPr fontId="9"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</si>
  <si>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9" type="noConversion"/>
  </si>
  <si>
    <r>
      <rPr>
        <sz val="11"/>
        <color indexed="8"/>
        <rFont val="宋体"/>
        <family val="3"/>
        <charset val="134"/>
      </rPr>
      <t>不动产权证书</t>
    </r>
    <phoneticPr fontId="9" type="noConversion"/>
  </si>
  <si>
    <r>
      <rPr>
        <sz val="11"/>
        <color indexed="8"/>
        <rFont val="宋体"/>
        <family val="3"/>
        <charset val="134"/>
      </rPr>
      <t>国土证</t>
    </r>
    <phoneticPr fontId="6" type="noConversion"/>
  </si>
  <si>
    <r>
      <rPr>
        <sz val="11"/>
        <color indexed="8"/>
        <rFont val="宋体"/>
        <family val="3"/>
        <charset val="134"/>
      </rPr>
      <t>房产证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</si>
  <si>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</si>
  <si>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9"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</si>
  <si>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9"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</si>
  <si>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</si>
  <si>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</si>
  <si>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</si>
  <si>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</si>
  <si>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</si>
  <si>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</si>
  <si>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</si>
  <si>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</si>
  <si>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</si>
  <si>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</si>
  <si>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</si>
  <si>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</si>
  <si>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</si>
  <si>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</si>
  <si>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</si>
  <si>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</si>
  <si>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</si>
  <si>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</si>
  <si>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</si>
  <si>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</si>
  <si>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</si>
  <si>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</si>
  <si>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</si>
  <si>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</si>
  <si>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</si>
  <si>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</si>
  <si>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</si>
  <si>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</si>
  <si>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</si>
  <si>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</si>
  <si>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</si>
  <si>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</si>
  <si>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</si>
  <si>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</si>
  <si>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</si>
  <si>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</si>
  <si>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</si>
  <si>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</si>
  <si>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</si>
  <si>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</si>
  <si>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</si>
  <si>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</si>
  <si>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</si>
  <si>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</si>
  <si>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</si>
  <si>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</si>
  <si>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</si>
  <si>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</si>
  <si>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</si>
  <si>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</si>
  <si>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</si>
  <si>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</si>
  <si>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</si>
  <si>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</si>
  <si>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</si>
  <si>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</si>
  <si>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</si>
  <si>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</si>
  <si>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</si>
  <si>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</si>
  <si>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</si>
  <si>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</si>
  <si>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</si>
  <si>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</si>
  <si>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</si>
  <si>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</si>
  <si>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</si>
  <si>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</si>
  <si>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</si>
  <si>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</si>
  <si>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</si>
  <si>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</si>
  <si>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</si>
  <si>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</si>
  <si>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</si>
  <si>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</si>
  <si>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</si>
  <si>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</si>
  <si>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</si>
  <si>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</si>
  <si>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</si>
  <si>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</si>
  <si>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</si>
  <si>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</si>
  <si>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</si>
  <si>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</si>
  <si>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</si>
  <si>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</si>
  <si>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</si>
  <si>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</si>
  <si>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</si>
  <si>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</si>
  <si>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</si>
  <si>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</si>
  <si>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</si>
  <si>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</si>
  <si>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</si>
  <si>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</si>
  <si>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</si>
  <si>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</si>
  <si>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</si>
  <si>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</si>
  <si>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</si>
  <si>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</si>
  <si>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</si>
  <si>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</si>
  <si>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</si>
  <si>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</si>
  <si>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</si>
  <si>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</si>
  <si>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</si>
  <si>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</si>
  <si>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</si>
  <si>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</si>
  <si>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</si>
  <si>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</si>
  <si>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</si>
  <si>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</si>
  <si>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</si>
  <si>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</si>
  <si>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</si>
  <si>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</si>
  <si>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</si>
  <si>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</si>
  <si>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</si>
  <si>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</si>
  <si>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</si>
  <si>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</si>
  <si>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</si>
  <si>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</si>
  <si>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</si>
  <si>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</si>
  <si>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</si>
  <si>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</si>
  <si>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</si>
  <si>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</si>
  <si>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</si>
  <si>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</si>
  <si>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</si>
  <si>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</si>
  <si>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</si>
  <si>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</si>
  <si>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</si>
  <si>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</si>
  <si>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</si>
  <si>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</si>
  <si>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</si>
  <si>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</si>
  <si>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</si>
  <si>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</si>
  <si>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color indexed="8"/>
        <rFont val="宋体"/>
        <family val="3"/>
        <charset val="134"/>
      </rPr>
      <t>默认为已完成的土地开发期</t>
    </r>
    <phoneticPr fontId="6" type="noConversion"/>
  </si>
  <si>
    <r>
      <rPr>
        <sz val="11"/>
        <rFont val="宋体"/>
        <family val="3"/>
        <charset val="134"/>
      </rPr>
      <t>建设期</t>
    </r>
    <phoneticPr fontId="7" type="noConversion"/>
  </si>
  <si>
    <r>
      <rPr>
        <sz val="11"/>
        <color indexed="8"/>
        <rFont val="宋体"/>
        <family val="3"/>
        <charset val="134"/>
      </rPr>
      <t>包含未完成的红线外市政工程时间（如现状三通，开发完成后七通）</t>
    </r>
    <phoneticPr fontId="6"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</si>
  <si>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</si>
  <si>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</si>
  <si>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</si>
  <si>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</si>
  <si>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</si>
  <si>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</si>
  <si>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</si>
  <si>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</si>
  <si>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theme="1"/>
        <rFont val="宋体"/>
        <family val="3"/>
        <charset val="134"/>
      </rPr>
      <t>请录依据文件名称：</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</si>
  <si>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</si>
  <si>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</si>
  <si>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theme="1"/>
        <rFont val="宋体"/>
        <family val="3"/>
        <charset val="134"/>
      </rPr>
      <t>凭票据或默认已缴纳</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</si>
  <si>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</si>
  <si>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</si>
  <si>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</si>
  <si>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</si>
  <si>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0"/>
        <color theme="1"/>
        <rFont val="宋体"/>
        <family val="3"/>
        <charset val="134"/>
      </rPr>
      <t>范围：</t>
    </r>
    <r>
      <rPr>
        <sz val="10"/>
        <color theme="1"/>
        <rFont val="Arial"/>
        <family val="2"/>
      </rPr>
      <t>3%-5%</t>
    </r>
    <phoneticPr fontId="6" type="noConversion"/>
  </si>
  <si>
    <r>
      <rPr>
        <sz val="11"/>
        <color indexed="8"/>
        <rFont val="宋体"/>
        <family val="3"/>
        <charset val="134"/>
      </rPr>
      <t>公共配套设施费用</t>
    </r>
    <phoneticPr fontId="6" type="noConversion"/>
  </si>
  <si>
    <r>
      <rPr>
        <sz val="10"/>
        <color theme="1"/>
        <rFont val="宋体"/>
        <family val="3"/>
        <charset val="134"/>
      </rPr>
      <t>范围：</t>
    </r>
    <r>
      <rPr>
        <sz val="10"/>
        <color theme="1"/>
        <rFont val="Arial"/>
        <family val="2"/>
      </rPr>
      <t>0-10%</t>
    </r>
    <phoneticPr fontId="6" type="noConversion"/>
  </si>
  <si>
    <r>
      <rPr>
        <sz val="11"/>
        <color indexed="8"/>
        <rFont val="宋体"/>
        <family val="3"/>
        <charset val="134"/>
      </rPr>
      <t>非住宅项目及用公共配套计算实为</t>
    </r>
    <r>
      <rPr>
        <sz val="11"/>
        <color indexed="8"/>
        <rFont val="Arial"/>
        <family val="2"/>
      </rPr>
      <t>0</t>
    </r>
    <phoneticPr fontId="6" type="noConversion"/>
  </si>
  <si>
    <r>
      <rPr>
        <sz val="11"/>
        <color indexed="8"/>
        <rFont val="宋体"/>
        <family val="3"/>
        <charset val="134"/>
      </rPr>
      <t>红线内市政基础设施</t>
    </r>
    <phoneticPr fontId="6" type="noConversion"/>
  </si>
  <si>
    <r>
      <rPr>
        <sz val="10"/>
        <color theme="1"/>
        <rFont val="宋体"/>
        <family val="3"/>
        <charset val="134"/>
      </rPr>
      <t>变化</t>
    </r>
    <phoneticPr fontId="6" type="noConversion"/>
  </si>
  <si>
    <r>
      <rPr>
        <sz val="11"/>
        <color indexed="8"/>
        <rFont val="宋体"/>
        <family val="3"/>
        <charset val="134"/>
      </rPr>
      <t>建造成本中相关税费</t>
    </r>
    <phoneticPr fontId="6" type="noConversion"/>
  </si>
  <si>
    <r>
      <rPr>
        <sz val="10"/>
        <color theme="1"/>
        <rFont val="宋体"/>
        <family val="3"/>
        <charset val="134"/>
      </rPr>
      <t>定值：</t>
    </r>
    <r>
      <rPr>
        <sz val="10"/>
        <color theme="1"/>
        <rFont val="Arial"/>
        <family val="2"/>
      </rPr>
      <t>1.5%</t>
    </r>
    <phoneticPr fontId="6" type="noConversion"/>
  </si>
  <si>
    <r>
      <rPr>
        <sz val="11"/>
        <color indexed="8"/>
        <rFont val="宋体"/>
        <family val="3"/>
        <charset val="134"/>
      </rPr>
      <t>管理费用</t>
    </r>
    <phoneticPr fontId="6" type="noConversion"/>
  </si>
  <si>
    <r>
      <rPr>
        <sz val="10"/>
        <color theme="1"/>
        <rFont val="宋体"/>
        <family val="3"/>
        <charset val="134"/>
      </rPr>
      <t>范围：</t>
    </r>
    <r>
      <rPr>
        <sz val="10"/>
        <color theme="1"/>
        <rFont val="Arial"/>
        <family val="2"/>
      </rPr>
      <t>1%-3%</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</si>
  <si>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</si>
  <si>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</si>
  <si>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贷款利息</t>
    </r>
    <phoneticPr fontId="6"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</si>
  <si>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</si>
  <si>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</si>
  <si>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</si>
  <si>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</si>
  <si>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</si>
  <si>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6" type="noConversion"/>
  </si>
  <si>
    <r>
      <rPr>
        <sz val="11"/>
        <color indexed="8"/>
        <rFont val="宋体"/>
        <family val="3"/>
        <charset val="134"/>
      </rPr>
      <t>教育费附加</t>
    </r>
    <phoneticPr fontId="6" type="noConversion"/>
  </si>
  <si>
    <r>
      <rPr>
        <sz val="11"/>
        <color theme="1"/>
        <rFont val="宋体"/>
        <family val="3"/>
        <charset val="134"/>
      </rPr>
      <t>北京：</t>
    </r>
    <r>
      <rPr>
        <sz val="11"/>
        <color theme="1"/>
        <rFont val="Arial"/>
        <family val="2"/>
      </rPr>
      <t>3%</t>
    </r>
    <phoneticPr fontId="6" type="noConversion"/>
  </si>
  <si>
    <r>
      <rPr>
        <sz val="11"/>
        <color indexed="8"/>
        <rFont val="宋体"/>
        <family val="3"/>
        <charset val="134"/>
      </rPr>
      <t>地方教育费附加</t>
    </r>
    <phoneticPr fontId="6" type="noConversion"/>
  </si>
  <si>
    <r>
      <rPr>
        <sz val="11"/>
        <color theme="1"/>
        <rFont val="宋体"/>
        <family val="3"/>
        <charset val="134"/>
      </rPr>
      <t>北京：</t>
    </r>
    <r>
      <rPr>
        <sz val="11"/>
        <color theme="1"/>
        <rFont val="Arial"/>
        <family val="2"/>
      </rPr>
      <t>2%</t>
    </r>
    <phoneticPr fontId="6" type="noConversion"/>
  </si>
  <si>
    <r>
      <rPr>
        <sz val="11"/>
        <color indexed="8"/>
        <rFont val="宋体"/>
        <family val="3"/>
        <charset val="134"/>
      </rPr>
      <t>其他税种</t>
    </r>
    <phoneticPr fontId="6" type="noConversion"/>
  </si>
  <si>
    <r>
      <rPr>
        <sz val="11"/>
        <color theme="1"/>
        <rFont val="宋体"/>
        <family val="3"/>
        <charset val="134"/>
      </rPr>
      <t>请录依据文件名称：</t>
    </r>
    <phoneticPr fontId="6" type="noConversion"/>
  </si>
  <si>
    <r>
      <rPr>
        <sz val="11"/>
        <color indexed="8"/>
        <rFont val="宋体"/>
        <family val="3"/>
        <charset val="134"/>
      </rPr>
      <t>契税</t>
    </r>
    <phoneticPr fontId="6" type="noConversion"/>
  </si>
  <si>
    <r>
      <rPr>
        <sz val="11"/>
        <color indexed="8"/>
        <rFont val="宋体"/>
        <family val="3"/>
        <charset val="134"/>
      </rPr>
      <t>北京：</t>
    </r>
    <r>
      <rPr>
        <sz val="11"/>
        <color indexed="8"/>
        <rFont val="Arial"/>
        <family val="2"/>
      </rPr>
      <t>3%</t>
    </r>
    <phoneticPr fontId="6" type="noConversion"/>
  </si>
  <si>
    <r>
      <rPr>
        <sz val="11"/>
        <color indexed="8"/>
        <rFont val="宋体"/>
        <family val="3"/>
        <charset val="134"/>
      </rPr>
      <t>印花税</t>
    </r>
    <phoneticPr fontId="6" type="noConversion"/>
  </si>
  <si>
    <r>
      <rPr>
        <sz val="11"/>
        <color indexed="8"/>
        <rFont val="宋体"/>
        <family val="3"/>
        <charset val="134"/>
      </rPr>
      <t>北京：</t>
    </r>
    <r>
      <rPr>
        <sz val="11"/>
        <color indexed="8"/>
        <rFont val="Arial"/>
        <family val="2"/>
      </rPr>
      <t>0.05%</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</si>
  <si>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</si>
  <si>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</si>
  <si>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</si>
  <si>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</si>
  <si>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</si>
  <si>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10"/>
        <rFont val="宋体"/>
        <family val="3"/>
        <charset val="134"/>
      </rPr>
      <t>其他省市请录依据文件名称：</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</si>
  <si>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</si>
  <si>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</si>
  <si>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</si>
  <si>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</si>
  <si>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</si>
  <si>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</si>
  <si>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</si>
  <si>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</si>
  <si>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</si>
  <si>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</si>
  <si>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b/>
        <sz val="14"/>
        <color indexed="10"/>
        <rFont val="宋体"/>
        <family val="3"/>
        <charset val="134"/>
      </rPr>
      <t>房地产修正因素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</si>
  <si>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</si>
  <si>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</si>
  <si>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28"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</si>
  <si>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</si>
  <si>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</si>
  <si>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2" type="noConversion"/>
  </si>
  <si>
    <r>
      <rPr>
        <sz val="11"/>
        <color indexed="8"/>
        <rFont val="宋体"/>
        <family val="3"/>
        <charset val="134"/>
      </rPr>
      <t>交通便捷度</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</si>
  <si>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</si>
  <si>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28"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</si>
  <si>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</si>
  <si>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</si>
  <si>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indexed="8"/>
        <rFont val="宋体"/>
        <family val="3"/>
        <charset val="134"/>
      </rPr>
      <t>环境状况</t>
    </r>
    <phoneticPr fontId="32" type="noConversion"/>
  </si>
  <si>
    <r>
      <rPr>
        <sz val="11"/>
        <color indexed="8"/>
        <rFont val="宋体"/>
        <family val="3"/>
        <charset val="134"/>
      </rPr>
      <t>自然及人文环境</t>
    </r>
  </si>
  <si>
    <r>
      <rPr>
        <sz val="11"/>
        <color indexed="8"/>
        <rFont val="宋体"/>
        <family val="3"/>
        <charset val="134"/>
      </rPr>
      <t>毗邻道路的类型与等级</t>
    </r>
    <phoneticPr fontId="32" type="noConversion"/>
  </si>
  <si>
    <r>
      <rPr>
        <b/>
        <sz val="14"/>
        <color indexed="10"/>
        <rFont val="宋体"/>
        <family val="3"/>
        <charset val="134"/>
      </rPr>
      <t>土地修正因素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</si>
  <si>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</si>
  <si>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</si>
  <si>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32" type="noConversion"/>
  </si>
  <si>
    <r>
      <rPr>
        <b/>
        <sz val="11"/>
        <color indexed="8"/>
        <rFont val="宋体"/>
        <family val="3"/>
        <charset val="134"/>
      </rPr>
      <t>区位状况</t>
    </r>
    <phoneticPr fontId="28" type="noConversion"/>
  </si>
  <si>
    <r>
      <rPr>
        <sz val="11"/>
        <color indexed="8"/>
        <rFont val="宋体"/>
        <family val="3"/>
        <charset val="134"/>
      </rPr>
      <t>产业集聚程度</t>
    </r>
    <phoneticPr fontId="32" type="noConversion"/>
  </si>
  <si>
    <r>
      <rPr>
        <sz val="11"/>
        <color indexed="8"/>
        <rFont val="宋体"/>
        <family val="3"/>
        <charset val="134"/>
      </rPr>
      <t>区域土地利用方向</t>
    </r>
    <phoneticPr fontId="32"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</si>
  <si>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</si>
  <si>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</si>
  <si>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8" type="noConversion"/>
  </si>
  <si>
    <r>
      <rPr>
        <sz val="11"/>
        <color indexed="8"/>
        <rFont val="宋体"/>
        <family val="3"/>
        <charset val="134"/>
      </rPr>
      <t>临街状况</t>
    </r>
  </si>
  <si>
    <r>
      <rPr>
        <sz val="11"/>
        <color indexed="8"/>
        <rFont val="宋体"/>
        <family val="3"/>
        <charset val="134"/>
      </rPr>
      <t>土地级别</t>
    </r>
    <phoneticPr fontId="32" type="noConversion"/>
  </si>
  <si>
    <r>
      <rPr>
        <sz val="11"/>
        <color indexed="8"/>
        <rFont val="宋体"/>
        <family val="3"/>
        <charset val="134"/>
      </rPr>
      <t>毗邻道路的类型与等级</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</si>
  <si>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</si>
  <si>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</si>
  <si>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</si>
  <si>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</si>
  <si>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</si>
  <si>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</si>
  <si>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</si>
  <si>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</si>
  <si>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</si>
  <si>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</si>
  <si>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</si>
  <si>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</si>
  <si>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</si>
  <si>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</si>
  <si>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</si>
  <si>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</si>
  <si>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</si>
  <si>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</si>
  <si>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</si>
  <si>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</si>
  <si>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</si>
  <si>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</si>
  <si>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</si>
  <si>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</si>
  <si>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</si>
  <si>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</si>
  <si>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</si>
  <si>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</si>
  <si>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</si>
  <si>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</si>
  <si>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</si>
  <si>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</si>
  <si>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</si>
  <si>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</si>
  <si>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</si>
  <si>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</si>
  <si>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</si>
  <si>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</si>
  <si>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</si>
  <si>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</si>
  <si>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</si>
  <si>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</si>
  <si>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</si>
  <si>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</si>
  <si>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总价</t>
    </r>
  </si>
  <si>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</si>
  <si>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5" type="noConversion"/>
  </si>
  <si>
    <r>
      <rPr>
        <sz val="11"/>
        <color indexed="8"/>
        <rFont val="宋体"/>
        <family val="3"/>
        <charset val="134"/>
      </rPr>
      <t>土地价值</t>
    </r>
    <phoneticPr fontId="11" type="noConversion"/>
  </si>
  <si>
    <r>
      <rPr>
        <sz val="10"/>
        <color indexed="8"/>
        <rFont val="宋体"/>
        <family val="3"/>
        <charset val="134"/>
      </rPr>
      <t>土地价值</t>
    </r>
    <phoneticPr fontId="95" type="noConversion"/>
  </si>
  <si>
    <r>
      <rPr>
        <sz val="11"/>
        <color indexed="8"/>
        <rFont val="宋体"/>
        <family val="3"/>
        <charset val="134"/>
      </rPr>
      <t>建筑物价值</t>
    </r>
    <phoneticPr fontId="11" type="noConversion"/>
  </si>
  <si>
    <r>
      <rPr>
        <sz val="10"/>
        <color indexed="8"/>
        <rFont val="宋体"/>
        <family val="3"/>
        <charset val="134"/>
      </rPr>
      <t>建筑物价值</t>
    </r>
    <phoneticPr fontId="95"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</si>
  <si>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</si>
  <si>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</si>
  <si>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</si>
  <si>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</si>
  <si>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</si>
  <si>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</si>
  <si>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</si>
  <si>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</si>
  <si>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</si>
  <si>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</si>
  <si>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</si>
  <si>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</si>
  <si>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</si>
  <si>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</si>
  <si>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</si>
  <si>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</si>
  <si>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</si>
  <si>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</si>
  <si>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</si>
  <si>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</si>
  <si>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</si>
  <si>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</si>
  <si>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</si>
  <si>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</si>
  <si>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</si>
  <si>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</si>
  <si>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</si>
  <si>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</si>
  <si>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</si>
  <si>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</si>
  <si>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</si>
  <si>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</si>
  <si>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</si>
  <si>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</si>
  <si>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</si>
  <si>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</si>
  <si>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</si>
  <si>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</si>
  <si>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</si>
  <si>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</si>
  <si>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</si>
  <si>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</si>
  <si>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</si>
  <si>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</si>
  <si>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</si>
  <si>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</si>
  <si>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</si>
  <si>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</si>
  <si>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</si>
  <si>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</si>
  <si>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</si>
  <si>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</si>
  <si>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</si>
  <si>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</si>
  <si>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rPr>
        <sz val="10"/>
        <color indexed="8"/>
        <rFont val="宋体"/>
        <family val="3"/>
        <charset val="134"/>
      </rPr>
      <t>正常</t>
    </r>
  </si>
  <si>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</si>
  <si>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</si>
  <si>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</si>
  <si>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</si>
  <si>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</si>
  <si>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</si>
  <si>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</si>
  <si>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</si>
  <si>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</si>
  <si>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1" type="noConversion"/>
  </si>
  <si>
    <r>
      <rPr>
        <sz val="10"/>
        <color indexed="8"/>
        <rFont val="宋体"/>
        <family val="3"/>
        <charset val="134"/>
      </rPr>
      <t>非个人房产</t>
    </r>
  </si>
  <si>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</si>
  <si>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</si>
  <si>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1"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</si>
  <si>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</si>
  <si>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</si>
  <si>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</si>
  <si>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</si>
  <si>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</si>
  <si>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</si>
  <si>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</si>
  <si>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</si>
  <si>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</si>
  <si>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</si>
  <si>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</si>
  <si>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</si>
  <si>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</si>
  <si>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</si>
  <si>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</si>
  <si>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</si>
  <si>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</si>
  <si>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</si>
  <si>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</si>
  <si>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</si>
  <si>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</si>
  <si>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</si>
  <si>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</si>
  <si>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</si>
  <si>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</si>
  <si>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买卖合同</t>
    </r>
  </si>
  <si>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</si>
  <si>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</si>
  <si>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</si>
  <si>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</si>
  <si>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</si>
  <si>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</si>
  <si>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</si>
  <si>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</si>
  <si>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</si>
  <si>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</si>
  <si>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</si>
  <si>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</si>
  <si>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</si>
  <si>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</si>
  <si>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</si>
  <si>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</si>
  <si>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</si>
  <si>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</si>
  <si>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</si>
  <si>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</si>
  <si>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</si>
  <si>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</si>
  <si>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</si>
  <si>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</si>
  <si>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</si>
  <si>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</si>
  <si>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</si>
  <si>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</si>
  <si>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</si>
  <si>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</si>
  <si>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</si>
  <si>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</si>
  <si>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</si>
  <si>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</si>
  <si>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</si>
  <si>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</si>
  <si>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</si>
  <si>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</si>
  <si>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</si>
  <si>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</si>
  <si>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</si>
  <si>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</si>
  <si>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</si>
  <si>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</si>
  <si>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</si>
  <si>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</si>
  <si>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</si>
  <si>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</si>
  <si>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</si>
  <si>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</si>
  <si>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</si>
  <si>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</si>
  <si>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</si>
  <si>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</si>
  <si>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7"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</si>
  <si>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</si>
  <si>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</si>
  <si>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</si>
  <si>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</si>
  <si>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</si>
  <si>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</si>
  <si>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</si>
  <si>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</si>
  <si>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</si>
  <si>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</si>
  <si>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</si>
  <si>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</si>
  <si>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</si>
  <si>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</si>
  <si>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</si>
  <si>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</si>
  <si>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</si>
  <si>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</si>
  <si>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</si>
  <si>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</si>
  <si>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</si>
  <si>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</si>
  <si>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</si>
  <si>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</si>
  <si>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</si>
  <si>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46"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</si>
  <si>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</si>
  <si>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</si>
  <si>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</si>
  <si>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</si>
  <si>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</si>
  <si>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</si>
  <si>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</si>
  <si>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</si>
  <si>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</si>
  <si>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</si>
  <si>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</si>
  <si>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</si>
  <si>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</si>
  <si>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</si>
  <si>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</si>
  <si>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</si>
  <si>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</si>
  <si>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</si>
  <si>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</si>
  <si>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</si>
  <si>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</si>
  <si>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</si>
  <si>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</si>
  <si>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</si>
  <si>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</si>
  <si>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</si>
  <si>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</si>
  <si>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</si>
  <si>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</si>
  <si>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</si>
  <si>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</si>
  <si>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</si>
  <si>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</si>
  <si>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</si>
  <si>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</si>
  <si>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</si>
  <si>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</si>
  <si>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</si>
  <si>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</si>
  <si>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</si>
  <si>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</si>
  <si>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</si>
  <si>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</si>
  <si>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</si>
  <si>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</si>
  <si>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</si>
  <si>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</si>
  <si>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</si>
  <si>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</si>
  <si>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</si>
  <si>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</si>
  <si>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</si>
  <si>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</si>
  <si>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</si>
  <si>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</si>
  <si>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</si>
  <si>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</si>
  <si>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</si>
  <si>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</si>
  <si>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</si>
  <si>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</si>
  <si>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</si>
  <si>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</si>
  <si>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</si>
  <si>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</si>
  <si>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</si>
  <si>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</si>
  <si>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</si>
  <si>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</si>
  <si>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</si>
  <si>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</si>
  <si>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</si>
  <si>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</si>
  <si>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</si>
  <si>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</si>
  <si>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</si>
  <si>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</si>
  <si>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</si>
  <si>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</si>
  <si>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</si>
  <si>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</si>
  <si>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</si>
  <si>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</si>
  <si>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46"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</si>
  <si>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</si>
  <si>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</si>
  <si>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</si>
  <si>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</si>
  <si>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</si>
  <si>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</si>
  <si>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</si>
  <si>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</si>
  <si>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</si>
  <si>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</si>
  <si>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</si>
  <si>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</si>
  <si>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</si>
  <si>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</si>
  <si>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</si>
  <si>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</si>
  <si>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</si>
  <si>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</si>
  <si>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</si>
  <si>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</si>
  <si>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</si>
  <si>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</si>
  <si>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</si>
  <si>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</si>
  <si>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</si>
  <si>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</si>
  <si>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</si>
  <si>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</si>
  <si>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</si>
  <si>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</si>
  <si>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</si>
  <si>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</si>
  <si>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</si>
  <si>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</si>
  <si>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</si>
  <si>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</si>
  <si>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</si>
  <si>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</si>
  <si>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</si>
  <si>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</si>
  <si>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</si>
  <si>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</si>
  <si>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</si>
  <si>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</si>
  <si>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</si>
  <si>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</si>
  <si>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</si>
  <si>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</si>
  <si>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</si>
  <si>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</si>
  <si>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</si>
  <si>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</si>
  <si>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</si>
  <si>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</si>
  <si>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</si>
  <si>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</si>
  <si>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</si>
  <si>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</si>
  <si>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</si>
  <si>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</si>
  <si>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</si>
  <si>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</si>
  <si>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</si>
  <si>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</si>
  <si>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</si>
  <si>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</si>
  <si>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</si>
  <si>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</si>
  <si>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</si>
  <si>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</si>
  <si>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</si>
  <si>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</si>
  <si>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</si>
  <si>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</si>
  <si>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</si>
  <si>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</si>
  <si>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</si>
  <si>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</si>
  <si>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</si>
  <si>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</si>
  <si>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</si>
  <si>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</si>
  <si>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</si>
  <si>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</si>
  <si>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</si>
  <si>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</si>
  <si>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</si>
  <si>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</si>
  <si>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</si>
  <si>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</si>
  <si>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</si>
  <si>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46" type="noConversion"/>
  </si>
  <si>
    <r>
      <rPr>
        <b/>
        <sz val="11"/>
        <color theme="1"/>
        <rFont val="宋体"/>
        <family val="3"/>
        <charset val="134"/>
      </rPr>
      <t>本次评估所采用的收益法</t>
    </r>
    <phoneticPr fontId="146" type="noConversion"/>
  </si>
  <si>
    <r>
      <rPr>
        <b/>
        <sz val="11"/>
        <color theme="1"/>
        <rFont val="宋体"/>
        <family val="3"/>
        <charset val="134"/>
      </rPr>
      <t>估价结果</t>
    </r>
    <phoneticPr fontId="146" type="noConversion"/>
  </si>
  <si>
    <r>
      <rPr>
        <b/>
        <sz val="11"/>
        <color theme="1"/>
        <rFont val="宋体"/>
        <family val="3"/>
        <charset val="134"/>
      </rPr>
      <t>建筑面积</t>
    </r>
    <phoneticPr fontId="146" type="noConversion"/>
  </si>
  <si>
    <r>
      <rPr>
        <sz val="11"/>
        <color theme="1"/>
        <rFont val="宋体"/>
        <family val="3"/>
        <charset val="134"/>
      </rPr>
      <t>是否参与计算</t>
    </r>
    <phoneticPr fontId="146"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</si>
  <si>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</si>
  <si>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</si>
  <si>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</si>
  <si>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</si>
  <si>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</si>
  <si>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8"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</si>
  <si>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</si>
  <si>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</si>
  <si>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1"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</si>
  <si>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</si>
  <si>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</si>
  <si>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</si>
  <si>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</si>
  <si>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</si>
  <si>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</si>
  <si>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</si>
  <si>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</si>
  <si>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</si>
  <si>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</si>
  <si>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</si>
  <si>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</si>
  <si>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</si>
  <si>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</si>
  <si>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</si>
  <si>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</si>
  <si>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</si>
  <si>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</si>
  <si>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</si>
  <si>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</si>
  <si>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</si>
  <si>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</si>
  <si>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</si>
  <si>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</si>
  <si>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</si>
  <si>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</si>
  <si>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</si>
  <si>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</si>
  <si>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</si>
  <si>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</si>
  <si>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</si>
  <si>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</si>
  <si>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</si>
  <si>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</si>
  <si>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</si>
  <si>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</si>
  <si>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</si>
  <si>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</si>
  <si>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</si>
  <si>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</si>
  <si>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</si>
  <si>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</si>
  <si>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</si>
  <si>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</si>
  <si>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</si>
  <si>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</si>
  <si>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</si>
  <si>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</si>
  <si>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</si>
  <si>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</si>
  <si>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</si>
  <si>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</si>
  <si>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6" type="noConversion"/>
  </si>
  <si>
    <r>
      <rPr>
        <sz val="11"/>
        <color indexed="8"/>
        <rFont val="宋体"/>
        <family val="3"/>
        <charset val="134"/>
      </rPr>
      <t>正常</t>
    </r>
    <phoneticPr fontId="28" type="noConversion"/>
  </si>
  <si>
    <r>
      <rPr>
        <b/>
        <sz val="11"/>
        <rFont val="宋体"/>
        <family val="3"/>
        <charset val="134"/>
      </rPr>
      <t>权益状况</t>
    </r>
    <phoneticPr fontId="6" type="noConversion"/>
  </si>
  <si>
    <r>
      <t>60-70</t>
    </r>
    <r>
      <rPr>
        <sz val="11"/>
        <rFont val="宋体"/>
        <family val="3"/>
        <charset val="134"/>
      </rPr>
      <t>（含）</t>
    </r>
    <phoneticPr fontId="28" type="noConversion"/>
  </si>
  <si>
    <r>
      <t>50-60</t>
    </r>
    <r>
      <rPr>
        <sz val="11"/>
        <rFont val="宋体"/>
        <family val="3"/>
        <charset val="134"/>
      </rPr>
      <t>（含）</t>
    </r>
    <phoneticPr fontId="28" type="noConversion"/>
  </si>
  <si>
    <r>
      <t>40-50</t>
    </r>
    <r>
      <rPr>
        <sz val="11"/>
        <rFont val="宋体"/>
        <family val="3"/>
        <charset val="134"/>
      </rPr>
      <t>（含）</t>
    </r>
    <phoneticPr fontId="28" type="noConversion"/>
  </si>
  <si>
    <r>
      <t>30-40</t>
    </r>
    <r>
      <rPr>
        <sz val="11"/>
        <rFont val="宋体"/>
        <family val="3"/>
        <charset val="134"/>
      </rPr>
      <t>（含）</t>
    </r>
    <phoneticPr fontId="28" type="noConversion"/>
  </si>
  <si>
    <r>
      <t>20-30</t>
    </r>
    <r>
      <rPr>
        <sz val="11"/>
        <rFont val="宋体"/>
        <family val="3"/>
        <charset val="134"/>
      </rPr>
      <t>（含）</t>
    </r>
    <phoneticPr fontId="28" type="noConversion"/>
  </si>
  <si>
    <r>
      <t>10-20</t>
    </r>
    <r>
      <rPr>
        <sz val="11"/>
        <rFont val="宋体"/>
        <family val="3"/>
        <charset val="134"/>
      </rPr>
      <t>（含）</t>
    </r>
    <phoneticPr fontId="28" type="noConversion"/>
  </si>
  <si>
    <r>
      <t>0-10</t>
    </r>
    <r>
      <rPr>
        <sz val="11"/>
        <rFont val="宋体"/>
        <family val="3"/>
        <charset val="134"/>
      </rPr>
      <t>（含）</t>
    </r>
    <phoneticPr fontId="28"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</si>
  <si>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</si>
  <si>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</si>
  <si>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</si>
  <si>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</si>
  <si>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</si>
  <si>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</si>
  <si>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</si>
  <si>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</si>
  <si>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</si>
  <si>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</si>
  <si>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</si>
  <si>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</si>
  <si>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</si>
  <si>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</si>
  <si>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</si>
  <si>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</si>
  <si>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</si>
  <si>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</si>
  <si>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</si>
  <si>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</si>
  <si>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</si>
  <si>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</si>
  <si>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</si>
  <si>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</si>
  <si>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</si>
  <si>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</si>
  <si>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</si>
  <si>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</si>
  <si>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</si>
  <si>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</si>
  <si>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</si>
  <si>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</si>
  <si>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</si>
  <si>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</si>
  <si>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</si>
  <si>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</si>
  <si>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</si>
  <si>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</si>
  <si>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</si>
  <si>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</si>
  <si>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</si>
  <si>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</si>
  <si>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</si>
  <si>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</si>
  <si>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</si>
  <si>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</si>
  <si>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</si>
  <si>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</si>
  <si>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</si>
  <si>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</si>
  <si>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</si>
  <si>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</si>
  <si>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</si>
  <si>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</si>
  <si>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</si>
  <si>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</si>
  <si>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</si>
  <si>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</si>
  <si>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</si>
  <si>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</si>
  <si>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</si>
  <si>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</si>
  <si>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</si>
  <si>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</si>
  <si>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</si>
  <si>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</si>
  <si>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</si>
  <si>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</si>
  <si>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</si>
  <si>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</si>
  <si>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rFont val="宋体"/>
        <family val="3"/>
        <charset val="134"/>
      </rPr>
      <t>进深比</t>
    </r>
    <phoneticPr fontId="6"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</si>
  <si>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</si>
  <si>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</si>
  <si>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</si>
  <si>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</si>
  <si>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</si>
  <si>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</si>
  <si>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</si>
  <si>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</si>
  <si>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</si>
  <si>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</si>
  <si>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</si>
  <si>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</si>
  <si>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</si>
  <si>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</si>
  <si>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</si>
  <si>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</si>
  <si>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</si>
  <si>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</si>
  <si>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</si>
  <si>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</si>
  <si>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</si>
  <si>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</si>
  <si>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</si>
  <si>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</si>
  <si>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</si>
  <si>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</si>
  <si>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</si>
  <si>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</si>
  <si>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</si>
  <si>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</si>
  <si>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</si>
  <si>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</si>
  <si>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</si>
  <si>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</si>
  <si>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</si>
  <si>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</si>
  <si>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</si>
  <si>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</si>
  <si>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</si>
  <si>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</si>
  <si>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</si>
  <si>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</si>
  <si>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</si>
  <si>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</si>
  <si>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</si>
  <si>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</si>
  <si>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</si>
  <si>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</si>
  <si>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</si>
  <si>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</si>
  <si>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</si>
  <si>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</si>
  <si>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</si>
  <si>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</si>
  <si>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</si>
  <si>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</si>
  <si>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</si>
  <si>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</si>
  <si>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</si>
  <si>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</si>
  <si>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</si>
  <si>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</si>
  <si>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</si>
  <si>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</si>
  <si>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5"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</si>
  <si>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</si>
  <si>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</si>
  <si>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</si>
  <si>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</si>
  <si>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</si>
  <si>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</si>
  <si>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</si>
  <si>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</si>
  <si>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5"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</si>
  <si>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</si>
  <si>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</si>
  <si>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4" type="noConversion"/>
  </si>
  <si>
    <r>
      <rPr>
        <b/>
        <sz val="12"/>
        <rFont val="宋体"/>
        <family val="3"/>
        <charset val="134"/>
      </rPr>
      <t>建筑面积</t>
    </r>
    <phoneticPr fontId="21" type="noConversion"/>
  </si>
  <si>
    <r>
      <rPr>
        <sz val="11"/>
        <color indexed="8"/>
        <rFont val="宋体"/>
        <family val="3"/>
        <charset val="134"/>
      </rPr>
      <t>配建</t>
    </r>
    <phoneticPr fontId="34"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</si>
  <si>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</si>
  <si>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</si>
  <si>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</si>
  <si>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</si>
  <si>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</si>
  <si>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</si>
  <si>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</si>
  <si>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</si>
  <si>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</si>
  <si>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</si>
  <si>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</si>
  <si>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</si>
  <si>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</si>
  <si>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</si>
  <si>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</si>
  <si>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</si>
  <si>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</si>
  <si>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</si>
  <si>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</si>
  <si>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</si>
  <si>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</si>
  <si>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</si>
  <si>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</si>
  <si>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</si>
  <si>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地下商业（</t>
    </r>
    <r>
      <rPr>
        <sz val="10"/>
        <rFont val="Arial"/>
        <family val="2"/>
      </rPr>
      <t>-4</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</si>
  <si>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</si>
  <si>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4"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</si>
  <si>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</si>
  <si>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</si>
  <si>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</si>
  <si>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</si>
  <si>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</si>
  <si>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</si>
  <si>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</si>
  <si>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</si>
  <si>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</si>
  <si>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</si>
  <si>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</si>
  <si>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</si>
  <si>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</si>
  <si>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</si>
  <si>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</si>
  <si>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</si>
  <si>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</si>
  <si>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</si>
  <si>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</si>
  <si>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</si>
  <si>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</si>
  <si>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4" type="noConversion"/>
  </si>
  <si>
    <r>
      <rPr>
        <sz val="11"/>
        <rFont val="宋体"/>
        <family val="3"/>
        <charset val="134"/>
      </rPr>
      <t>项目位置</t>
    </r>
    <phoneticPr fontId="6"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</si>
  <si>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</si>
  <si>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</si>
  <si>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</si>
  <si>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</si>
  <si>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</si>
  <si>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</si>
  <si>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6" type="noConversion"/>
  </si>
  <si>
    <r>
      <rPr>
        <b/>
        <sz val="12"/>
        <rFont val="宋体"/>
        <family val="3"/>
        <charset val="134"/>
      </rPr>
      <t>建筑面积</t>
    </r>
    <phoneticPr fontId="82"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</si>
  <si>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</si>
  <si>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</si>
  <si>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</si>
  <si>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</si>
  <si>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</si>
  <si>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</si>
  <si>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</si>
  <si>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</si>
  <si>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</si>
  <si>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</si>
  <si>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</si>
  <si>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</si>
  <si>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</si>
  <si>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</si>
  <si>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</si>
  <si>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宗地容积率</t>
    </r>
  </si>
  <si>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</si>
  <si>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</si>
  <si>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</si>
  <si>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</si>
  <si>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</si>
  <si>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</si>
  <si>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2" type="noConversion"/>
  </si>
  <si>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</si>
  <si>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</si>
  <si>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</si>
  <si>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</si>
  <si>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</si>
  <si>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</si>
  <si>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</si>
  <si>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</si>
  <si>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</si>
  <si>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</si>
  <si>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</si>
  <si>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</si>
  <si>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</si>
  <si>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</si>
  <si>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</si>
  <si>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</si>
  <si>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</si>
  <si>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</si>
  <si>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</si>
  <si>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</si>
  <si>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</si>
  <si>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</si>
  <si>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</si>
  <si>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</si>
  <si>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</si>
  <si>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</si>
  <si>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</si>
  <si>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</si>
  <si>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</si>
  <si>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</si>
  <si>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</si>
  <si>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</si>
  <si>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</si>
  <si>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</si>
  <si>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</si>
  <si>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</si>
  <si>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</si>
  <si>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sz val="10"/>
        <rFont val="宋体"/>
        <family val="3"/>
        <charset val="134"/>
      </rPr>
      <t>（</t>
    </r>
    <r>
      <rPr>
        <sz val="10"/>
        <rFont val="Arial"/>
        <family val="2"/>
      </rPr>
      <t>2</t>
    </r>
    <r>
      <rPr>
        <sz val="10"/>
        <rFont val="宋体"/>
        <family val="3"/>
        <charset val="134"/>
      </rPr>
      <t>）</t>
    </r>
    <phoneticPr fontId="82"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</si>
  <si>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</si>
  <si>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</si>
  <si>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</si>
  <si>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</si>
  <si>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</si>
  <si>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</si>
  <si>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</si>
  <si>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</si>
  <si>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</si>
  <si>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82"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</si>
  <si>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</si>
  <si>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</si>
  <si>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</si>
  <si>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</si>
  <si>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</si>
  <si>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</si>
  <si>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sz val="10"/>
        <rFont val="宋体"/>
        <family val="3"/>
        <charset val="134"/>
      </rPr>
      <t>（</t>
    </r>
    <r>
      <rPr>
        <sz val="10"/>
        <rFont val="Arial"/>
        <family val="2"/>
      </rPr>
      <t>3</t>
    </r>
    <r>
      <rPr>
        <sz val="10"/>
        <rFont val="宋体"/>
        <family val="3"/>
        <charset val="134"/>
      </rPr>
      <t>）</t>
    </r>
    <phoneticPr fontId="82"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</si>
  <si>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</si>
  <si>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</si>
  <si>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</si>
  <si>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</si>
  <si>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</si>
  <si>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对应的开发费</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</si>
  <si>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</si>
  <si>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</si>
  <si>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</si>
  <si>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</si>
  <si>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</si>
  <si>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地价指数</t>
    </r>
  </si>
  <si>
    <r>
      <rPr>
        <sz val="11"/>
        <rFont val="宋体"/>
        <family val="3"/>
        <charset val="134"/>
      </rPr>
      <t>基准日地价指数</t>
    </r>
    <phoneticPr fontId="82" type="noConversion"/>
  </si>
  <si>
    <r>
      <rPr>
        <sz val="10"/>
        <rFont val="宋体"/>
        <family val="3"/>
        <charset val="134"/>
      </rPr>
      <t>相差季度数</t>
    </r>
    <phoneticPr fontId="82"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</si>
  <si>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</si>
  <si>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</si>
  <si>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</si>
  <si>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82"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</si>
  <si>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</si>
  <si>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</si>
  <si>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</si>
  <si>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b/>
        <sz val="11"/>
        <rFont val="宋体"/>
        <family val="3"/>
        <charset val="134"/>
      </rPr>
      <t>楼层修正</t>
    </r>
  </si>
  <si>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</si>
  <si>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82"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</si>
  <si>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</si>
  <si>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</si>
  <si>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</si>
  <si>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82"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</si>
  <si>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</si>
  <si>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</si>
  <si>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</si>
  <si>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</si>
  <si>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</si>
  <si>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</si>
  <si>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82" type="noConversion"/>
  </si>
  <si>
    <r>
      <rPr>
        <sz val="11"/>
        <rFont val="宋体"/>
        <family val="3"/>
        <charset val="134"/>
      </rPr>
      <t>政府土地出让收益</t>
    </r>
    <phoneticPr fontId="82"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</si>
  <si>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</si>
  <si>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</si>
  <si>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</si>
  <si>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</si>
  <si>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</si>
  <si>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</si>
  <si>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</si>
  <si>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</si>
  <si>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</si>
  <si>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</si>
  <si>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2" type="noConversion"/>
  </si>
  <si>
    <r>
      <rPr>
        <sz val="10"/>
        <rFont val="宋体"/>
        <family val="3"/>
        <charset val="134"/>
      </rPr>
      <t>相应用途地下空间修正系数</t>
    </r>
  </si>
  <si>
    <r>
      <rPr>
        <b/>
        <sz val="10"/>
        <color rgb="FFFF0000"/>
        <rFont val="宋体"/>
        <family val="3"/>
        <charset val="134"/>
      </rPr>
      <t>地下商业不考虑路线价修正</t>
    </r>
    <phoneticPr fontId="82"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</si>
  <si>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</si>
  <si>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</si>
  <si>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</si>
  <si>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</si>
  <si>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</si>
  <si>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82"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</si>
  <si>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</si>
  <si>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</si>
  <si>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</si>
  <si>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</si>
  <si>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</si>
  <si>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</si>
  <si>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</si>
  <si>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</si>
  <si>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</si>
  <si>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</si>
  <si>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82" type="noConversion"/>
  </si>
  <si>
    <r>
      <rPr>
        <sz val="10"/>
        <color rgb="FFFF0000"/>
        <rFont val="宋体"/>
        <family val="3"/>
        <charset val="134"/>
      </rPr>
      <t>各因素幅度控制</t>
    </r>
    <r>
      <rPr>
        <sz val="10"/>
        <color rgb="FFFF0000"/>
        <rFont val="Arial"/>
        <family val="2"/>
      </rPr>
      <t>(±)</t>
    </r>
    <phoneticPr fontId="82"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</si>
  <si>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</si>
  <si>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</si>
  <si>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</si>
  <si>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</si>
  <si>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</si>
  <si>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2"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</si>
  <si>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</si>
  <si>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</si>
  <si>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82"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</si>
  <si>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</si>
  <si>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</si>
  <si>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</si>
  <si>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</si>
  <si>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82"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</si>
  <si>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</si>
  <si>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</si>
  <si>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</si>
  <si>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</si>
  <si>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</si>
  <si>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</si>
  <si>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</si>
  <si>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</si>
  <si>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</si>
  <si>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</si>
  <si>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</si>
  <si>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</si>
  <si>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</si>
  <si>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</si>
  <si>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</si>
  <si>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</si>
  <si>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</si>
  <si>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</si>
  <si>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</si>
  <si>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</si>
  <si>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</si>
  <si>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</si>
  <si>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</si>
  <si>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</si>
  <si>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</si>
  <si>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</si>
  <si>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</si>
  <si>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</si>
  <si>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</si>
  <si>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</si>
  <si>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</si>
  <si>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</si>
  <si>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</si>
  <si>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</si>
  <si>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</si>
  <si>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</si>
  <si>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</si>
  <si>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</si>
  <si>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</si>
  <si>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</si>
  <si>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</si>
  <si>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</si>
  <si>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</si>
  <si>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</si>
  <si>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</si>
  <si>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</si>
  <si>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</si>
  <si>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</si>
  <si>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</si>
  <si>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</si>
  <si>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</si>
  <si>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</si>
  <si>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</si>
  <si>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</si>
  <si>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</si>
  <si>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</si>
  <si>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b/>
        <sz val="10"/>
        <rFont val="宋体"/>
        <family val="3"/>
        <charset val="134"/>
      </rPr>
      <t>需扣减承租人权益</t>
    </r>
  </si>
  <si>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</si>
  <si>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</si>
  <si>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</si>
  <si>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</si>
  <si>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</si>
  <si>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</si>
  <si>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</si>
  <si>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</si>
  <si>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b/>
        <sz val="10"/>
        <color indexed="10"/>
        <rFont val="宋体"/>
        <family val="3"/>
        <charset val="134"/>
      </rPr>
      <t>基准户型</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</si>
  <si>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</si>
  <si>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</si>
  <si>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t>租金×天数×建筑面积/12×一年期存款利率</t>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</si>
  <si>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</si>
  <si>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</si>
  <si>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</si>
  <si>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</si>
  <si>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</si>
  <si>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</si>
  <si>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</si>
  <si>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</si>
  <si>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</si>
  <si>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2018-1</t>
    <phoneticPr fontId="6" type="noConversion"/>
  </si>
  <si>
    <t>本行不参与计算</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</si>
  <si>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</si>
  <si>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2018-1-0214-P01DYGJ3</t>
    <phoneticPr fontId="9" type="noConversion"/>
  </si>
  <si>
    <t>昆仑信托有限责任公司</t>
    <phoneticPr fontId="9" type="noConversion"/>
  </si>
  <si>
    <t>抵押</t>
  </si>
  <si>
    <t>房地产抵押价值</t>
  </si>
  <si>
    <t>北京市</t>
  </si>
  <si>
    <t>企业</t>
  </si>
  <si>
    <t>北京碧生源物业管理有限公司</t>
    <phoneticPr fontId="9" type="noConversion"/>
  </si>
  <si>
    <r>
      <rPr>
        <sz val="12"/>
        <color theme="9" tint="-0.249977111117893"/>
        <rFont val="宋体"/>
        <family val="3"/>
        <charset val="134"/>
      </rPr>
      <t>海淀区西四环北路</t>
    </r>
    <r>
      <rPr>
        <sz val="12"/>
        <color theme="9" tint="-0.249977111117893"/>
        <rFont val="Arial"/>
        <family val="2"/>
      </rPr>
      <t>160</t>
    </r>
    <r>
      <rPr>
        <sz val="12"/>
        <color theme="9" tint="-0.249977111117893"/>
        <rFont val="宋体"/>
        <family val="3"/>
        <charset val="134"/>
      </rPr>
      <t>号</t>
    </r>
    <phoneticPr fontId="9"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</si>
  <si>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、《抵押物清单》</t>
    </r>
    <phoneticPr fontId="9" type="noConversion"/>
  </si>
  <si>
    <t>否</t>
  </si>
  <si>
    <t>《不动产权证书》</t>
  </si>
  <si>
    <t>复印件</t>
  </si>
  <si>
    <t>办公项目</t>
  </si>
  <si>
    <t>现房</t>
  </si>
  <si>
    <t>通路</t>
  </si>
  <si>
    <t>通电</t>
  </si>
  <si>
    <t>通讯</t>
  </si>
  <si>
    <t>通上水</t>
  </si>
  <si>
    <t>通下水</t>
  </si>
  <si>
    <t>通热</t>
  </si>
  <si>
    <t>是</t>
  </si>
  <si>
    <t>车库</t>
  </si>
  <si>
    <t>成新度</t>
  </si>
  <si>
    <t>售价</t>
  </si>
  <si>
    <t>收益法（汇总）</t>
  </si>
  <si>
    <t>地上</t>
  </si>
  <si>
    <t>地下</t>
  </si>
  <si>
    <t>车库—办公</t>
  </si>
  <si>
    <t>商业</t>
    <phoneticPr fontId="10" type="noConversion"/>
  </si>
  <si>
    <t>办公</t>
    <phoneticPr fontId="10" type="noConversion"/>
  </si>
  <si>
    <t>车位</t>
  </si>
  <si>
    <t>车位</t>
    <phoneticPr fontId="10" type="noConversion"/>
  </si>
  <si>
    <t>钢混</t>
  </si>
  <si>
    <t>非生产用房</t>
  </si>
  <si>
    <t>项目局部</t>
  </si>
  <si>
    <t>建筑物价值</t>
  </si>
  <si>
    <t>押一</t>
  </si>
  <si>
    <t>收益法（办公）</t>
  </si>
  <si>
    <t>收益法（办公）</t>
    <phoneticPr fontId="19" type="noConversion"/>
  </si>
  <si>
    <t>收益法（商业）</t>
  </si>
  <si>
    <t>收益法（车位）</t>
  </si>
  <si>
    <r>
      <t>XX</t>
    </r>
    <r>
      <rPr>
        <sz val="11"/>
        <color theme="9" tint="-0.249977111117893"/>
        <rFont val="宋体"/>
        <family val="3"/>
        <charset val="134"/>
      </rPr>
      <t>商圈，周边商业氛围，人流量</t>
    </r>
    <phoneticPr fontId="28" type="noConversion"/>
  </si>
  <si>
    <r>
      <t>XX</t>
    </r>
    <r>
      <rPr>
        <sz val="11"/>
        <color theme="9" tint="-0.249977111117893"/>
        <rFont val="宋体"/>
        <family val="3"/>
        <charset val="134"/>
      </rPr>
      <t>商圈，周边办公楼项目，入驻率（物美慧科大厦</t>
    </r>
    <r>
      <rPr>
        <sz val="11"/>
        <color theme="9" tint="-0.249977111117893"/>
        <rFont val="Arial"/>
        <family val="2"/>
      </rPr>
      <t xml:space="preserve"> </t>
    </r>
    <r>
      <rPr>
        <sz val="11"/>
        <color theme="9" tint="-0.249977111117893"/>
        <rFont val="宋体"/>
        <family val="3"/>
        <charset val="134"/>
      </rPr>
      <t>新奥特科技大厦</t>
    </r>
    <r>
      <rPr>
        <sz val="11"/>
        <color theme="9" tint="-0.249977111117893"/>
        <rFont val="Arial"/>
        <family val="2"/>
      </rPr>
      <t xml:space="preserve"> </t>
    </r>
    <r>
      <rPr>
        <sz val="11"/>
        <color theme="9" tint="-0.249977111117893"/>
        <rFont val="宋体"/>
        <family val="3"/>
        <charset val="134"/>
      </rPr>
      <t>裕友大厦）</t>
    </r>
    <phoneticPr fontId="28" type="noConversion"/>
  </si>
  <si>
    <t>周边道路状况、公共交通通达情况、停车便捷程度（快速路西四环北路 六号线海淀五路居站 五路桥公交站  61路 79路 121路 地上停车位）</t>
    <phoneticPr fontId="44" type="noConversion"/>
  </si>
  <si>
    <r>
      <rPr>
        <sz val="11"/>
        <color theme="9" tint="-0.249977111117893"/>
        <rFont val="宋体"/>
        <family val="3"/>
        <charset val="134"/>
      </rPr>
      <t>北京大学肿瘤医院</t>
    </r>
    <r>
      <rPr>
        <sz val="11"/>
        <color theme="9" tint="-0.249977111117893"/>
        <rFont val="Arial"/>
        <family val="2"/>
      </rPr>
      <t xml:space="preserve"> </t>
    </r>
    <r>
      <rPr>
        <sz val="11"/>
        <color theme="9" tint="-0.249977111117893"/>
        <rFont val="宋体"/>
        <family val="3"/>
        <charset val="134"/>
      </rPr>
      <t>南洋商业银行北京五路居支行</t>
    </r>
    <r>
      <rPr>
        <sz val="11"/>
        <color theme="9" tint="-0.249977111117893"/>
        <rFont val="Arial"/>
        <family val="2"/>
      </rPr>
      <t xml:space="preserve"> </t>
    </r>
    <r>
      <rPr>
        <sz val="11"/>
        <color theme="9" tint="-0.249977111117893"/>
        <rFont val="宋体"/>
        <family val="3"/>
        <charset val="134"/>
      </rPr>
      <t>中国邮政储蓄银行</t>
    </r>
    <r>
      <rPr>
        <sz val="11"/>
        <color theme="9" tint="-0.249977111117893"/>
        <rFont val="Arial"/>
        <family val="2"/>
      </rPr>
      <t>(</t>
    </r>
    <r>
      <rPr>
        <sz val="11"/>
        <color theme="9" tint="-0.249977111117893"/>
        <rFont val="宋体"/>
        <family val="3"/>
        <charset val="134"/>
      </rPr>
      <t>玲珑天地</t>
    </r>
    <r>
      <rPr>
        <sz val="11"/>
        <color theme="9" tint="-0.249977111117893"/>
        <rFont val="Arial"/>
        <family val="2"/>
      </rPr>
      <t>C</t>
    </r>
    <r>
      <rPr>
        <sz val="11"/>
        <color theme="9" tint="-0.249977111117893"/>
        <rFont val="宋体"/>
        <family val="3"/>
        <charset val="134"/>
      </rPr>
      <t>座西</t>
    </r>
    <r>
      <rPr>
        <sz val="11"/>
        <color theme="9" tint="-0.249977111117893"/>
        <rFont val="Arial"/>
        <family val="2"/>
      </rPr>
      <t xml:space="preserve">) </t>
    </r>
    <r>
      <rPr>
        <sz val="11"/>
        <color theme="9" tint="-0.249977111117893"/>
        <rFont val="宋体"/>
        <family val="3"/>
        <charset val="134"/>
      </rPr>
      <t>中国建设银行</t>
    </r>
    <r>
      <rPr>
        <sz val="11"/>
        <color theme="9" tint="-0.249977111117893"/>
        <rFont val="Arial"/>
        <family val="2"/>
      </rPr>
      <t>(</t>
    </r>
    <r>
      <rPr>
        <sz val="11"/>
        <color theme="9" tint="-0.249977111117893"/>
        <rFont val="宋体"/>
        <family val="3"/>
        <charset val="134"/>
      </rPr>
      <t>北京定慧北桥支行</t>
    </r>
    <r>
      <rPr>
        <sz val="11"/>
        <color theme="9" tint="-0.249977111117893"/>
        <rFont val="Arial"/>
        <family val="2"/>
      </rPr>
      <t xml:space="preserve">) </t>
    </r>
    <r>
      <rPr>
        <sz val="11"/>
        <color theme="9" tint="-0.249977111117893"/>
        <rFont val="宋体"/>
        <family val="3"/>
        <charset val="134"/>
      </rPr>
      <t>北京市海淀区恩济里幼儿园</t>
    </r>
    <r>
      <rPr>
        <sz val="11"/>
        <color theme="9" tint="-0.249977111117893"/>
        <rFont val="Arial"/>
        <family val="2"/>
      </rPr>
      <t xml:space="preserve"> </t>
    </r>
    <r>
      <rPr>
        <sz val="11"/>
        <color theme="9" tint="-0.249977111117893"/>
        <rFont val="宋体"/>
        <family val="3"/>
        <charset val="134"/>
      </rPr>
      <t>北京市海淀区定慧里小学</t>
    </r>
    <r>
      <rPr>
        <sz val="11"/>
        <color theme="9" tint="-0.249977111117893"/>
        <rFont val="Arial"/>
        <family val="2"/>
      </rPr>
      <t xml:space="preserve"> </t>
    </r>
    <r>
      <rPr>
        <sz val="11"/>
        <color theme="9" tint="-0.249977111117893"/>
        <rFont val="宋体"/>
        <family val="3"/>
        <charset val="134"/>
      </rPr>
      <t>北京理工大学附属中学南校区</t>
    </r>
    <r>
      <rPr>
        <sz val="11"/>
        <color theme="9" tint="-0.249977111117893"/>
        <rFont val="Arial"/>
        <family val="2"/>
      </rPr>
      <t xml:space="preserve"> </t>
    </r>
    <r>
      <rPr>
        <sz val="11"/>
        <color theme="9" tint="-0.249977111117893"/>
        <rFont val="宋体"/>
        <family val="3"/>
        <charset val="134"/>
      </rPr>
      <t>家乐福</t>
    </r>
    <r>
      <rPr>
        <sz val="11"/>
        <color theme="9" tint="-0.249977111117893"/>
        <rFont val="Arial"/>
        <family val="2"/>
      </rPr>
      <t>(</t>
    </r>
    <r>
      <rPr>
        <sz val="11"/>
        <color theme="9" tint="-0.249977111117893"/>
        <rFont val="宋体"/>
        <family val="3"/>
        <charset val="134"/>
      </rPr>
      <t>北京定慧桥店</t>
    </r>
    <r>
      <rPr>
        <sz val="11"/>
        <color theme="9" tint="-0.249977111117893"/>
        <rFont val="Arial"/>
        <family val="2"/>
      </rPr>
      <t>)</t>
    </r>
    <phoneticPr fontId="28" type="noConversion"/>
  </si>
  <si>
    <t>简装</t>
  </si>
  <si>
    <t>简装</t>
    <phoneticPr fontId="35" type="noConversion"/>
  </si>
  <si>
    <t>毛坯</t>
    <phoneticPr fontId="35" type="noConversion"/>
  </si>
  <si>
    <t>六通</t>
  </si>
  <si>
    <t>六通</t>
    <phoneticPr fontId="35" type="noConversion"/>
  </si>
  <si>
    <t>专业</t>
  </si>
  <si>
    <t>专业</t>
    <phoneticPr fontId="35" type="noConversion"/>
  </si>
  <si>
    <t>精装修</t>
  </si>
  <si>
    <t>精装修</t>
    <phoneticPr fontId="35" type="noConversion"/>
  </si>
  <si>
    <t>钢混</t>
    <phoneticPr fontId="35" type="noConversion"/>
  </si>
  <si>
    <t>快速路</t>
    <phoneticPr fontId="35" type="noConversion"/>
  </si>
  <si>
    <t>主干道</t>
    <phoneticPr fontId="35" type="noConversion"/>
  </si>
  <si>
    <t>次干道</t>
    <phoneticPr fontId="35" type="noConversion"/>
  </si>
  <si>
    <t>支路</t>
    <phoneticPr fontId="35" type="noConversion"/>
  </si>
  <si>
    <t>40-50（含）</t>
  </si>
  <si>
    <t>办公</t>
    <phoneticPr fontId="35" type="noConversion"/>
  </si>
  <si>
    <t>正常</t>
  </si>
  <si>
    <t>七通</t>
  </si>
  <si>
    <t>一般</t>
  </si>
  <si>
    <t>较好</t>
  </si>
  <si>
    <t>商业</t>
    <phoneticPr fontId="34" type="noConversion"/>
  </si>
  <si>
    <t>30-40（含）</t>
  </si>
  <si>
    <t>出让</t>
  </si>
  <si>
    <t>按租金收入计税</t>
  </si>
  <si>
    <t>嘉豪国际中心写字楼</t>
    <phoneticPr fontId="6" type="noConversion"/>
  </si>
  <si>
    <t>紫竹院路</t>
    <phoneticPr fontId="35" type="noConversion"/>
  </si>
  <si>
    <t>主干道</t>
  </si>
  <si>
    <t>慧科大厦</t>
  </si>
  <si>
    <t>元/车位</t>
  </si>
  <si>
    <t>甲</t>
  </si>
  <si>
    <t>甲</t>
    <phoneticPr fontId="35" type="noConversion"/>
  </si>
  <si>
    <t>乙</t>
    <phoneticPr fontId="35" type="noConversion"/>
  </si>
  <si>
    <t>丙</t>
    <phoneticPr fontId="35" type="noConversion"/>
  </si>
  <si>
    <t>五棵松路32号</t>
  </si>
  <si>
    <t>五棵松路32号</t>
    <phoneticPr fontId="6" type="noConversion"/>
  </si>
  <si>
    <t>车道沟桥西南角</t>
    <phoneticPr fontId="6"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</si>
  <si>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</si>
  <si>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t>1</t>
    </r>
    <r>
      <rPr>
        <sz val="11"/>
        <color indexed="8"/>
        <rFont val="宋体"/>
        <family val="3"/>
        <charset val="134"/>
      </rPr>
      <t>、</t>
    </r>
    <r>
      <rPr>
        <sz val="11"/>
        <color indexed="8"/>
        <rFont val="Arial"/>
        <family val="2"/>
      </rPr>
      <t>2</t>
    </r>
    <r>
      <rPr>
        <sz val="11"/>
        <color indexed="8"/>
        <rFont val="宋体"/>
        <family val="3"/>
        <charset val="134"/>
      </rPr>
      <t>层</t>
    </r>
    <phoneticPr fontId="34" type="noConversion"/>
  </si>
  <si>
    <t>建成年代</t>
    <phoneticPr fontId="35" type="noConversion"/>
  </si>
  <si>
    <t>关于资产支持专项计划
基础资产池未来现金流预测表
（除特别注明外，金额单位为人民币元）</t>
    <phoneticPr fontId="146" type="noConversion"/>
  </si>
  <si>
    <t>现金流预测</t>
    <phoneticPr fontId="146" type="noConversion"/>
  </si>
  <si>
    <t>2017年度</t>
    <phoneticPr fontId="146" type="noConversion"/>
  </si>
  <si>
    <t>2018年度</t>
  </si>
  <si>
    <t>2019年度</t>
  </si>
  <si>
    <t>2020年度</t>
  </si>
  <si>
    <t>2021年度</t>
  </si>
  <si>
    <t>2022年度</t>
  </si>
  <si>
    <t>2023年度</t>
  </si>
  <si>
    <t>2024年度</t>
  </si>
  <si>
    <t>2025年度</t>
  </si>
  <si>
    <t>2026年度</t>
  </si>
  <si>
    <t>2027年度</t>
  </si>
  <si>
    <t>2028年度</t>
  </si>
  <si>
    <t>2029年度</t>
  </si>
  <si>
    <t>2030年度</t>
  </si>
  <si>
    <t>2031年度</t>
  </si>
  <si>
    <t>2032年度</t>
  </si>
  <si>
    <t>项目</t>
    <phoneticPr fontId="146" type="noConversion"/>
  </si>
  <si>
    <t>项目说明</t>
    <phoneticPr fontId="146" type="noConversion"/>
  </si>
  <si>
    <t>预测数</t>
    <phoneticPr fontId="146" type="noConversion"/>
  </si>
  <si>
    <t>预测数</t>
    <phoneticPr fontId="146" type="noConversion"/>
  </si>
  <si>
    <t>预测数</t>
    <phoneticPr fontId="146" type="noConversion"/>
  </si>
  <si>
    <t>预测数</t>
    <phoneticPr fontId="146" type="noConversion"/>
  </si>
  <si>
    <t>预测数</t>
    <phoneticPr fontId="146" type="noConversion"/>
  </si>
  <si>
    <t>项目</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</si>
  <si>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</si>
  <si>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</si>
  <si>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</si>
  <si>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</si>
  <si>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</si>
  <si>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</si>
  <si>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</si>
  <si>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</si>
  <si>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</si>
  <si>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</si>
  <si>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一、基础资产现金流入</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</si>
  <si>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写字楼</t>
    </r>
    <phoneticPr fontId="59" type="noConversion"/>
  </si>
  <si>
    <t>办公-低区</t>
  </si>
  <si>
    <t>F3</t>
  </si>
  <si>
    <t>F4</t>
  </si>
  <si>
    <t>F5</t>
  </si>
  <si>
    <t>办公-中区</t>
    <phoneticPr fontId="146" type="noConversion"/>
  </si>
  <si>
    <t>F6</t>
  </si>
  <si>
    <t>F7</t>
  </si>
  <si>
    <t>F8</t>
  </si>
  <si>
    <t>办公-高区</t>
    <phoneticPr fontId="146" type="noConversion"/>
  </si>
  <si>
    <t>F9</t>
  </si>
  <si>
    <t>F10</t>
  </si>
  <si>
    <t>F11</t>
  </si>
  <si>
    <r>
      <rPr>
        <sz val="9"/>
        <color theme="0"/>
        <rFont val="微软雅黑"/>
        <family val="2"/>
        <charset val="134"/>
      </rPr>
      <t>租金收入</t>
    </r>
    <r>
      <rPr>
        <sz val="9"/>
        <color theme="0"/>
        <rFont val="Segoe UI"/>
        <family val="2"/>
      </rPr>
      <t>-</t>
    </r>
    <r>
      <rPr>
        <sz val="9"/>
        <color theme="0"/>
        <rFont val="微软雅黑"/>
        <family val="2"/>
        <charset val="134"/>
      </rPr>
      <t>车位</t>
    </r>
    <phoneticPr fontId="59" type="noConversion"/>
  </si>
  <si>
    <t>物业管理费收入</t>
    <phoneticPr fontId="59" type="noConversion"/>
  </si>
  <si>
    <r>
      <rPr>
        <sz val="9"/>
        <color theme="1"/>
        <rFont val="微软雅黑"/>
        <family val="2"/>
        <charset val="134"/>
      </rPr>
      <t>商业</t>
    </r>
    <phoneticPr fontId="6" type="noConversion"/>
  </si>
  <si>
    <r>
      <rPr>
        <sz val="9"/>
        <color theme="1"/>
        <rFont val="微软雅黑"/>
        <family val="2"/>
        <charset val="134"/>
      </rPr>
      <t>写字楼</t>
    </r>
    <phoneticPr fontId="6" type="noConversion"/>
  </si>
  <si>
    <r>
      <rPr>
        <sz val="9"/>
        <color theme="1"/>
        <rFont val="微软雅黑"/>
        <family val="2"/>
        <charset val="134"/>
      </rPr>
      <t>车位</t>
    </r>
    <phoneticPr fontId="6" type="noConversion"/>
  </si>
  <si>
    <r>
      <rPr>
        <sz val="9"/>
        <color theme="0"/>
        <rFont val="微软雅黑"/>
        <family val="2"/>
        <charset val="134"/>
      </rPr>
      <t>租金收入</t>
    </r>
    <r>
      <rPr>
        <sz val="9"/>
        <color theme="0"/>
        <rFont val="Segoe UI"/>
        <family val="2"/>
      </rPr>
      <t>-</t>
    </r>
    <r>
      <rPr>
        <sz val="9"/>
        <color theme="0"/>
        <rFont val="微软雅黑"/>
        <family val="2"/>
        <charset val="134"/>
      </rPr>
      <t>商业</t>
    </r>
    <phoneticPr fontId="59" type="noConversion"/>
  </si>
  <si>
    <t>B4</t>
    <phoneticPr fontId="6" type="noConversion"/>
  </si>
  <si>
    <t>B3</t>
    <phoneticPr fontId="6" type="noConversion"/>
  </si>
  <si>
    <t>B2</t>
    <phoneticPr fontId="6" type="noConversion"/>
  </si>
  <si>
    <t>B1</t>
    <phoneticPr fontId="6" type="noConversion"/>
  </si>
  <si>
    <t>F1</t>
    <phoneticPr fontId="6" type="noConversion"/>
  </si>
  <si>
    <t>F2</t>
    <phoneticPr fontId="6" type="noConversion"/>
  </si>
  <si>
    <t>F3</t>
    <phoneticPr fontId="6" type="noConversion"/>
  </si>
  <si>
    <t>F4</t>
    <phoneticPr fontId="6" type="noConversion"/>
  </si>
  <si>
    <t>F5</t>
    <phoneticPr fontId="6" type="noConversion"/>
  </si>
  <si>
    <t>F6</t>
    <phoneticPr fontId="6" type="noConversion"/>
  </si>
  <si>
    <t>F7</t>
    <phoneticPr fontId="6" type="noConversion"/>
  </si>
  <si>
    <t>F8</t>
    <phoneticPr fontId="6" type="noConversion"/>
  </si>
  <si>
    <t>拟定出租率</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</si>
  <si>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写字楼</t>
    </r>
    <phoneticPr fontId="59" type="noConversion"/>
  </si>
  <si>
    <t>办公-中区</t>
    <phoneticPr fontId="146" type="noConversion"/>
  </si>
  <si>
    <t>拟定出租率</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</si>
  <si>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车位</t>
    </r>
    <phoneticPr fontId="59" type="noConversion"/>
  </si>
  <si>
    <r>
      <rPr>
        <sz val="9"/>
        <color theme="0"/>
        <rFont val="微软雅黑"/>
        <family val="2"/>
        <charset val="134"/>
      </rPr>
      <t>其他收入收入</t>
    </r>
    <phoneticPr fontId="59" type="noConversion"/>
  </si>
  <si>
    <t>物业管理费收入</t>
    <phoneticPr fontId="59" type="noConversion"/>
  </si>
  <si>
    <r>
      <rPr>
        <sz val="9"/>
        <color theme="1"/>
        <rFont val="微软雅黑"/>
        <family val="2"/>
        <charset val="134"/>
      </rPr>
      <t>商业</t>
    </r>
    <phoneticPr fontId="6" type="noConversion"/>
  </si>
  <si>
    <r>
      <rPr>
        <sz val="9"/>
        <color theme="1"/>
        <rFont val="微软雅黑"/>
        <family val="2"/>
        <charset val="134"/>
      </rPr>
      <t>写字楼</t>
    </r>
    <phoneticPr fontId="6" type="noConversion"/>
  </si>
  <si>
    <r>
      <rPr>
        <sz val="9"/>
        <color theme="1"/>
        <rFont val="微软雅黑"/>
        <family val="2"/>
        <charset val="134"/>
      </rPr>
      <t>车位</t>
    </r>
    <phoneticPr fontId="6" type="noConversion"/>
  </si>
  <si>
    <t>其他收入收入</t>
    <phoneticPr fontId="59" type="noConversion"/>
  </si>
  <si>
    <r>
      <t xml:space="preserve">      </t>
    </r>
    <r>
      <rPr>
        <b/>
        <sz val="9"/>
        <color theme="0"/>
        <rFont val="宋体"/>
        <family val="3"/>
        <charset val="134"/>
      </rPr>
      <t>减：基础资产现金流出</t>
    </r>
    <phoneticPr fontId="146" type="noConversion"/>
  </si>
  <si>
    <t xml:space="preserve">            税费</t>
  </si>
  <si>
    <t>增值税</t>
    <phoneticPr fontId="59" type="noConversion"/>
  </si>
  <si>
    <t>及附加</t>
    <phoneticPr fontId="59" type="noConversion"/>
  </si>
  <si>
    <t>增值税*12%</t>
  </si>
  <si>
    <t>印花税</t>
    <phoneticPr fontId="146" type="noConversion"/>
  </si>
  <si>
    <r>
      <t xml:space="preserve">            </t>
    </r>
    <r>
      <rPr>
        <b/>
        <sz val="9"/>
        <color theme="0"/>
        <rFont val="微软雅黑"/>
        <family val="2"/>
        <charset val="134"/>
      </rPr>
      <t>运营支出</t>
    </r>
    <phoneticPr fontId="146" type="noConversion"/>
  </si>
  <si>
    <r>
      <rPr>
        <sz val="9"/>
        <color theme="1"/>
        <rFont val="微软雅黑"/>
        <family val="2"/>
        <charset val="134"/>
      </rPr>
      <t>行政管理费用</t>
    </r>
    <phoneticPr fontId="6" type="noConversion"/>
  </si>
  <si>
    <r>
      <rPr>
        <sz val="9"/>
        <color theme="1"/>
        <rFont val="微软雅黑"/>
        <family val="2"/>
        <charset val="134"/>
      </rPr>
      <t>市场费用</t>
    </r>
    <phoneticPr fontId="6" type="noConversion"/>
  </si>
  <si>
    <r>
      <rPr>
        <sz val="9"/>
        <color theme="1"/>
        <rFont val="微软雅黑"/>
        <family val="2"/>
        <charset val="134"/>
      </rPr>
      <t>能源费用</t>
    </r>
    <phoneticPr fontId="6" type="noConversion"/>
  </si>
  <si>
    <r>
      <rPr>
        <sz val="9"/>
        <color theme="1"/>
        <rFont val="微软雅黑"/>
        <family val="2"/>
        <charset val="134"/>
      </rPr>
      <t>维护费用</t>
    </r>
    <phoneticPr fontId="6" type="noConversion"/>
  </si>
  <si>
    <r>
      <rPr>
        <sz val="9"/>
        <color theme="1"/>
        <rFont val="微软雅黑"/>
        <family val="2"/>
        <charset val="134"/>
      </rPr>
      <t>佣金</t>
    </r>
    <phoneticPr fontId="6" type="noConversion"/>
  </si>
  <si>
    <r>
      <t xml:space="preserve">            </t>
    </r>
    <r>
      <rPr>
        <b/>
        <sz val="9"/>
        <color theme="0"/>
        <rFont val="微软雅黑"/>
        <family val="2"/>
        <charset val="134"/>
      </rPr>
      <t>其他支出</t>
    </r>
    <phoneticPr fontId="146" type="noConversion"/>
  </si>
  <si>
    <t>固定资产维修提存费</t>
    <phoneticPr fontId="6" type="noConversion"/>
  </si>
  <si>
    <t>维保费</t>
  </si>
  <si>
    <r>
      <rPr>
        <sz val="9"/>
        <color theme="1"/>
        <rFont val="微软雅黑"/>
        <family val="2"/>
        <charset val="134"/>
      </rPr>
      <t>保险费</t>
    </r>
    <phoneticPr fontId="6" type="noConversion"/>
  </si>
  <si>
    <t>投保单</t>
  </si>
  <si>
    <r>
      <rPr>
        <sz val="9"/>
        <color theme="1"/>
        <rFont val="微软雅黑"/>
        <family val="2"/>
        <charset val="134"/>
      </rPr>
      <t>房产税</t>
    </r>
    <phoneticPr fontId="6" type="noConversion"/>
  </si>
  <si>
    <r>
      <rPr>
        <sz val="9"/>
        <color theme="1"/>
        <rFont val="微软雅黑"/>
        <family val="2"/>
        <charset val="134"/>
      </rPr>
      <t>土地税</t>
    </r>
    <phoneticPr fontId="6" type="noConversion"/>
  </si>
  <si>
    <t>二、基础资产经营性净现金流</t>
    <phoneticPr fontId="146" type="noConversion"/>
  </si>
  <si>
    <t>折现率</t>
    <phoneticPr fontId="272" type="noConversion"/>
  </si>
  <si>
    <t>折现年度</t>
    <phoneticPr fontId="272" type="noConversion"/>
  </si>
  <si>
    <t>序号</t>
    <phoneticPr fontId="146" type="noConversion"/>
  </si>
  <si>
    <t>楼层</t>
    <phoneticPr fontId="146" type="noConversion"/>
  </si>
  <si>
    <t>租户</t>
    <phoneticPr fontId="146" type="noConversion"/>
  </si>
  <si>
    <t>租赁期</t>
    <phoneticPr fontId="146" type="noConversion"/>
  </si>
  <si>
    <t>起</t>
    <phoneticPr fontId="146" type="noConversion"/>
  </si>
  <si>
    <t>止</t>
    <phoneticPr fontId="146" type="noConversion"/>
  </si>
  <si>
    <t>南洋商业银行（中国）有限公司北京分行</t>
    <phoneticPr fontId="146" type="noConversion"/>
  </si>
  <si>
    <t>中建交通建设集团有限公司</t>
    <phoneticPr fontId="146" type="noConversion"/>
  </si>
  <si>
    <t>北京继教网教育科技发展有限公司</t>
    <phoneticPr fontId="146" type="noConversion"/>
  </si>
  <si>
    <r>
      <t>2</t>
    </r>
    <r>
      <rPr>
        <sz val="11"/>
        <color theme="1"/>
        <rFont val="宋体"/>
        <family val="3"/>
        <charset val="134"/>
        <scheme val="minor"/>
      </rPr>
      <t>2个</t>
    </r>
    <phoneticPr fontId="146" type="noConversion"/>
  </si>
  <si>
    <t>面积/平方米</t>
    <phoneticPr fontId="146" type="noConversion"/>
  </si>
  <si>
    <t>1、2层</t>
  </si>
  <si>
    <t>精装修</t>
    <phoneticPr fontId="34" type="noConversion"/>
  </si>
  <si>
    <t>钢混</t>
    <phoneticPr fontId="34" type="noConversion"/>
  </si>
  <si>
    <t>六通</t>
    <phoneticPr fontId="34" type="noConversion"/>
  </si>
  <si>
    <t>可餐饮</t>
    <phoneticPr fontId="34" type="noConversion"/>
  </si>
  <si>
    <t>不可餐饮</t>
    <phoneticPr fontId="34" type="noConversion"/>
  </si>
  <si>
    <t>简装</t>
    <phoneticPr fontId="34" type="noConversion"/>
  </si>
  <si>
    <t>独立商业</t>
    <phoneticPr fontId="34" type="noConversion"/>
  </si>
  <si>
    <t>写字楼配套商业</t>
  </si>
  <si>
    <t>写字楼配套商业</t>
    <phoneticPr fontId="34" type="noConversion"/>
  </si>
  <si>
    <t>住宅配套商业</t>
    <phoneticPr fontId="34" type="noConversion"/>
  </si>
  <si>
    <t>车库</t>
    <phoneticPr fontId="35" type="noConversion"/>
  </si>
  <si>
    <t>精装修</t>
    <phoneticPr fontId="35" type="noConversion"/>
  </si>
  <si>
    <t>机械车位</t>
    <phoneticPr fontId="35" type="noConversion"/>
  </si>
  <si>
    <t>平面车位</t>
  </si>
  <si>
    <t>平面车位</t>
    <phoneticPr fontId="35" type="noConversion"/>
  </si>
  <si>
    <t>国际财经中心</t>
    <phoneticPr fontId="6" type="noConversion"/>
  </si>
  <si>
    <t>国际财经中心</t>
    <phoneticPr fontId="6" type="noConversion"/>
  </si>
  <si>
    <t>合计</t>
    <phoneticPr fontId="272" type="noConversion"/>
  </si>
  <si>
    <t>小计</t>
    <phoneticPr fontId="272" type="noConversion"/>
  </si>
  <si>
    <t>钢筋混凝土</t>
    <phoneticPr fontId="272" type="noConversion"/>
  </si>
  <si>
    <t>车位</t>
    <phoneticPr fontId="272" type="noConversion"/>
  </si>
  <si>
    <t>110108005001GB00163F00010290</t>
  </si>
  <si>
    <t>海淀区西四环北路160号-1层-1217</t>
  </si>
  <si>
    <t>北京碧生源物业管理有限公司</t>
    <phoneticPr fontId="272" type="noConversion"/>
  </si>
  <si>
    <t>京（2017）海不动产权第0057295号</t>
    <phoneticPr fontId="272" type="noConversion"/>
  </si>
  <si>
    <t>110108005001GB00163F00010289</t>
  </si>
  <si>
    <t>海淀区西四环北路160号-1层-1216</t>
  </si>
  <si>
    <t>京（2017）海不动产权第0057301号</t>
    <phoneticPr fontId="272" type="noConversion"/>
  </si>
  <si>
    <t>110108005001GB00163F00010288</t>
  </si>
  <si>
    <t>海淀区西四环北路160号-1层-1215</t>
    <phoneticPr fontId="272" type="noConversion"/>
  </si>
  <si>
    <t>京（2017）海不动产权第0056440号</t>
    <phoneticPr fontId="272" type="noConversion"/>
  </si>
  <si>
    <t>110108005001GB00163F00010287</t>
  </si>
  <si>
    <t>海淀区西四环北路160号-1层-1212</t>
  </si>
  <si>
    <t>京（2017）海不动产权第0056422号</t>
    <phoneticPr fontId="272" type="noConversion"/>
  </si>
  <si>
    <t>钢筋混凝土</t>
    <phoneticPr fontId="272" type="noConversion"/>
  </si>
  <si>
    <t>车位</t>
    <phoneticPr fontId="272" type="noConversion"/>
  </si>
  <si>
    <t>110108005001GB00163F00010286</t>
  </si>
  <si>
    <t>海淀区西四环北路160号-1层-1211</t>
  </si>
  <si>
    <t>北京碧生源物业管理有限公司</t>
    <phoneticPr fontId="272" type="noConversion"/>
  </si>
  <si>
    <t>京（2017）海不动产权第0056424号</t>
    <phoneticPr fontId="272" type="noConversion"/>
  </si>
  <si>
    <t>钢筋混凝土</t>
    <phoneticPr fontId="272" type="noConversion"/>
  </si>
  <si>
    <t>车位</t>
    <phoneticPr fontId="272" type="noConversion"/>
  </si>
  <si>
    <t>110108005001GB00163F00010285</t>
    <phoneticPr fontId="272" type="noConversion"/>
  </si>
  <si>
    <t>海淀区西四环北路160号-1层-1210</t>
  </si>
  <si>
    <t>京（2017）海不动产权第0056426号</t>
    <phoneticPr fontId="272" type="noConversion"/>
  </si>
  <si>
    <t>110108005001GB00163F00010283</t>
  </si>
  <si>
    <t>海淀区西四环北路160号-1层-1209</t>
  </si>
  <si>
    <t>京（2017）海不动产权第0056425号</t>
    <phoneticPr fontId="272" type="noConversion"/>
  </si>
  <si>
    <t>110108005001GB00163F00010282</t>
  </si>
  <si>
    <t>海淀区西四环北路160号-1层-1208</t>
  </si>
  <si>
    <t>京（2017）海不动产权第0057644号</t>
    <phoneticPr fontId="272" type="noConversion"/>
  </si>
  <si>
    <t>110108005001GB00163F00010281</t>
    <phoneticPr fontId="272" type="noConversion"/>
  </si>
  <si>
    <t>海淀区西四环北路160号-1层-1207</t>
    <phoneticPr fontId="272" type="noConversion"/>
  </si>
  <si>
    <t>京（2017）海不动产权第0057643号</t>
    <phoneticPr fontId="272" type="noConversion"/>
  </si>
  <si>
    <t>110108005001GB00163F00010280</t>
  </si>
  <si>
    <t>海淀区西四环北路160号-1层-1206</t>
  </si>
  <si>
    <t>京（2017）海不动产权第0057646号</t>
    <phoneticPr fontId="272" type="noConversion"/>
  </si>
  <si>
    <t>110108005001GB00163F00010279</t>
  </si>
  <si>
    <t>海淀区西四环北路160号-1层-1205</t>
  </si>
  <si>
    <t>京（2017）海不动产权第0057635号</t>
    <phoneticPr fontId="272" type="noConversion"/>
  </si>
  <si>
    <t>110108005001GB00163F00010278</t>
  </si>
  <si>
    <t>海淀区西四环北路160号-1层-1203</t>
  </si>
  <si>
    <t>京（2017）海不动产权第0057639号</t>
    <phoneticPr fontId="272" type="noConversion"/>
  </si>
  <si>
    <t>110108005001GB00163F00010277</t>
  </si>
  <si>
    <t>海淀区西四环北路160号-1层-1202</t>
  </si>
  <si>
    <t>京（2017）海不动产权第0056384号</t>
    <phoneticPr fontId="272" type="noConversion"/>
  </si>
  <si>
    <t>110108005001GB00163F00010276</t>
  </si>
  <si>
    <t>海淀区西四环北路160号-1层-1201</t>
  </si>
  <si>
    <t>京（2017）海不动产权第0056442号</t>
    <phoneticPr fontId="272" type="noConversion"/>
  </si>
  <si>
    <t>110108005001GB00163F00010275</t>
    <phoneticPr fontId="272" type="noConversion"/>
  </si>
  <si>
    <t>海淀区西四环北路160号-1层-1200</t>
  </si>
  <si>
    <t>京（2017）海不动产权第0056377号</t>
    <phoneticPr fontId="272" type="noConversion"/>
  </si>
  <si>
    <t>110108005001GB00163F00010273</t>
  </si>
  <si>
    <t>海淀区西四环北路160号-1层-1199</t>
  </si>
  <si>
    <t>京（2017）海不动产权第0058317号</t>
    <phoneticPr fontId="272" type="noConversion"/>
  </si>
  <si>
    <t>110108005001GB00163F00010272</t>
    <phoneticPr fontId="272" type="noConversion"/>
  </si>
  <si>
    <t>海淀区西四环北路160号-1层-1198</t>
    <phoneticPr fontId="272" type="noConversion"/>
  </si>
  <si>
    <t>京（2017）海不动产权第0056415号</t>
    <phoneticPr fontId="272" type="noConversion"/>
  </si>
  <si>
    <t>110108005001GB00163F00010186</t>
  </si>
  <si>
    <t>海淀区西四环北路160号-1层-1109</t>
  </si>
  <si>
    <t>京（2017）海不动产权第0056389号</t>
    <phoneticPr fontId="272" type="noConversion"/>
  </si>
  <si>
    <t>110108005001GB00163F00010185</t>
  </si>
  <si>
    <t>海淀区西四环北路160号-1层-1108</t>
  </si>
  <si>
    <t>京（2017）海不动产权第0056387号</t>
    <phoneticPr fontId="272" type="noConversion"/>
  </si>
  <si>
    <t>110108005001GB00163F00010184</t>
  </si>
  <si>
    <t>海淀区西四环北路160号-1层-1107</t>
  </si>
  <si>
    <t>京（2017）海不动产权第0056397号</t>
    <phoneticPr fontId="272" type="noConversion"/>
  </si>
  <si>
    <t>110108005001GB00163F00010183</t>
  </si>
  <si>
    <t>海淀区西四环北路160号-1层-1106</t>
  </si>
  <si>
    <t>京（2017）海不动产权第0056361号</t>
    <phoneticPr fontId="272" type="noConversion"/>
  </si>
  <si>
    <t>110108005001GB00163F00010182</t>
  </si>
  <si>
    <t>海淀区西四环北路160号-1层-1105</t>
    <phoneticPr fontId="272" type="noConversion"/>
  </si>
  <si>
    <t>京（2017）海不动产权第0056400号</t>
    <phoneticPr fontId="272" type="noConversion"/>
  </si>
  <si>
    <t>110108005001GB00163F00010181</t>
    <phoneticPr fontId="272" type="noConversion"/>
  </si>
  <si>
    <t>海淀区西四环北路160号-1层-1103</t>
    <phoneticPr fontId="272" type="noConversion"/>
  </si>
  <si>
    <t>京（2017）海不动产权第0056348号</t>
    <phoneticPr fontId="272" type="noConversion"/>
  </si>
  <si>
    <t>小计</t>
    <phoneticPr fontId="272" type="noConversion"/>
  </si>
  <si>
    <t>办公</t>
    <phoneticPr fontId="272" type="noConversion"/>
  </si>
  <si>
    <t>110108005001GB00163F00010904</t>
  </si>
  <si>
    <t>海淀区西四环北路160号11层二区1119</t>
  </si>
  <si>
    <t>京（2017）海不动产权第0056365号</t>
    <phoneticPr fontId="272" type="noConversion"/>
  </si>
  <si>
    <t>110108005001GB00163F00010903</t>
  </si>
  <si>
    <t>海淀区西四环北路160号11层二区1118</t>
  </si>
  <si>
    <t>京（2017）海不动产权第0057290号</t>
    <phoneticPr fontId="272" type="noConversion"/>
  </si>
  <si>
    <t>110108005001GB00163F00010902</t>
  </si>
  <si>
    <t>海淀区西四环北路160号11层二区1117</t>
  </si>
  <si>
    <t>京（2017）海不动产权第0057299号</t>
    <phoneticPr fontId="272" type="noConversion"/>
  </si>
  <si>
    <t>110108005001GB00163F00010901</t>
  </si>
  <si>
    <t>海淀区西四环北路160号11层二区1116</t>
  </si>
  <si>
    <t>京（2017）海不动产权第0057298号</t>
    <phoneticPr fontId="272" type="noConversion"/>
  </si>
  <si>
    <t>110108005001GB00163F00010900</t>
  </si>
  <si>
    <t>海淀区西四环北路160号11层二区1115</t>
    <phoneticPr fontId="272" type="noConversion"/>
  </si>
  <si>
    <t>京（2017）海不动产权第0057289号</t>
    <phoneticPr fontId="272" type="noConversion"/>
  </si>
  <si>
    <t>钢筋混凝土</t>
    <phoneticPr fontId="272" type="noConversion"/>
  </si>
  <si>
    <t>办公</t>
    <phoneticPr fontId="272" type="noConversion"/>
  </si>
  <si>
    <t>110108005001GB00163F00010899</t>
  </si>
  <si>
    <t>海淀区西四环北路160号11层二区1112</t>
  </si>
  <si>
    <t>北京碧生源物业管理有限公司</t>
    <phoneticPr fontId="272" type="noConversion"/>
  </si>
  <si>
    <t>京（2017）海不动产权第0057292号</t>
    <phoneticPr fontId="272" type="noConversion"/>
  </si>
  <si>
    <t>110108005001GB00163F00010898</t>
  </si>
  <si>
    <t>海淀区西四环北路160号11层二区1111</t>
  </si>
  <si>
    <t>京（2017）海不动产权第0057287号</t>
    <phoneticPr fontId="272" type="noConversion"/>
  </si>
  <si>
    <t>110108005001GB00163F00010897</t>
    <phoneticPr fontId="272" type="noConversion"/>
  </si>
  <si>
    <t>海淀区西四环北路160号11层二区1110</t>
    <phoneticPr fontId="272" type="noConversion"/>
  </si>
  <si>
    <t>京（2017）海不动产权第0057297号</t>
    <phoneticPr fontId="272" type="noConversion"/>
  </si>
  <si>
    <t>110108005001GB00163F00010896</t>
  </si>
  <si>
    <t>海淀区西四环北路160号11层二区1109</t>
  </si>
  <si>
    <t>京（2017）海不动产权第0057300号</t>
    <phoneticPr fontId="272" type="noConversion"/>
  </si>
  <si>
    <t>110108005001GB00163F00010895</t>
  </si>
  <si>
    <t>海淀区西四环北路160号11层二区1108</t>
  </si>
  <si>
    <t>京（2017）海不动产权第0056385号</t>
    <phoneticPr fontId="272" type="noConversion"/>
  </si>
  <si>
    <t>110108005001GB00163F00010894</t>
  </si>
  <si>
    <t>海淀区西四环北路160号11层二区1107</t>
    <phoneticPr fontId="272" type="noConversion"/>
  </si>
  <si>
    <t>京（2017）海不动产权第0056393号</t>
    <phoneticPr fontId="272" type="noConversion"/>
  </si>
  <si>
    <t>110108005001GB00163F00010854</t>
  </si>
  <si>
    <t>海淀区西四环北路160号10层二区1019</t>
  </si>
  <si>
    <t>京（2017）海不动产权第0057629号</t>
    <phoneticPr fontId="272" type="noConversion"/>
  </si>
  <si>
    <t>110108005001GB00163F00010853</t>
  </si>
  <si>
    <t>海淀区西四环北路160号10层二区1018</t>
  </si>
  <si>
    <t>京（2017）海不动产权第0056355号</t>
    <phoneticPr fontId="272" type="noConversion"/>
  </si>
  <si>
    <t>110108005001GB00163F00010852</t>
  </si>
  <si>
    <t>海淀区西四环北路160号10层二区1017</t>
  </si>
  <si>
    <t>京（2017）海不动产权第0056321号</t>
    <phoneticPr fontId="272" type="noConversion"/>
  </si>
  <si>
    <t>110108005001GB00163F00010851</t>
  </si>
  <si>
    <t>海淀区西四环北路160号10层二区1016</t>
  </si>
  <si>
    <t>京（2017）海不动产权第0056381号</t>
    <phoneticPr fontId="272" type="noConversion"/>
  </si>
  <si>
    <t>110108005001GB00163F00010850</t>
  </si>
  <si>
    <t>海淀区西四环北路160号10层二区1015</t>
    <phoneticPr fontId="272" type="noConversion"/>
  </si>
  <si>
    <t>京（2017）海不动产权第0057291号</t>
    <phoneticPr fontId="272" type="noConversion"/>
  </si>
  <si>
    <t>110108005001GB00163F00010849</t>
  </si>
  <si>
    <t>海淀区西四环北路160号10层二区1012</t>
  </si>
  <si>
    <t>京（2017）海不动产权第0056392号</t>
    <phoneticPr fontId="272" type="noConversion"/>
  </si>
  <si>
    <t>110108005001GB00163F00010848</t>
  </si>
  <si>
    <t>海淀区西四环北路160号10层二区1011</t>
  </si>
  <si>
    <t>京（2017）海不动产权第0056430号</t>
    <phoneticPr fontId="272" type="noConversion"/>
  </si>
  <si>
    <t>110108005001GB00163F00010847</t>
  </si>
  <si>
    <t>海淀区西四环北路160号10层二区1010</t>
  </si>
  <si>
    <t>京（2017）海不动产权第0056408号</t>
    <phoneticPr fontId="272" type="noConversion"/>
  </si>
  <si>
    <t>110108005001GB00163F00010846</t>
  </si>
  <si>
    <t>海淀区西四环北路160号10层二区1009</t>
  </si>
  <si>
    <t>京（2017）海不动产权第0056404号</t>
    <phoneticPr fontId="272" type="noConversion"/>
  </si>
  <si>
    <t>110108005001GB00163F00010845</t>
  </si>
  <si>
    <t>海淀区西四环北路160号10层二区1008</t>
  </si>
  <si>
    <t>京（2017）海不动产权第0056402号</t>
    <phoneticPr fontId="272" type="noConversion"/>
  </si>
  <si>
    <t>110108005001GB00163F00010844</t>
    <phoneticPr fontId="272" type="noConversion"/>
  </si>
  <si>
    <t>海淀区西四环北路160号10层二区1007</t>
    <phoneticPr fontId="272" type="noConversion"/>
  </si>
  <si>
    <t>京（2017）海不动产权第0056399号</t>
    <phoneticPr fontId="272" type="noConversion"/>
  </si>
  <si>
    <t>110108005001GB00163F00010802</t>
  </si>
  <si>
    <t>海淀区西四环北路160号9层二区938</t>
  </si>
  <si>
    <t>京（2017）海不动产权第0056396号</t>
    <phoneticPr fontId="272" type="noConversion"/>
  </si>
  <si>
    <t>110108005001GB00163F00010801</t>
  </si>
  <si>
    <t>海淀区西四环北路160号9层二区937</t>
  </si>
  <si>
    <t>京（2017）海不动产权第0056390号</t>
    <phoneticPr fontId="272" type="noConversion"/>
  </si>
  <si>
    <t>110108005001GB00163F00010800</t>
  </si>
  <si>
    <t>海淀区西四环北路160号9层二区936</t>
  </si>
  <si>
    <t>京（2017）海不动产权第0056431号</t>
    <phoneticPr fontId="272" type="noConversion"/>
  </si>
  <si>
    <t>110108005001GB00163F00010799</t>
  </si>
  <si>
    <t>海淀区西四环北路160号9层二区935</t>
    <phoneticPr fontId="272" type="noConversion"/>
  </si>
  <si>
    <t>京（2017）海不动产权第0056192号</t>
    <phoneticPr fontId="272" type="noConversion"/>
  </si>
  <si>
    <t>110108005001GB00163F00010798</t>
  </si>
  <si>
    <t>海淀区西四环北路160号9层二区933</t>
  </si>
  <si>
    <t>京（2017）海不动产权第0056359号</t>
    <phoneticPr fontId="272" type="noConversion"/>
  </si>
  <si>
    <t>110108005001GB00163F00010797</t>
  </si>
  <si>
    <t>海淀区西四环北路160号9层二区932</t>
  </si>
  <si>
    <t>京（2017）海不动产权第0056383号</t>
    <phoneticPr fontId="272" type="noConversion"/>
  </si>
  <si>
    <t>110108005001GB00163F00010796</t>
  </si>
  <si>
    <t>海淀区西四环北路160号9层二区931</t>
  </si>
  <si>
    <t>京（2017）海不动产权第0056379号</t>
    <phoneticPr fontId="272" type="noConversion"/>
  </si>
  <si>
    <t>110108005001GB00163F00010795</t>
  </si>
  <si>
    <t>海淀区西四环北路160号9层二区930</t>
  </si>
  <si>
    <t>京（2017）海不动产权第0056193号</t>
    <phoneticPr fontId="272" type="noConversion"/>
  </si>
  <si>
    <t>110108005001GB00163F00010794</t>
  </si>
  <si>
    <t>海淀区西四环北路160号9层二区929</t>
  </si>
  <si>
    <t>京（2017）海不动产权第0056434号</t>
    <phoneticPr fontId="272" type="noConversion"/>
  </si>
  <si>
    <t>110108005001GB00163F00010793</t>
  </si>
  <si>
    <t>海淀区西四环北路160号9层二区928</t>
  </si>
  <si>
    <t>京（2017）海不动产权第0056386号</t>
    <phoneticPr fontId="272" type="noConversion"/>
  </si>
  <si>
    <t>110108005001GB00163F00010792</t>
    <phoneticPr fontId="272" type="noConversion"/>
  </si>
  <si>
    <t>海淀区西四环北路160号9层二区927</t>
    <phoneticPr fontId="272" type="noConversion"/>
  </si>
  <si>
    <t>京（2017）海不动产权第0056367号</t>
    <phoneticPr fontId="272" type="noConversion"/>
  </si>
  <si>
    <t>110108005001GB00163F00010734</t>
  </si>
  <si>
    <t>海淀区西四环北路160号8层二区838</t>
  </si>
  <si>
    <t>京（2017）海不动产权第0056174号</t>
    <phoneticPr fontId="272" type="noConversion"/>
  </si>
  <si>
    <t>110108005001GB00163F00010733</t>
  </si>
  <si>
    <t>海淀区西四环北路160号8层二区837</t>
  </si>
  <si>
    <t>京（2017）海不动产权第0056437号</t>
    <phoneticPr fontId="272" type="noConversion"/>
  </si>
  <si>
    <t>110108005001GB00163F00010732</t>
  </si>
  <si>
    <t>海淀区西四环北路160号8层二区836</t>
  </si>
  <si>
    <t>京（2017）海不动产权第0056421号</t>
    <phoneticPr fontId="272" type="noConversion"/>
  </si>
  <si>
    <t>110108005001GB00163F00010731</t>
  </si>
  <si>
    <t>海淀区西四环北路160号8层二区835</t>
    <phoneticPr fontId="272" type="noConversion"/>
  </si>
  <si>
    <t>京（2017）海不动产权第0056428号</t>
    <phoneticPr fontId="272" type="noConversion"/>
  </si>
  <si>
    <t>110108005001GB00163F00010730</t>
  </si>
  <si>
    <t>海淀区西四环北路160号8层二区833</t>
  </si>
  <si>
    <t>京（2017）海不动产权第0056175号</t>
    <phoneticPr fontId="272" type="noConversion"/>
  </si>
  <si>
    <t>110108005001GB00163F00010729</t>
  </si>
  <si>
    <t>海淀区西四环北路160号8层二区832</t>
  </si>
  <si>
    <t>京（2017）海不动产权第0056182号</t>
    <phoneticPr fontId="272" type="noConversion"/>
  </si>
  <si>
    <t>110108005001GB00163F00010728</t>
  </si>
  <si>
    <t>海淀区西四环北路160号8层二区831</t>
  </si>
  <si>
    <t>京（2017）海不动产权第0056371号</t>
    <phoneticPr fontId="272" type="noConversion"/>
  </si>
  <si>
    <t>110108005001GB00163F00010727</t>
  </si>
  <si>
    <t>海淀区西四环北路160号8层二区830</t>
  </si>
  <si>
    <t>京（2017）海不动产权第0056120号</t>
    <phoneticPr fontId="272" type="noConversion"/>
  </si>
  <si>
    <t>110108005001GB00163F00010726</t>
  </si>
  <si>
    <t>海淀区西四环北路160号8层二区829</t>
  </si>
  <si>
    <t>京（2017）海不动产权第0056121号</t>
    <phoneticPr fontId="272" type="noConversion"/>
  </si>
  <si>
    <t>110108005001GB00163F00010725</t>
  </si>
  <si>
    <t>海淀区西四环北路160号8层二区828</t>
  </si>
  <si>
    <t>京（2017）海不动产权第0056127号</t>
    <phoneticPr fontId="272" type="noConversion"/>
  </si>
  <si>
    <t>110108005001GB00163F00010724</t>
    <phoneticPr fontId="272" type="noConversion"/>
  </si>
  <si>
    <t>海淀区西四环北路160号8层二区827</t>
    <phoneticPr fontId="272" type="noConversion"/>
  </si>
  <si>
    <t>110108005001GB00163F00010666</t>
  </si>
  <si>
    <t>海淀区西四环北路160号7层二区738</t>
  </si>
  <si>
    <t>京（2017）海不动产权第0056128号</t>
    <phoneticPr fontId="272" type="noConversion"/>
  </si>
  <si>
    <t>110108005001GB00163F00010665</t>
  </si>
  <si>
    <t>海淀区西四环北路160号7层二区737</t>
  </si>
  <si>
    <t>京（2017）海不动产权第0056374号</t>
    <phoneticPr fontId="272" type="noConversion"/>
  </si>
  <si>
    <t>110108005001GB00163F00010664</t>
  </si>
  <si>
    <t>海淀区西四环北路160号7层二区736</t>
  </si>
  <si>
    <t>京（2017）海不动产权第0056378号</t>
    <phoneticPr fontId="272" type="noConversion"/>
  </si>
  <si>
    <t>110108005001GB00163F00010663</t>
  </si>
  <si>
    <t>海淀区西四环北路160号7层二区735</t>
    <phoneticPr fontId="272" type="noConversion"/>
  </si>
  <si>
    <t>京（2017）海不动产权第0056347号</t>
    <phoneticPr fontId="272" type="noConversion"/>
  </si>
  <si>
    <t>110108005001GB00163F00010662</t>
  </si>
  <si>
    <t>海淀区西四环北路160号7层二区733</t>
  </si>
  <si>
    <t>京（2017）海不动产权第0056372号</t>
    <phoneticPr fontId="272" type="noConversion"/>
  </si>
  <si>
    <t>110108005001GB00163F00010661</t>
  </si>
  <si>
    <t>海淀区西四环北路160号7层二区732</t>
  </si>
  <si>
    <t>京（2017）海不动产权第0056129号</t>
    <phoneticPr fontId="272" type="noConversion"/>
  </si>
  <si>
    <t>110108005001GB00163F00010660</t>
  </si>
  <si>
    <t>海淀区西四环北路160号7层二区731</t>
  </si>
  <si>
    <t>京（2017）海不动产权第0056130号</t>
    <phoneticPr fontId="272" type="noConversion"/>
  </si>
  <si>
    <t>110108005001GB00163F00010659</t>
  </si>
  <si>
    <t>海淀区西四环北路160号7层二区730</t>
  </si>
  <si>
    <t>京（2017）海不动产权第0056122号</t>
    <phoneticPr fontId="272" type="noConversion"/>
  </si>
  <si>
    <t>110108005001GB00163F00010658</t>
  </si>
  <si>
    <t>海淀区西四环北路160号7层二区729</t>
  </si>
  <si>
    <t>京（2017）海不动产权第0056131号</t>
    <phoneticPr fontId="272" type="noConversion"/>
  </si>
  <si>
    <t>110108005001GB00163F00010657</t>
  </si>
  <si>
    <t>海淀区西四环北路160号7层二区728</t>
  </si>
  <si>
    <t>京（2017）海不动产权第0056126号</t>
    <phoneticPr fontId="272" type="noConversion"/>
  </si>
  <si>
    <t>110108005001GB00163F00010656</t>
    <phoneticPr fontId="272" type="noConversion"/>
  </si>
  <si>
    <t>海淀区西四环北路160号7层二区727</t>
    <phoneticPr fontId="272" type="noConversion"/>
  </si>
  <si>
    <t>京（2017）海不动产权第0056388号</t>
    <phoneticPr fontId="272" type="noConversion"/>
  </si>
  <si>
    <t>110108005001GB00163F00010598</t>
  </si>
  <si>
    <t>海淀区西四环北路160号6层二区638</t>
  </si>
  <si>
    <t>京（2017）海不动产权第0056411号</t>
    <phoneticPr fontId="272" type="noConversion"/>
  </si>
  <si>
    <t>110108005001GB00163F00010597</t>
  </si>
  <si>
    <t>海淀区西四环北路160号6层二区637</t>
  </si>
  <si>
    <t>京（2017）海不动产权第0056353号</t>
    <phoneticPr fontId="272" type="noConversion"/>
  </si>
  <si>
    <t>110108005001GB00163F00010596</t>
  </si>
  <si>
    <t>海淀区西四环北路160号6层二区636</t>
  </si>
  <si>
    <t>京（2017）海不动产权第0056412号</t>
    <phoneticPr fontId="272" type="noConversion"/>
  </si>
  <si>
    <t>110108005001GB00163F00010595</t>
  </si>
  <si>
    <t>海淀区西四环北路160号6层二区635</t>
    <phoneticPr fontId="272" type="noConversion"/>
  </si>
  <si>
    <t>京（2017）海不动产权第0056350号</t>
    <phoneticPr fontId="272" type="noConversion"/>
  </si>
  <si>
    <t>110108005001GB00163F00010594</t>
  </si>
  <si>
    <t>海淀区西四环北路160号6层二区633</t>
  </si>
  <si>
    <t>京（2017）海不动产权第0056405号</t>
    <phoneticPr fontId="272" type="noConversion"/>
  </si>
  <si>
    <t>110108005001GB00163F00010593</t>
  </si>
  <si>
    <t>海淀区西四环北路160号6层二区632</t>
  </si>
  <si>
    <t>京（2017）海不动产权第0056414号</t>
    <phoneticPr fontId="272" type="noConversion"/>
  </si>
  <si>
    <t>110108005001GB00163F00010592</t>
  </si>
  <si>
    <t>海淀区西四环北路160号6层二区631</t>
  </si>
  <si>
    <t>京（2017）海不动产权第0056394号</t>
    <phoneticPr fontId="272" type="noConversion"/>
  </si>
  <si>
    <t>110108005001GB00163F00010591</t>
  </si>
  <si>
    <t>海淀区西四环北路160号6层二区630</t>
  </si>
  <si>
    <t>京（2017）海不动产权第0056357号</t>
    <phoneticPr fontId="272" type="noConversion"/>
  </si>
  <si>
    <t>110108005001GB00163F00010590</t>
  </si>
  <si>
    <t>海淀区西四环北路160号6层二区629</t>
  </si>
  <si>
    <t>京（2017）海不动产权第0056382号</t>
    <phoneticPr fontId="272" type="noConversion"/>
  </si>
  <si>
    <t>110108005001GB00163F00010589</t>
  </si>
  <si>
    <t>海淀区西四环北路160号6层二区628</t>
  </si>
  <si>
    <t>京（2017）海不动产权第0056391号</t>
    <phoneticPr fontId="272" type="noConversion"/>
  </si>
  <si>
    <t>110108005001GB00163F00010588</t>
    <phoneticPr fontId="272" type="noConversion"/>
  </si>
  <si>
    <t>海淀区西四环北路160号6层二区627</t>
    <phoneticPr fontId="272" type="noConversion"/>
  </si>
  <si>
    <t>京（2017）海不动产权第0056376号</t>
    <phoneticPr fontId="272" type="noConversion"/>
  </si>
  <si>
    <t>110108005001GB00163F00010530</t>
  </si>
  <si>
    <t>海淀区西四环北路160号5层二区538</t>
  </si>
  <si>
    <t>京（2017）海不动产权第0056370号</t>
    <phoneticPr fontId="272" type="noConversion"/>
  </si>
  <si>
    <t>110108005001GB00163F00010529</t>
  </si>
  <si>
    <t>海淀区西四环北路160号5层二区537</t>
  </si>
  <si>
    <t>京（2017）海不动产权第0056373号</t>
    <phoneticPr fontId="272" type="noConversion"/>
  </si>
  <si>
    <t>110108005001GB00163F00010528</t>
  </si>
  <si>
    <t>海淀区西四环北路160号5层二区536</t>
  </si>
  <si>
    <t>京（2017）海不动产权第0056380号</t>
    <phoneticPr fontId="272" type="noConversion"/>
  </si>
  <si>
    <t>110108005001GB00163F00010527</t>
  </si>
  <si>
    <t>海淀区西四环北路160号5层二区535</t>
    <phoneticPr fontId="272" type="noConversion"/>
  </si>
  <si>
    <t>京（2017）海不动产权第0056362号</t>
    <phoneticPr fontId="272" type="noConversion"/>
  </si>
  <si>
    <t>110108005001GB00163F00010526</t>
  </si>
  <si>
    <t>海淀区西四环北路160号5层二区533</t>
  </si>
  <si>
    <t>京（2017）海不动产权第0056436号</t>
    <phoneticPr fontId="272" type="noConversion"/>
  </si>
  <si>
    <t>110108005001GB00163F00010525</t>
  </si>
  <si>
    <t>海淀区西四环北路160号5层二区532</t>
  </si>
  <si>
    <t>京（2017）海不动产权第0056398号</t>
    <phoneticPr fontId="272" type="noConversion"/>
  </si>
  <si>
    <t>110108005001GB00163F00010524</t>
  </si>
  <si>
    <t>海淀区西四环北路160号5层二区531</t>
  </si>
  <si>
    <t>京（2017）海不动产权第0056403号</t>
    <phoneticPr fontId="272" type="noConversion"/>
  </si>
  <si>
    <t>110108005001GB00163F00010523</t>
  </si>
  <si>
    <t>海淀区西四环北路160号5层二区530</t>
  </si>
  <si>
    <t>京（2017）海不动产权第0056410号</t>
    <phoneticPr fontId="272" type="noConversion"/>
  </si>
  <si>
    <t>110108005001GB00163F00010522</t>
  </si>
  <si>
    <t>海淀区西四环北路160号5层二区529</t>
  </si>
  <si>
    <t>京（2017）海不动产权第0056429号</t>
    <phoneticPr fontId="272" type="noConversion"/>
  </si>
  <si>
    <t>110108005001GB00163F00010521</t>
  </si>
  <si>
    <t>海淀区西四环北路160号5层二区528</t>
  </si>
  <si>
    <t>京（2017）海不动产权第0056416号</t>
    <phoneticPr fontId="272" type="noConversion"/>
  </si>
  <si>
    <t>110108005001GB00163F00010520</t>
    <phoneticPr fontId="272" type="noConversion"/>
  </si>
  <si>
    <t>海淀区西四环北路160号5层二区527</t>
    <phoneticPr fontId="272" type="noConversion"/>
  </si>
  <si>
    <t>京（2017）海不动产权第0056413号</t>
    <phoneticPr fontId="272" type="noConversion"/>
  </si>
  <si>
    <t>110108005001GB00163F00010462</t>
  </si>
  <si>
    <t>海淀区西四环北路160号4层二区441</t>
  </si>
  <si>
    <t>京（2017）海不动产权第0056420号</t>
    <phoneticPr fontId="272" type="noConversion"/>
  </si>
  <si>
    <t>110108005001GB00163F00010461</t>
  </si>
  <si>
    <t>海淀区西四环北路160号4层二区440</t>
  </si>
  <si>
    <t>京（2017）海不动产权第0056418号</t>
    <phoneticPr fontId="272" type="noConversion"/>
  </si>
  <si>
    <t>110108005001GB00163F00010460</t>
  </si>
  <si>
    <t>海淀区西四环北路160号4层二区439</t>
  </si>
  <si>
    <t>京（2017）海不动产权第0056358号</t>
    <phoneticPr fontId="272" type="noConversion"/>
  </si>
  <si>
    <t>110108005001GB00163F00010459</t>
  </si>
  <si>
    <t>海淀区西四环北路160号4层二区438</t>
  </si>
  <si>
    <t>京（2017）海不动产权第0056366号</t>
    <phoneticPr fontId="272" type="noConversion"/>
  </si>
  <si>
    <t>110108005001GB00163F00010458</t>
  </si>
  <si>
    <t>海淀区西四环北路160号4层二区437</t>
  </si>
  <si>
    <t>北京碧生源物业管理有限公司</t>
    <phoneticPr fontId="272" type="noConversion"/>
  </si>
  <si>
    <t>京（2017）海不动产权第0056432号</t>
    <phoneticPr fontId="272" type="noConversion"/>
  </si>
  <si>
    <t>钢筋混凝土</t>
    <phoneticPr fontId="272" type="noConversion"/>
  </si>
  <si>
    <t>办公</t>
    <phoneticPr fontId="272" type="noConversion"/>
  </si>
  <si>
    <t>110108005001GB00163F00010457</t>
  </si>
  <si>
    <t>海淀区西四环北路160号4层二区436</t>
    <phoneticPr fontId="272" type="noConversion"/>
  </si>
  <si>
    <t>京（2017）海不动产权第0056423号</t>
    <phoneticPr fontId="272" type="noConversion"/>
  </si>
  <si>
    <t>110108005001GB00163F00010456</t>
  </si>
  <si>
    <t>海淀区西四环北路160号4层二区435</t>
    <phoneticPr fontId="272" type="noConversion"/>
  </si>
  <si>
    <t>京（2017）海不动产权第0056427号</t>
    <phoneticPr fontId="272" type="noConversion"/>
  </si>
  <si>
    <t>110108005001GB00163F00010455</t>
  </si>
  <si>
    <t>海淀区西四环北路160号4层二区433</t>
  </si>
  <si>
    <t>京（2017）海不动产权第0056438号</t>
    <phoneticPr fontId="272" type="noConversion"/>
  </si>
  <si>
    <t>110108005001GB00163F00010454</t>
  </si>
  <si>
    <t>海淀区西四环北路160号4层二区432</t>
  </si>
  <si>
    <t>京（2017）海不动产权第0056346号</t>
    <phoneticPr fontId="272" type="noConversion"/>
  </si>
  <si>
    <t>110108005001GB00163F00010453</t>
  </si>
  <si>
    <t>海淀区西四环北路160号4层二区431</t>
  </si>
  <si>
    <t>京（2017）海不动产权第0056169号</t>
    <phoneticPr fontId="272" type="noConversion"/>
  </si>
  <si>
    <t>110108005001GB00163F00010452</t>
    <phoneticPr fontId="272" type="noConversion"/>
  </si>
  <si>
    <t>海淀区西四环北路160号4层二区430</t>
    <phoneticPr fontId="272" type="noConversion"/>
  </si>
  <si>
    <t>京（2017）海不动产权第0057286号</t>
    <phoneticPr fontId="272" type="noConversion"/>
  </si>
  <si>
    <t>110108005001GB00163F00010390</t>
  </si>
  <si>
    <t>海淀区西四环北路160号3层二区341</t>
  </si>
  <si>
    <t>京（2017）海不动产权第0056395号</t>
    <phoneticPr fontId="272" type="noConversion"/>
  </si>
  <si>
    <t>110108005001GB00163F00010389</t>
  </si>
  <si>
    <t>海淀区西四环北路160号3层二区340</t>
  </si>
  <si>
    <t>京（2017）海不动产权第0057288号</t>
    <phoneticPr fontId="272" type="noConversion"/>
  </si>
  <si>
    <t>110108005001GB00163F00010388</t>
  </si>
  <si>
    <t>海淀区西四环北路160号3层二区339</t>
  </si>
  <si>
    <t>京（2017）海不动产权第0056164号</t>
    <phoneticPr fontId="272" type="noConversion"/>
  </si>
  <si>
    <t>110108005001GB00163F00010387</t>
  </si>
  <si>
    <t>海淀区西四环北路160号3层二区338</t>
  </si>
  <si>
    <t>京（2017）海不动产权第0056352号</t>
    <phoneticPr fontId="272" type="noConversion"/>
  </si>
  <si>
    <t>110108005001GB00163F00010386</t>
  </si>
  <si>
    <t>海淀区西四环北路160号3层二区337</t>
  </si>
  <si>
    <t>京（2017）海不动产权第0056351号</t>
    <phoneticPr fontId="272" type="noConversion"/>
  </si>
  <si>
    <t>110108005001GB00163F00010385</t>
  </si>
  <si>
    <t>海淀区西四环北路160号3层二区336</t>
  </si>
  <si>
    <t>京（2017）海不动产权第0056364号</t>
    <phoneticPr fontId="272" type="noConversion"/>
  </si>
  <si>
    <t>110108005001GB00163F00010384</t>
  </si>
  <si>
    <t>海淀区西四环北路160号3层二区335</t>
    <phoneticPr fontId="272" type="noConversion"/>
  </si>
  <si>
    <t>京（2017）海不动产权第0056356号</t>
    <phoneticPr fontId="272" type="noConversion"/>
  </si>
  <si>
    <t>110108005001GB00163F00010383</t>
  </si>
  <si>
    <t>海淀区西四环北路160号3层二区333</t>
  </si>
  <si>
    <t>京（2017）海不动产权第0057597号</t>
    <phoneticPr fontId="272" type="noConversion"/>
  </si>
  <si>
    <t>110108005001GB00163F00010382</t>
  </si>
  <si>
    <t>海淀区西四环北路160号3层二区332</t>
  </si>
  <si>
    <t>京（2017）海不动产权第0056162号</t>
    <phoneticPr fontId="272" type="noConversion"/>
  </si>
  <si>
    <t>110108005001GB00163F00010381</t>
  </si>
  <si>
    <t>海淀区西四环北路160号3层二区331</t>
    <phoneticPr fontId="272" type="noConversion"/>
  </si>
  <si>
    <t>京（2017）海不动产权第0056159号</t>
    <phoneticPr fontId="272" type="noConversion"/>
  </si>
  <si>
    <t>110108005001GB00163F00010380</t>
    <phoneticPr fontId="272" type="noConversion"/>
  </si>
  <si>
    <t>海淀区西四环北路160号3层二区330</t>
    <phoneticPr fontId="272" type="noConversion"/>
  </si>
  <si>
    <t>京（2017）海不动产权第0056171号</t>
    <phoneticPr fontId="272" type="noConversion"/>
  </si>
  <si>
    <t>小计</t>
    <phoneticPr fontId="272" type="noConversion"/>
  </si>
  <si>
    <t>商业</t>
    <phoneticPr fontId="272" type="noConversion"/>
  </si>
  <si>
    <t>110108005001GB00163F00010335</t>
    <phoneticPr fontId="272" type="noConversion"/>
  </si>
  <si>
    <t>海淀区西四环北路160号2层二区206</t>
    <phoneticPr fontId="272" type="noConversion"/>
  </si>
  <si>
    <t>京（2017）海不动产权第0057296号</t>
    <phoneticPr fontId="272" type="noConversion"/>
  </si>
  <si>
    <t>110108005001GB00163F00010316</t>
    <phoneticPr fontId="272" type="noConversion"/>
  </si>
  <si>
    <t>海淀区西四环北路160号1层二区106</t>
    <phoneticPr fontId="272" type="noConversion"/>
  </si>
  <si>
    <t>京（2017）海不动产权第0052620号</t>
    <phoneticPr fontId="272" type="noConversion"/>
  </si>
  <si>
    <t>建筑面积</t>
    <phoneticPr fontId="272" type="noConversion"/>
  </si>
  <si>
    <t>房屋所在层</t>
    <phoneticPr fontId="272" type="noConversion"/>
  </si>
  <si>
    <t>房屋结构</t>
    <phoneticPr fontId="272" type="noConversion"/>
  </si>
  <si>
    <t>用途</t>
    <phoneticPr fontId="272" type="noConversion"/>
  </si>
  <si>
    <t>不动产单元号</t>
    <phoneticPr fontId="272" type="noConversion"/>
  </si>
  <si>
    <t>坐落</t>
    <phoneticPr fontId="272" type="noConversion"/>
  </si>
  <si>
    <t>权利人</t>
    <phoneticPr fontId="272" type="noConversion"/>
  </si>
  <si>
    <t>不动产权证号</t>
    <phoneticPr fontId="272" type="noConversion"/>
  </si>
  <si>
    <t>备注</t>
    <phoneticPr fontId="146" type="noConversion"/>
  </si>
  <si>
    <t>初始租金4.5，每两年调整一次（4.8、5.2）；不包含物业费等</t>
    <phoneticPr fontId="146" type="noConversion"/>
  </si>
  <si>
    <t>每年涨幅不低于5%</t>
    <phoneticPr fontId="146" type="noConversion"/>
  </si>
  <si>
    <t>北京澳特舒尔保健品开发有限公司</t>
    <phoneticPr fontId="146" type="noConversion"/>
  </si>
  <si>
    <t>北京澳特舒尔保健品开发有限公司</t>
    <phoneticPr fontId="146" type="noConversion"/>
  </si>
  <si>
    <t>租金无增长</t>
    <phoneticPr fontId="146" type="noConversion"/>
  </si>
  <si>
    <t>每年涨幅不低于5%</t>
    <phoneticPr fontId="146" type="noConversion"/>
  </si>
  <si>
    <t>2013-7-1至2016-6-30租金为9</t>
    <phoneticPr fontId="146" type="noConversion"/>
  </si>
  <si>
    <t>收益比率</t>
  </si>
  <si>
    <t>比较法-办公</t>
  </si>
  <si>
    <t>比较法-商业</t>
  </si>
  <si>
    <t>比较法-车位</t>
  </si>
  <si>
    <t>好</t>
  </si>
  <si>
    <t>京（2017）海不动产权第0058308号</t>
    <phoneticPr fontId="272" type="noConversion"/>
  </si>
  <si>
    <t>较好</t>
    <phoneticPr fontId="34" type="noConversion"/>
  </si>
  <si>
    <t>一般</t>
    <phoneticPr fontId="34" type="noConversion"/>
  </si>
  <si>
    <t>较差</t>
    <phoneticPr fontId="34" type="noConversion"/>
  </si>
  <si>
    <t>剩余年限</t>
    <phoneticPr fontId="34" type="noConversion"/>
  </si>
  <si>
    <t>快速路</t>
  </si>
  <si>
    <t>西四环北路</t>
    <phoneticPr fontId="35" type="noConversion"/>
  </si>
  <si>
    <t>较好</t>
    <phoneticPr fontId="34" type="noConversion"/>
  </si>
  <si>
    <t>较多</t>
  </si>
  <si>
    <t>较多</t>
    <phoneticPr fontId="34" type="noConversion"/>
  </si>
  <si>
    <t>较少</t>
    <phoneticPr fontId="34" type="noConversion"/>
  </si>
  <si>
    <t>西四环北路</t>
    <phoneticPr fontId="35" type="noConversion"/>
  </si>
  <si>
    <t>序号</t>
    <phoneticPr fontId="146" type="noConversion"/>
  </si>
  <si>
    <t>单面临街</t>
  </si>
  <si>
    <t>单面临街</t>
    <phoneticPr fontId="34" type="noConversion"/>
  </si>
  <si>
    <t>20-30（含）</t>
  </si>
  <si>
    <r>
      <rPr>
        <sz val="11"/>
        <rFont val="宋体"/>
        <family val="3"/>
        <charset val="134"/>
      </rPr>
      <t>国海广场竣工时间</t>
    </r>
    <r>
      <rPr>
        <sz val="11"/>
        <rFont val="Arial"/>
        <family val="2"/>
      </rPr>
      <t>2008</t>
    </r>
    <r>
      <rPr>
        <sz val="11"/>
        <rFont val="宋体"/>
        <family val="3"/>
        <charset val="134"/>
      </rPr>
      <t>年</t>
    </r>
    <phoneticPr fontId="34" type="noConversion"/>
  </si>
  <si>
    <t>新洲商务大厦</t>
    <phoneticPr fontId="34" type="noConversion"/>
  </si>
  <si>
    <r>
      <t>24</t>
    </r>
    <r>
      <rPr>
        <sz val="11"/>
        <rFont val="宋体"/>
        <family val="3"/>
        <charset val="134"/>
      </rPr>
      <t>（新洲商务大厦竣工时间</t>
    </r>
    <r>
      <rPr>
        <sz val="11"/>
        <rFont val="Arial"/>
        <family val="2"/>
      </rPr>
      <t>2000</t>
    </r>
    <r>
      <rPr>
        <sz val="11"/>
        <rFont val="宋体"/>
        <family val="3"/>
        <charset val="134"/>
      </rPr>
      <t>年）</t>
    </r>
    <phoneticPr fontId="34" type="noConversion"/>
  </si>
  <si>
    <t>慧科大厦</t>
    <phoneticPr fontId="6" type="noConversion"/>
  </si>
  <si>
    <r>
      <t xml:space="preserve">2053-7-5 </t>
    </r>
    <r>
      <rPr>
        <sz val="11"/>
        <color indexed="8"/>
        <rFont val="宋体"/>
        <family val="3"/>
        <charset val="134"/>
      </rPr>
      <t>剩</t>
    </r>
    <r>
      <rPr>
        <sz val="11"/>
        <color indexed="8"/>
        <rFont val="Arial"/>
        <family val="2"/>
      </rPr>
      <t>30+</t>
    </r>
    <phoneticPr fontId="35" type="noConversion"/>
  </si>
  <si>
    <t>独立商业</t>
  </si>
  <si>
    <t>复兴路42号</t>
    <phoneticPr fontId="34" type="noConversion"/>
  </si>
  <si>
    <t>国海大厦</t>
    <phoneticPr fontId="34" type="noConversion"/>
  </si>
  <si>
    <r>
      <rPr>
        <sz val="11"/>
        <color rgb="FFFF0000"/>
        <rFont val="宋体"/>
        <family val="3"/>
        <charset val="134"/>
      </rPr>
      <t>土地使用年限（年）</t>
    </r>
    <phoneticPr fontId="6" type="noConversion"/>
  </si>
  <si>
    <r>
      <rPr>
        <sz val="11"/>
        <color rgb="FFFF0000"/>
        <rFont val="宋体"/>
        <family val="3"/>
        <charset val="134"/>
      </rPr>
      <t>成新度</t>
    </r>
    <phoneticPr fontId="34" type="noConversion"/>
  </si>
  <si>
    <r>
      <rPr>
        <sz val="11"/>
        <rFont val="宋体"/>
        <family val="3"/>
        <charset val="134"/>
      </rPr>
      <t>单套建筑面积</t>
    </r>
    <phoneticPr fontId="34" type="noConversion"/>
  </si>
  <si>
    <r>
      <t>2</t>
    </r>
    <r>
      <rPr>
        <sz val="11"/>
        <color theme="1"/>
        <rFont val="宋体"/>
        <family val="3"/>
        <charset val="134"/>
        <scheme val="minor"/>
      </rPr>
      <t>017-9-20起租金由5调至5.5</t>
    </r>
    <phoneticPr fontId="146" type="noConversion"/>
  </si>
  <si>
    <t>北京市中关村小额贷款股份有限公司</t>
    <phoneticPr fontId="146" type="noConversion"/>
  </si>
  <si>
    <t>专业</t>
    <phoneticPr fontId="35" type="noConversion"/>
  </si>
  <si>
    <t>海淀区西三环北路87号</t>
    <phoneticPr fontId="6" type="noConversion"/>
  </si>
  <si>
    <t>2012-12-1至2014-11-30二层租金为7、六至八层为4.5；2014-12-1至2016-11-3二层租金为7.3、六至八层为4.8；不包含物业费等</t>
    <phoneticPr fontId="146" type="noConversion"/>
  </si>
  <si>
    <t>标准</t>
  </si>
  <si>
    <t>标准</t>
    <phoneticPr fontId="35" type="noConversion"/>
  </si>
  <si>
    <t>较好</t>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</si>
</sst>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176" formatCode="_(* #,##0.00_);_(* \(#,##0.00\);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000;\-#,##0.00000"/>
    <numFmt numFmtId="199" formatCode="_ * #,##0.00_ ;_ * \-#,##0.00_ ;_ * &quot;-&quot;??_ ;_ @_ "/>
    <numFmt numFmtId="200" formatCode="yyyy\ "/>
    <numFmt numFmtId="201" formatCode="\ &quot;第&quot;\ 0\ &quot;年&quot;\ "/>
    <numFmt numFmtId="202" formatCode="_([$€-2]* #,##0.00_);_([$€-2]* \(#,##0.00\);_([$€-2]* &quot;-&quot;??_)"/>
    <numFmt numFmtId="203" formatCode="_ * #,##0_ ;_ * \-#,##0_ ;_ * &quot;-&quot;_ ;_ @_ "/>
    <numFmt numFmtId="204" formatCode="_ * #,##0_ ;_ * \-#,##0_ ;_ * &quot;-&quot;??_ ;_ @_ "/>
    <numFmt numFmtId="205" formatCode="0.0"/>
  </numFmts>
  <fonts count="275">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宋体"/>
      <family val="2"/>
      <charset val="134"/>
      <scheme val="minor"/>
    </font>
    <font>
      <b/>
      <sz val="9"/>
      <color theme="0"/>
      <name val="微软雅黑"/>
      <family val="2"/>
      <charset val="134"/>
    </font>
    <font>
      <sz val="9"/>
      <name val="Segoe UI"/>
      <family val="2"/>
    </font>
    <font>
      <sz val="9"/>
      <color rgb="FF0093B2"/>
      <name val="Segoe UI"/>
      <family val="2"/>
    </font>
    <font>
      <sz val="9"/>
      <color theme="1"/>
      <name val="Segoe UI"/>
      <family val="2"/>
    </font>
    <font>
      <sz val="9"/>
      <name val="微软雅黑"/>
      <family val="2"/>
      <charset val="134"/>
    </font>
    <font>
      <sz val="9"/>
      <color theme="0"/>
      <name val="宋体"/>
      <family val="3"/>
      <charset val="134"/>
    </font>
    <font>
      <b/>
      <sz val="9"/>
      <name val="微软雅黑"/>
      <family val="2"/>
      <charset val="134"/>
    </font>
    <font>
      <sz val="9"/>
      <color theme="1"/>
      <name val="微软雅黑"/>
      <family val="2"/>
      <charset val="134"/>
    </font>
    <font>
      <b/>
      <sz val="9"/>
      <color theme="1"/>
      <name val="Segoe UI"/>
      <family val="2"/>
    </font>
    <font>
      <sz val="9"/>
      <color theme="0"/>
      <name val="微软雅黑"/>
      <family val="2"/>
      <charset val="134"/>
    </font>
    <font>
      <sz val="9"/>
      <color theme="0"/>
      <name val="Segoe UI"/>
      <family val="2"/>
    </font>
    <font>
      <sz val="9"/>
      <color rgb="FF0094B2"/>
      <name val="Segoe UI"/>
      <family val="2"/>
    </font>
    <font>
      <b/>
      <sz val="9"/>
      <color theme="0"/>
      <name val="宋体"/>
      <family val="3"/>
      <charset val="134"/>
    </font>
    <font>
      <b/>
      <sz val="9"/>
      <name val="Segoe UI"/>
      <family val="2"/>
    </font>
    <font>
      <sz val="9"/>
      <name val="宋体"/>
      <family val="2"/>
      <charset val="134"/>
      <scheme val="minor"/>
    </font>
    <font>
      <u/>
      <sz val="11"/>
      <color theme="10"/>
      <name val="宋体"/>
      <family val="3"/>
      <charset val="134"/>
      <scheme val="minor"/>
    </font>
    <font>
      <u/>
      <sz val="11"/>
      <color theme="1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FFFFEB"/>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
      <left/>
      <right/>
      <top/>
      <bottom style="thin">
        <color theme="0"/>
      </bottom>
      <diagonal/>
    </border>
    <border>
      <left/>
      <right/>
      <top style="thin">
        <color theme="0"/>
      </top>
      <bottom style="thin">
        <color theme="0"/>
      </bottom>
      <diagonal/>
    </border>
  </borders>
  <cellStyleXfs count="45">
    <xf numFmtId="0" fontId="0" fillId="0" borderId="0">
      <alignment vertical="center"/>
    </xf>
    <xf numFmtId="0" fontId="102" fillId="0" borderId="0">
      <alignment vertical="center"/>
    </xf>
    <xf numFmtId="0" fontId="102" fillId="0" borderId="0"/>
    <xf numFmtId="0" fontId="102" fillId="0" borderId="0">
      <alignment vertical="center"/>
    </xf>
    <xf numFmtId="0" fontId="40" fillId="0" borderId="0"/>
    <xf numFmtId="0" fontId="102" fillId="0" borderId="0">
      <alignment vertical="center"/>
    </xf>
    <xf numFmtId="0" fontId="102" fillId="0" borderId="0"/>
    <xf numFmtId="0" fontId="102" fillId="0" borderId="0">
      <alignment vertical="center"/>
    </xf>
    <xf numFmtId="0" fontId="102" fillId="0" borderId="0">
      <alignment vertical="center"/>
    </xf>
    <xf numFmtId="0" fontId="5" fillId="0" borderId="0">
      <alignment vertical="center"/>
    </xf>
    <xf numFmtId="0" fontId="102" fillId="0" borderId="0">
      <alignment vertical="center"/>
    </xf>
    <xf numFmtId="0" fontId="4" fillId="0" borderId="0">
      <alignment vertical="center"/>
    </xf>
    <xf numFmtId="0" fontId="173" fillId="0" borderId="0"/>
    <xf numFmtId="176" fontId="3" fillId="0" borderId="0" applyFont="0" applyFill="0" applyBorder="0" applyAlignment="0" applyProtection="0"/>
    <xf numFmtId="0" fontId="3" fillId="0" borderId="0">
      <alignment vertical="center"/>
    </xf>
    <xf numFmtId="199" fontId="3" fillId="0" borderId="0" applyFont="0" applyFill="0" applyBorder="0" applyAlignment="0" applyProtection="0">
      <alignment vertical="center"/>
    </xf>
    <xf numFmtId="9" fontId="3" fillId="0" borderId="0" applyFont="0" applyFill="0" applyBorder="0" applyAlignment="0" applyProtection="0">
      <alignment vertical="center"/>
    </xf>
    <xf numFmtId="0" fontId="40" fillId="0" borderId="0"/>
    <xf numFmtId="176" fontId="40" fillId="0" borderId="0" applyFont="0" applyFill="0" applyBorder="0" applyAlignment="0" applyProtection="0">
      <alignment vertical="center"/>
    </xf>
    <xf numFmtId="202" fontId="40" fillId="0" borderId="0"/>
    <xf numFmtId="199" fontId="173" fillId="0" borderId="0" applyFont="0" applyFill="0" applyBorder="0" applyAlignment="0" applyProtection="0">
      <alignment vertical="center"/>
    </xf>
    <xf numFmtId="9" fontId="173" fillId="0" borderId="0" applyFont="0" applyFill="0" applyBorder="0" applyAlignment="0" applyProtection="0">
      <alignment vertical="center"/>
    </xf>
    <xf numFmtId="0" fontId="2" fillId="0" borderId="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cellStyleXfs>
  <cellXfs count="3408">
    <xf numFmtId="0" fontId="0" fillId="0" borderId="0" xfId="0">
      <alignment vertical="center"/>
    </xf>
    <xf numFmtId="0" fontId="15"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0" fillId="0" borderId="0" xfId="0" applyAlignment="1">
      <alignment vertical="center" wrapText="1"/>
    </xf>
    <xf numFmtId="0" fontId="106" fillId="0" borderId="1" xfId="0" applyFont="1" applyBorder="1" applyAlignment="1">
      <alignment vertical="center" wrapText="1"/>
    </xf>
    <xf numFmtId="0" fontId="106" fillId="0" borderId="1" xfId="0" applyFont="1" applyBorder="1" applyAlignment="1">
      <alignment horizontal="center" vertical="center" wrapText="1"/>
    </xf>
    <xf numFmtId="0" fontId="107" fillId="6" borderId="0" xfId="0" applyFont="1" applyFill="1" applyAlignment="1" applyProtection="1">
      <alignment horizontal="center" vertical="center"/>
    </xf>
    <xf numFmtId="0" fontId="107" fillId="6" borderId="0" xfId="0" applyFont="1" applyFill="1" applyProtection="1">
      <alignment vertical="center"/>
    </xf>
    <xf numFmtId="0" fontId="52" fillId="6" borderId="5" xfId="0" applyFont="1" applyFill="1" applyBorder="1" applyAlignment="1" applyProtection="1">
      <alignment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vertical="center" wrapText="1"/>
      <protection locked="0"/>
    </xf>
    <xf numFmtId="0" fontId="53" fillId="6" borderId="1" xfId="0"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180" fontId="53" fillId="0" borderId="1" xfId="0" applyNumberFormat="1" applyFont="1" applyBorder="1" applyAlignment="1" applyProtection="1">
      <alignment horizontal="center" vertical="center" wrapText="1"/>
      <protection locked="0"/>
    </xf>
    <xf numFmtId="180" fontId="108" fillId="6" borderId="1" xfId="0" applyNumberFormat="1" applyFont="1" applyFill="1" applyBorder="1" applyAlignment="1" applyProtection="1">
      <alignment horizontal="center" vertical="center" wrapText="1"/>
    </xf>
    <xf numFmtId="0" fontId="53" fillId="6" borderId="5" xfId="0" applyFont="1" applyFill="1" applyBorder="1" applyAlignment="1" applyProtection="1">
      <alignment horizontal="left" vertical="center"/>
    </xf>
    <xf numFmtId="177" fontId="53" fillId="6" borderId="1" xfId="0" applyNumberFormat="1"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177" fontId="53" fillId="6" borderId="9" xfId="0" applyNumberFormat="1" applyFont="1" applyFill="1" applyBorder="1" applyAlignment="1" applyProtection="1">
      <alignment horizontal="center" vertical="center" wrapText="1"/>
    </xf>
    <xf numFmtId="177" fontId="53" fillId="6" borderId="10" xfId="0" applyNumberFormat="1" applyFont="1" applyFill="1" applyBorder="1" applyAlignment="1" applyProtection="1">
      <alignment horizontal="center" vertical="center" wrapText="1"/>
    </xf>
    <xf numFmtId="177" fontId="53" fillId="6" borderId="13" xfId="0" applyNumberFormat="1" applyFont="1" applyFill="1" applyBorder="1" applyAlignment="1" applyProtection="1">
      <alignment horizontal="center" vertical="center" wrapText="1"/>
    </xf>
    <xf numFmtId="177" fontId="53" fillId="6" borderId="23" xfId="0" applyNumberFormat="1" applyFont="1" applyFill="1" applyBorder="1" applyAlignment="1" applyProtection="1">
      <alignment horizontal="center" vertical="center" wrapText="1"/>
    </xf>
    <xf numFmtId="177" fontId="53" fillId="6" borderId="24"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8" xfId="0" applyFont="1" applyFill="1" applyBorder="1" applyAlignment="1" applyProtection="1">
      <alignment horizontal="center" vertical="center"/>
    </xf>
    <xf numFmtId="0" fontId="53" fillId="0" borderId="0" xfId="0" applyFont="1" applyAlignment="1" applyProtection="1">
      <alignment horizontal="center" vertical="center"/>
      <protection locked="0"/>
    </xf>
    <xf numFmtId="0" fontId="53" fillId="6" borderId="3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2"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177" fontId="53" fillId="0" borderId="2" xfId="0" applyNumberFormat="1" applyFont="1" applyFill="1" applyBorder="1" applyAlignment="1" applyProtection="1">
      <alignment horizontal="center" vertical="center" wrapText="1"/>
      <protection locked="0"/>
    </xf>
    <xf numFmtId="177" fontId="53" fillId="6" borderId="2" xfId="0" applyNumberFormat="1" applyFont="1" applyFill="1" applyBorder="1" applyAlignment="1" applyProtection="1">
      <alignment horizontal="center" vertical="center" wrapText="1"/>
    </xf>
    <xf numFmtId="0" fontId="50" fillId="0" borderId="2" xfId="0" applyFont="1" applyBorder="1" applyAlignment="1" applyProtection="1">
      <alignment horizontal="center" vertical="center" wrapText="1"/>
      <protection locked="0"/>
    </xf>
    <xf numFmtId="177" fontId="50" fillId="6" borderId="1" xfId="0" applyNumberFormat="1"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6" borderId="3" xfId="0"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177" fontId="50" fillId="0" borderId="1"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2" fillId="6" borderId="13" xfId="0" applyFont="1" applyFill="1" applyBorder="1" applyAlignment="1" applyProtection="1">
      <alignment vertical="center"/>
    </xf>
    <xf numFmtId="0" fontId="50" fillId="6" borderId="11" xfId="0" applyFont="1" applyFill="1" applyBorder="1" applyAlignment="1" applyProtection="1">
      <alignment vertical="center"/>
    </xf>
    <xf numFmtId="0" fontId="50" fillId="6" borderId="1" xfId="0" applyFont="1" applyFill="1" applyBorder="1" applyAlignment="1" applyProtection="1">
      <alignment vertical="center"/>
    </xf>
    <xf numFmtId="177" fontId="50" fillId="6" borderId="24" xfId="0" applyNumberFormat="1" applyFont="1" applyFill="1" applyBorder="1" applyAlignment="1" applyProtection="1">
      <alignment vertical="center"/>
    </xf>
    <xf numFmtId="0" fontId="50" fillId="6" borderId="13" xfId="0" applyFont="1" applyFill="1" applyBorder="1" applyAlignment="1" applyProtection="1">
      <alignment vertical="center"/>
    </xf>
    <xf numFmtId="0" fontId="50" fillId="6" borderId="24" xfId="0" applyFont="1" applyFill="1" applyBorder="1" applyAlignment="1" applyProtection="1">
      <alignment vertical="center"/>
    </xf>
    <xf numFmtId="0" fontId="50" fillId="0" borderId="24" xfId="0" applyFont="1" applyFill="1" applyBorder="1" applyAlignment="1" applyProtection="1">
      <alignment vertical="center"/>
      <protection locked="0"/>
    </xf>
    <xf numFmtId="0" fontId="50" fillId="6" borderId="61" xfId="0" applyFont="1" applyFill="1" applyBorder="1" applyAlignment="1" applyProtection="1">
      <alignment vertical="center"/>
    </xf>
    <xf numFmtId="180"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177" fontId="50" fillId="6" borderId="1" xfId="0" applyNumberFormat="1" applyFont="1" applyFill="1" applyBorder="1" applyAlignment="1" applyProtection="1">
      <alignment vertical="center"/>
    </xf>
    <xf numFmtId="0" fontId="53" fillId="3" borderId="3" xfId="0" applyFont="1" applyFill="1" applyBorder="1" applyProtection="1">
      <alignment vertical="center"/>
      <protection locked="0"/>
    </xf>
    <xf numFmtId="0" fontId="53" fillId="3" borderId="24" xfId="0" applyFont="1" applyFill="1" applyBorder="1" applyProtection="1">
      <alignment vertical="center"/>
      <protection locked="0"/>
    </xf>
    <xf numFmtId="0" fontId="53" fillId="0" borderId="1" xfId="0" applyFont="1" applyBorder="1" applyAlignment="1" applyProtection="1">
      <alignment horizontal="center" vertical="center"/>
      <protection locked="0"/>
    </xf>
    <xf numFmtId="178" fontId="50" fillId="0" borderId="1" xfId="1" applyNumberFormat="1" applyFont="1" applyFill="1" applyBorder="1" applyAlignment="1" applyProtection="1">
      <alignment vertical="center"/>
      <protection locked="0"/>
    </xf>
    <xf numFmtId="0" fontId="50" fillId="3" borderId="22" xfId="0" applyFont="1" applyFill="1" applyBorder="1" applyProtection="1">
      <alignment vertical="center"/>
      <protection locked="0"/>
    </xf>
    <xf numFmtId="0" fontId="50" fillId="3" borderId="61" xfId="0" applyFont="1" applyFill="1" applyBorder="1" applyProtection="1">
      <alignment vertical="center"/>
      <protection locked="0"/>
    </xf>
    <xf numFmtId="178" fontId="50" fillId="0" borderId="3" xfId="1" applyNumberFormat="1" applyFont="1" applyFill="1" applyBorder="1" applyAlignment="1" applyProtection="1">
      <alignment vertical="center"/>
      <protection locked="0"/>
    </xf>
    <xf numFmtId="0" fontId="50" fillId="6" borderId="3" xfId="0" applyFont="1" applyFill="1" applyBorder="1" applyProtection="1">
      <alignment vertical="center"/>
    </xf>
    <xf numFmtId="0" fontId="50" fillId="6" borderId="48" xfId="0" applyFont="1" applyFill="1" applyBorder="1" applyProtection="1">
      <alignment vertical="center"/>
    </xf>
    <xf numFmtId="0" fontId="50" fillId="6" borderId="22" xfId="0" applyFont="1" applyFill="1" applyBorder="1" applyProtection="1">
      <alignment vertical="center"/>
    </xf>
    <xf numFmtId="0" fontId="50" fillId="6" borderId="61" xfId="0" applyFont="1" applyFill="1" applyBorder="1" applyProtection="1">
      <alignment vertical="center"/>
    </xf>
    <xf numFmtId="0" fontId="52" fillId="6" borderId="27" xfId="0" applyFont="1" applyFill="1" applyBorder="1" applyAlignment="1" applyProtection="1">
      <alignment vertical="center" wrapText="1"/>
    </xf>
    <xf numFmtId="0" fontId="50" fillId="6" borderId="29"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180" fontId="57" fillId="6" borderId="1" xfId="1" applyNumberFormat="1" applyFont="1" applyFill="1" applyBorder="1" applyAlignment="1" applyProtection="1">
      <alignment horizontal="center" vertical="center"/>
    </xf>
    <xf numFmtId="181" fontId="57" fillId="6" borderId="1" xfId="1" applyNumberFormat="1" applyFont="1" applyFill="1" applyBorder="1" applyAlignment="1" applyProtection="1">
      <alignment horizontal="center" vertical="center"/>
    </xf>
    <xf numFmtId="182" fontId="50" fillId="0" borderId="1" xfId="0" applyNumberFormat="1" applyFont="1" applyFill="1" applyBorder="1" applyAlignment="1" applyProtection="1">
      <alignment horizontal="center" vertical="center"/>
      <protection locked="0"/>
    </xf>
    <xf numFmtId="0" fontId="50" fillId="6" borderId="1" xfId="1"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180" fontId="50" fillId="6" borderId="23" xfId="1" applyNumberFormat="1" applyFont="1" applyFill="1" applyBorder="1" applyAlignment="1" applyProtection="1">
      <alignment horizontal="center" vertical="center"/>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3" xfId="0" applyFont="1" applyBorder="1" applyAlignment="1" applyProtection="1">
      <alignment vertical="center"/>
      <protection locked="0"/>
    </xf>
    <xf numFmtId="182" fontId="50" fillId="0" borderId="5"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10" fontId="50" fillId="0" borderId="1" xfId="0" applyNumberFormat="1" applyFont="1" applyFill="1" applyBorder="1" applyAlignment="1" applyProtection="1">
      <alignment horizontal="center" vertical="center"/>
      <protection locked="0"/>
    </xf>
    <xf numFmtId="184" fontId="50" fillId="0" borderId="1" xfId="0"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0" fontId="52" fillId="6" borderId="32" xfId="1" applyFont="1" applyFill="1" applyBorder="1" applyAlignment="1" applyProtection="1">
      <alignment vertical="center"/>
    </xf>
    <xf numFmtId="0" fontId="52" fillId="6" borderId="32" xfId="1" applyFont="1" applyFill="1" applyBorder="1" applyAlignment="1" applyProtection="1">
      <alignment horizontal="center" vertical="center"/>
    </xf>
    <xf numFmtId="182" fontId="52" fillId="6" borderId="32" xfId="1" applyNumberFormat="1" applyFont="1" applyFill="1" applyBorder="1" applyAlignment="1" applyProtection="1">
      <alignment vertical="center"/>
    </xf>
    <xf numFmtId="0" fontId="52" fillId="6" borderId="49" xfId="1" applyFont="1" applyFill="1" applyBorder="1" applyAlignment="1" applyProtection="1">
      <alignment vertical="center"/>
    </xf>
    <xf numFmtId="177"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10" fontId="50" fillId="6" borderId="32" xfId="1" applyNumberFormat="1" applyFont="1" applyFill="1" applyBorder="1" applyAlignment="1" applyProtection="1">
      <alignment horizontal="center" vertical="center"/>
    </xf>
    <xf numFmtId="9" fontId="50" fillId="6" borderId="33" xfId="0" applyNumberFormat="1" applyFont="1" applyFill="1" applyBorder="1" applyAlignment="1" applyProtection="1">
      <alignment horizontal="center" vertical="center"/>
    </xf>
    <xf numFmtId="180"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Font="1" applyFill="1" applyBorder="1" applyAlignment="1" applyProtection="1">
      <alignment vertical="center"/>
    </xf>
    <xf numFmtId="0" fontId="50" fillId="6" borderId="32" xfId="0" applyFont="1" applyFill="1" applyBorder="1" applyAlignment="1" applyProtection="1">
      <alignment vertical="center"/>
    </xf>
    <xf numFmtId="0" fontId="50" fillId="6" borderId="49" xfId="0" applyFont="1" applyFill="1" applyBorder="1" applyAlignment="1" applyProtection="1">
      <alignment vertical="center"/>
    </xf>
    <xf numFmtId="0" fontId="50" fillId="6" borderId="66" xfId="0" applyFont="1" applyFill="1" applyBorder="1" applyAlignment="1" applyProtection="1">
      <alignment vertical="center"/>
    </xf>
    <xf numFmtId="0" fontId="50" fillId="6" borderId="33" xfId="0" applyFont="1" applyFill="1" applyBorder="1" applyAlignment="1" applyProtection="1">
      <alignment vertical="center"/>
    </xf>
    <xf numFmtId="177" fontId="57" fillId="0" borderId="10" xfId="1" applyNumberFormat="1" applyFont="1" applyFill="1" applyBorder="1" applyAlignment="1" applyProtection="1">
      <alignment horizontal="center" vertical="center"/>
      <protection locked="0"/>
    </xf>
    <xf numFmtId="177" fontId="50" fillId="0" borderId="24" xfId="1" applyNumberFormat="1" applyFont="1" applyFill="1" applyBorder="1" applyAlignment="1" applyProtection="1">
      <alignment horizontal="center" vertical="center"/>
      <protection locked="0"/>
    </xf>
    <xf numFmtId="177" fontId="57" fillId="6" borderId="24" xfId="1" applyNumberFormat="1" applyFont="1" applyFill="1" applyBorder="1" applyAlignment="1" applyProtection="1">
      <alignment horizontal="center" vertical="center"/>
    </xf>
    <xf numFmtId="177" fontId="57" fillId="6" borderId="49" xfId="1" applyNumberFormat="1" applyFont="1" applyFill="1" applyBorder="1" applyAlignment="1" applyProtection="1">
      <alignment horizontal="center" vertical="center"/>
    </xf>
    <xf numFmtId="0" fontId="59" fillId="0" borderId="10" xfId="1" applyNumberFormat="1"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9" fillId="0" borderId="24" xfId="1" applyNumberFormat="1" applyFont="1" applyFill="1" applyBorder="1" applyAlignment="1" applyProtection="1">
      <alignment horizontal="center" vertical="center"/>
      <protection locked="0"/>
    </xf>
    <xf numFmtId="0" fontId="57" fillId="6" borderId="24" xfId="1" applyNumberFormat="1" applyFont="1" applyFill="1" applyBorder="1" applyAlignment="1" applyProtection="1">
      <alignment horizontal="center" vertical="center"/>
    </xf>
    <xf numFmtId="0" fontId="59" fillId="0" borderId="49" xfId="1" applyNumberFormat="1" applyFont="1" applyFill="1" applyBorder="1" applyAlignment="1" applyProtection="1">
      <alignment horizontal="center" vertical="center"/>
      <protection locked="0"/>
    </xf>
    <xf numFmtId="182" fontId="53" fillId="0" borderId="24" xfId="0" applyNumberFormat="1" applyFont="1" applyFill="1" applyBorder="1" applyAlignment="1" applyProtection="1">
      <alignment horizontal="center" vertical="center"/>
      <protection locked="0"/>
    </xf>
    <xf numFmtId="182" fontId="53" fillId="0" borderId="49" xfId="0" applyNumberFormat="1" applyFont="1" applyFill="1" applyBorder="1" applyAlignment="1" applyProtection="1">
      <alignment horizontal="center" vertical="center"/>
      <protection locked="0"/>
    </xf>
    <xf numFmtId="182" fontId="53" fillId="0" borderId="8" xfId="0" applyNumberFormat="1" applyFont="1" applyFill="1" applyBorder="1" applyAlignment="1" applyProtection="1">
      <alignment horizontal="center" vertical="center"/>
      <protection locked="0"/>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4"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53" xfId="0" applyNumberFormat="1" applyFont="1" applyFill="1" applyBorder="1" applyAlignment="1" applyProtection="1">
      <alignment horizontal="center" vertical="center"/>
      <protection locked="0"/>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9" fontId="50" fillId="6" borderId="62" xfId="0" applyNumberFormat="1" applyFont="1" applyFill="1" applyBorder="1" applyAlignment="1" applyProtection="1">
      <alignment horizontal="center" vertical="center"/>
    </xf>
    <xf numFmtId="0" fontId="50" fillId="0" borderId="49" xfId="0" applyFont="1" applyBorder="1" applyAlignment="1" applyProtection="1">
      <alignment vertical="center"/>
      <protection locked="0"/>
    </xf>
    <xf numFmtId="0" fontId="50" fillId="6" borderId="10"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center" vertical="center" wrapText="1"/>
    </xf>
    <xf numFmtId="0" fontId="53" fillId="6" borderId="0" xfId="0" applyFont="1" applyFill="1" applyProtection="1">
      <alignment vertical="center"/>
      <protection locked="0"/>
    </xf>
    <xf numFmtId="0" fontId="53" fillId="0" borderId="0" xfId="0" applyFont="1" applyProtection="1">
      <alignment vertical="center"/>
      <protection locked="0"/>
    </xf>
    <xf numFmtId="0" fontId="53" fillId="6" borderId="5" xfId="0" applyFont="1" applyFill="1" applyBorder="1" applyAlignment="1" applyProtection="1">
      <alignment vertical="center"/>
    </xf>
    <xf numFmtId="0" fontId="50" fillId="6" borderId="2" xfId="0" applyFont="1" applyFill="1" applyBorder="1" applyAlignment="1" applyProtection="1">
      <alignment horizontal="center" vertical="center"/>
    </xf>
    <xf numFmtId="180" fontId="50" fillId="6" borderId="13" xfId="0" applyNumberFormat="1" applyFont="1" applyFill="1" applyBorder="1" applyAlignment="1" applyProtection="1">
      <alignment horizontal="center" vertical="center"/>
    </xf>
    <xf numFmtId="0" fontId="107" fillId="6" borderId="9" xfId="0" applyFont="1" applyFill="1" applyBorder="1" applyAlignment="1" applyProtection="1">
      <alignment horizontal="center" vertical="center"/>
    </xf>
    <xf numFmtId="0" fontId="107" fillId="6" borderId="10"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107" fillId="6" borderId="1"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4" xfId="0" applyFont="1" applyFill="1" applyBorder="1" applyAlignment="1" applyProtection="1">
      <alignment horizontal="right" vertical="center"/>
    </xf>
    <xf numFmtId="0" fontId="109" fillId="0" borderId="1" xfId="0" applyFont="1" applyFill="1" applyBorder="1" applyAlignment="1" applyProtection="1">
      <alignment horizontal="center" vertical="center"/>
      <protection locked="0"/>
    </xf>
    <xf numFmtId="0" fontId="109" fillId="0" borderId="24" xfId="0" applyFont="1" applyFill="1" applyBorder="1" applyAlignment="1" applyProtection="1">
      <alignment horizontal="center" vertical="center"/>
      <protection locked="0"/>
    </xf>
    <xf numFmtId="0" fontId="50" fillId="6" borderId="29" xfId="0" applyFont="1" applyFill="1" applyBorder="1" applyAlignment="1" applyProtection="1">
      <alignment horizontal="center" vertical="center"/>
    </xf>
    <xf numFmtId="0" fontId="52" fillId="0" borderId="10" xfId="0" applyFont="1" applyFill="1" applyBorder="1" applyAlignment="1" applyProtection="1">
      <alignment horizontal="center" vertical="center"/>
      <protection locked="0"/>
    </xf>
    <xf numFmtId="0" fontId="53" fillId="6" borderId="1" xfId="0" applyFont="1" applyFill="1" applyBorder="1" applyProtection="1">
      <alignment vertical="center"/>
    </xf>
    <xf numFmtId="0" fontId="52" fillId="0" borderId="24" xfId="0" applyFont="1" applyFill="1" applyBorder="1" applyAlignment="1" applyProtection="1">
      <alignment horizontal="center" vertical="center"/>
      <protection locked="0"/>
    </xf>
    <xf numFmtId="0" fontId="52" fillId="6" borderId="4" xfId="0" applyFont="1" applyFill="1" applyBorder="1" applyAlignment="1" applyProtection="1">
      <alignment horizontal="center" vertical="center"/>
    </xf>
    <xf numFmtId="0" fontId="53" fillId="0" borderId="23" xfId="0" applyFont="1" applyBorder="1" applyProtection="1">
      <alignment vertical="center"/>
      <protection locked="0"/>
    </xf>
    <xf numFmtId="0" fontId="53" fillId="0" borderId="1" xfId="0" applyFont="1" applyBorder="1" applyProtection="1">
      <alignment vertical="center"/>
      <protection locked="0"/>
    </xf>
    <xf numFmtId="0" fontId="53" fillId="0" borderId="24" xfId="0" applyFont="1" applyFill="1" applyBorder="1" applyAlignment="1" applyProtection="1">
      <alignment horizontal="center" vertical="center"/>
      <protection locked="0"/>
    </xf>
    <xf numFmtId="0" fontId="53" fillId="0" borderId="25" xfId="0" applyFont="1" applyBorder="1" applyProtection="1">
      <alignment vertical="center"/>
      <protection locked="0"/>
    </xf>
    <xf numFmtId="0" fontId="53" fillId="0" borderId="32" xfId="0" applyFont="1" applyBorder="1" applyProtection="1">
      <alignment vertical="center"/>
      <protection locked="0"/>
    </xf>
    <xf numFmtId="0" fontId="53" fillId="0" borderId="49" xfId="0" applyFont="1" applyBorder="1" applyProtection="1">
      <alignment vertical="center"/>
      <protection locked="0"/>
    </xf>
    <xf numFmtId="0" fontId="53" fillId="6" borderId="13" xfId="0" applyFont="1" applyFill="1" applyBorder="1" applyAlignment="1" applyProtection="1">
      <alignment vertical="center"/>
    </xf>
    <xf numFmtId="0" fontId="53" fillId="6" borderId="36" xfId="0" applyFont="1" applyFill="1" applyBorder="1" applyAlignment="1" applyProtection="1">
      <alignment horizontal="right" vertical="center"/>
    </xf>
    <xf numFmtId="9" fontId="53" fillId="5" borderId="36" xfId="0" applyNumberFormat="1" applyFont="1" applyFill="1" applyBorder="1" applyAlignment="1" applyProtection="1">
      <alignment horizontal="center" vertical="center"/>
      <protection locked="0"/>
    </xf>
    <xf numFmtId="0" fontId="53" fillId="6" borderId="22" xfId="0" applyFont="1" applyFill="1" applyBorder="1" applyProtection="1">
      <alignment vertical="center"/>
    </xf>
    <xf numFmtId="0" fontId="53" fillId="6" borderId="0" xfId="0" applyFont="1" applyFill="1" applyAlignment="1" applyProtection="1">
      <alignment horizontal="center" vertical="center"/>
      <protection locked="0"/>
    </xf>
    <xf numFmtId="0" fontId="58" fillId="6" borderId="18" xfId="0" applyFont="1" applyFill="1" applyBorder="1" applyAlignment="1" applyProtection="1">
      <alignment horizontal="left" vertical="center" wrapText="1"/>
    </xf>
    <xf numFmtId="0" fontId="58" fillId="6" borderId="60" xfId="0" applyFont="1" applyFill="1" applyBorder="1" applyAlignment="1" applyProtection="1">
      <alignment horizontal="left" vertical="center" wrapText="1"/>
    </xf>
    <xf numFmtId="0" fontId="58" fillId="6" borderId="7" xfId="0" applyFont="1" applyFill="1" applyBorder="1" applyAlignment="1" applyProtection="1">
      <alignment horizontal="left" vertical="center" wrapText="1"/>
    </xf>
    <xf numFmtId="0" fontId="53" fillId="6" borderId="4" xfId="0" applyFont="1" applyFill="1" applyBorder="1" applyAlignment="1" applyProtection="1">
      <alignment horizontal="center" vertical="center"/>
    </xf>
    <xf numFmtId="0" fontId="58" fillId="6" borderId="1"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center" vertical="center"/>
    </xf>
    <xf numFmtId="10" fontId="53" fillId="6" borderId="2" xfId="0" applyNumberFormat="1" applyFont="1" applyFill="1" applyBorder="1" applyAlignment="1" applyProtection="1">
      <alignment horizontal="center" vertical="center"/>
    </xf>
    <xf numFmtId="0" fontId="53" fillId="6" borderId="11" xfId="0" applyFont="1" applyFill="1" applyBorder="1" applyAlignment="1" applyProtection="1">
      <alignment horizontal="right" vertical="center" wrapText="1"/>
    </xf>
    <xf numFmtId="0" fontId="53" fillId="6" borderId="46" xfId="0" applyFont="1" applyFill="1" applyBorder="1" applyAlignment="1" applyProtection="1">
      <alignment vertical="center"/>
    </xf>
    <xf numFmtId="0" fontId="53" fillId="6" borderId="14" xfId="0" applyFont="1" applyFill="1" applyBorder="1" applyAlignment="1" applyProtection="1">
      <alignment horizontal="right" vertical="center" wrapText="1"/>
    </xf>
    <xf numFmtId="0" fontId="53" fillId="6" borderId="58" xfId="0" applyFont="1" applyFill="1" applyBorder="1" applyAlignment="1" applyProtection="1">
      <alignment vertical="center"/>
    </xf>
    <xf numFmtId="0" fontId="53" fillId="6" borderId="35" xfId="0" applyFont="1" applyFill="1" applyBorder="1" applyProtection="1">
      <alignment vertical="center"/>
    </xf>
    <xf numFmtId="0" fontId="53" fillId="6" borderId="41" xfId="0" applyFont="1" applyFill="1" applyBorder="1" applyAlignment="1" applyProtection="1">
      <alignment horizontal="right" vertical="center" wrapText="1"/>
    </xf>
    <xf numFmtId="0" fontId="53" fillId="6" borderId="4" xfId="0" applyFont="1" applyFill="1" applyBorder="1" applyAlignment="1" applyProtection="1">
      <alignment vertical="center"/>
    </xf>
    <xf numFmtId="0" fontId="53" fillId="6" borderId="23" xfId="0" applyFont="1" applyFill="1" applyBorder="1" applyAlignment="1" applyProtection="1">
      <alignment horizontal="right" vertical="center" wrapText="1"/>
    </xf>
    <xf numFmtId="1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right" vertical="center"/>
    </xf>
    <xf numFmtId="10" fontId="53" fillId="6" borderId="5" xfId="0" applyNumberFormat="1" applyFont="1" applyFill="1" applyBorder="1" applyAlignment="1" applyProtection="1">
      <alignment horizontal="center" vertical="center"/>
    </xf>
    <xf numFmtId="0" fontId="53" fillId="6" borderId="46" xfId="0" applyFont="1" applyFill="1" applyBorder="1" applyAlignment="1" applyProtection="1">
      <alignment horizontal="right" vertical="center"/>
    </xf>
    <xf numFmtId="0" fontId="53" fillId="6" borderId="33" xfId="0" applyFont="1" applyFill="1" applyBorder="1" applyAlignment="1" applyProtection="1">
      <alignment horizontal="right" vertical="center"/>
    </xf>
    <xf numFmtId="0" fontId="53" fillId="6" borderId="32" xfId="0" applyFont="1" applyFill="1" applyBorder="1" applyAlignment="1" applyProtection="1">
      <alignment horizontal="center" vertical="center" wrapText="1"/>
    </xf>
    <xf numFmtId="10" fontId="53" fillId="6" borderId="32" xfId="0" applyNumberFormat="1" applyFont="1" applyFill="1" applyBorder="1" applyAlignment="1" applyProtection="1">
      <alignment horizontal="center" vertical="center"/>
    </xf>
    <xf numFmtId="9" fontId="53" fillId="6" borderId="5" xfId="0" applyNumberFormat="1" applyFont="1" applyFill="1" applyBorder="1" applyAlignment="1" applyProtection="1">
      <alignment horizontal="center" vertical="center" wrapText="1"/>
    </xf>
    <xf numFmtId="0" fontId="53" fillId="6" borderId="10" xfId="0" applyFont="1" applyFill="1" applyBorder="1" applyAlignment="1" applyProtection="1">
      <alignment horizontal="left" vertical="center" wrapText="1"/>
    </xf>
    <xf numFmtId="0" fontId="60" fillId="6" borderId="2" xfId="0" applyFont="1" applyFill="1" applyBorder="1" applyAlignment="1" applyProtection="1">
      <alignment horizontal="left" vertical="center" wrapText="1"/>
    </xf>
    <xf numFmtId="178" fontId="60" fillId="6" borderId="2" xfId="0" applyNumberFormat="1" applyFont="1" applyFill="1" applyBorder="1" applyAlignment="1" applyProtection="1">
      <alignment horizontal="center" vertical="center" wrapText="1"/>
    </xf>
    <xf numFmtId="0" fontId="60" fillId="6" borderId="2" xfId="0" applyFont="1" applyFill="1" applyBorder="1" applyAlignment="1" applyProtection="1">
      <alignment horizontal="center" vertical="center" wrapText="1"/>
    </xf>
    <xf numFmtId="0" fontId="53" fillId="6" borderId="8"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178" fontId="59" fillId="6" borderId="1" xfId="0" applyNumberFormat="1" applyFont="1" applyFill="1" applyBorder="1" applyAlignment="1" applyProtection="1">
      <alignment horizontal="center" vertical="center" wrapText="1"/>
    </xf>
    <xf numFmtId="0" fontId="59" fillId="6" borderId="1" xfId="0" applyFont="1" applyFill="1" applyBorder="1" applyAlignment="1" applyProtection="1">
      <alignment horizontal="center" vertical="center" wrapText="1"/>
    </xf>
    <xf numFmtId="0" fontId="53" fillId="6" borderId="24" xfId="0" applyFont="1" applyFill="1" applyBorder="1" applyAlignment="1" applyProtection="1">
      <alignment horizontal="left" vertical="center" wrapText="1"/>
    </xf>
    <xf numFmtId="178" fontId="59" fillId="0" borderId="1" xfId="0" applyNumberFormat="1" applyFont="1" applyFill="1" applyBorder="1" applyAlignment="1" applyProtection="1">
      <alignment horizontal="center" vertical="center" wrapText="1"/>
      <protection locked="0"/>
    </xf>
    <xf numFmtId="49" fontId="58" fillId="6" borderId="23" xfId="0" applyNumberFormat="1" applyFont="1" applyFill="1" applyBorder="1" applyAlignment="1" applyProtection="1">
      <alignment horizontal="left" vertical="center" wrapText="1"/>
    </xf>
    <xf numFmtId="0" fontId="60" fillId="6" borderId="1" xfId="0" applyFont="1" applyFill="1" applyBorder="1" applyAlignment="1" applyProtection="1">
      <alignment horizontal="left" vertical="center" wrapText="1"/>
    </xf>
    <xf numFmtId="0" fontId="60" fillId="0" borderId="1" xfId="0" applyFont="1" applyFill="1" applyBorder="1" applyAlignment="1" applyProtection="1">
      <alignment horizontal="center" vertical="center" wrapText="1"/>
      <protection locked="0"/>
    </xf>
    <xf numFmtId="0" fontId="60" fillId="6" borderId="1" xfId="0" applyFont="1" applyFill="1" applyBorder="1" applyAlignment="1" applyProtection="1">
      <alignment horizontal="center" vertical="center" wrapText="1"/>
    </xf>
    <xf numFmtId="178" fontId="60" fillId="6" borderId="1" xfId="0" applyNumberFormat="1" applyFont="1" applyFill="1" applyBorder="1" applyAlignment="1" applyProtection="1">
      <alignment horizontal="center" vertical="center" wrapText="1"/>
    </xf>
    <xf numFmtId="49" fontId="58" fillId="6" borderId="25" xfId="0" applyNumberFormat="1" applyFont="1" applyFill="1" applyBorder="1" applyAlignment="1" applyProtection="1">
      <alignment horizontal="left" vertical="center" wrapText="1"/>
    </xf>
    <xf numFmtId="0" fontId="60" fillId="6" borderId="32" xfId="0" applyFont="1" applyFill="1" applyBorder="1" applyAlignment="1" applyProtection="1">
      <alignment horizontal="left" vertical="center" wrapText="1"/>
    </xf>
    <xf numFmtId="178" fontId="60" fillId="6" borderId="32" xfId="0" applyNumberFormat="1" applyFont="1" applyFill="1" applyBorder="1" applyAlignment="1" applyProtection="1">
      <alignment horizontal="center" vertical="center" wrapText="1"/>
    </xf>
    <xf numFmtId="10" fontId="59" fillId="6" borderId="32" xfId="0" applyNumberFormat="1" applyFont="1" applyFill="1" applyBorder="1" applyAlignment="1" applyProtection="1">
      <alignment horizontal="center" vertical="center" wrapText="1"/>
    </xf>
    <xf numFmtId="0" fontId="53" fillId="6" borderId="49" xfId="0" applyFont="1" applyFill="1" applyBorder="1" applyAlignment="1" applyProtection="1">
      <alignment horizontal="left" vertical="center"/>
    </xf>
    <xf numFmtId="0" fontId="53" fillId="6" borderId="28" xfId="0" applyFont="1" applyFill="1" applyBorder="1" applyAlignment="1" applyProtection="1">
      <alignment horizontal="left" vertical="center" wrapText="1"/>
    </xf>
    <xf numFmtId="0" fontId="53" fillId="6" borderId="20" xfId="0"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49" fontId="53" fillId="6" borderId="23" xfId="0" applyNumberFormat="1" applyFont="1" applyFill="1" applyBorder="1" applyAlignment="1" applyProtection="1">
      <alignment vertical="center" wrapText="1"/>
    </xf>
    <xf numFmtId="0" fontId="59" fillId="0" borderId="1" xfId="0" applyFont="1" applyFill="1" applyBorder="1" applyAlignment="1" applyProtection="1">
      <alignment horizontal="center" vertical="center" wrapText="1"/>
      <protection locked="0"/>
    </xf>
    <xf numFmtId="0" fontId="50" fillId="6" borderId="1" xfId="2" applyFont="1" applyFill="1" applyBorder="1" applyAlignment="1" applyProtection="1">
      <alignment horizontal="left" vertical="center" wrapText="1"/>
    </xf>
    <xf numFmtId="178" fontId="59" fillId="0" borderId="24" xfId="0" applyNumberFormat="1" applyFont="1" applyFill="1" applyBorder="1" applyAlignment="1" applyProtection="1">
      <alignment horizontal="center" vertical="center" wrapText="1"/>
      <protection locked="0"/>
    </xf>
    <xf numFmtId="0" fontId="59" fillId="6" borderId="2" xfId="0" applyFont="1" applyFill="1" applyBorder="1" applyAlignment="1" applyProtection="1">
      <alignment horizontal="left" vertical="center" wrapText="1"/>
    </xf>
    <xf numFmtId="9" fontId="50" fillId="6" borderId="0" xfId="0" applyNumberFormat="1" applyFont="1" applyFill="1" applyBorder="1" applyAlignment="1" applyProtection="1">
      <alignment horizontal="center" vertical="center"/>
    </xf>
    <xf numFmtId="10" fontId="59" fillId="6" borderId="1" xfId="0"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xf>
    <xf numFmtId="192" fontId="59" fillId="6" borderId="1" xfId="0" applyNumberFormat="1" applyFont="1" applyFill="1" applyBorder="1" applyAlignment="1" applyProtection="1">
      <alignment horizontal="center" vertical="center" wrapText="1"/>
    </xf>
    <xf numFmtId="10" fontId="58" fillId="6" borderId="5" xfId="0" applyNumberFormat="1" applyFont="1" applyFill="1" applyBorder="1" applyAlignment="1" applyProtection="1">
      <alignment horizontal="center" vertical="center" wrapText="1"/>
    </xf>
    <xf numFmtId="182" fontId="60" fillId="6" borderId="1" xfId="0" applyNumberFormat="1"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53" fillId="6" borderId="33" xfId="0" applyFont="1" applyFill="1" applyBorder="1" applyAlignment="1" applyProtection="1">
      <alignment horizontal="left" vertical="center"/>
    </xf>
    <xf numFmtId="0" fontId="53" fillId="6" borderId="52" xfId="0"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53" fillId="6" borderId="21" xfId="2" applyFont="1" applyFill="1" applyBorder="1" applyAlignment="1" applyProtection="1">
      <alignment horizontal="left" vertical="center" wrapText="1"/>
    </xf>
    <xf numFmtId="0" fontId="53" fillId="6" borderId="48" xfId="2" applyFont="1" applyFill="1" applyBorder="1" applyAlignment="1" applyProtection="1">
      <alignment horizontal="left" vertical="center" wrapText="1"/>
    </xf>
    <xf numFmtId="0" fontId="59" fillId="6" borderId="5" xfId="0" applyFont="1" applyFill="1" applyBorder="1" applyAlignment="1" applyProtection="1">
      <alignment horizontal="center" vertical="center" wrapText="1"/>
    </xf>
    <xf numFmtId="192" fontId="59" fillId="0" borderId="1" xfId="0" applyNumberFormat="1" applyFont="1" applyFill="1" applyBorder="1" applyAlignment="1" applyProtection="1">
      <alignment horizontal="center" vertical="center" wrapText="1"/>
      <protection locked="0"/>
    </xf>
    <xf numFmtId="10" fontId="53" fillId="6" borderId="5" xfId="0" applyNumberFormat="1" applyFont="1" applyFill="1" applyBorder="1" applyAlignment="1" applyProtection="1">
      <alignment horizontal="left" vertical="center"/>
    </xf>
    <xf numFmtId="0" fontId="61" fillId="6" borderId="0" xfId="0" applyFont="1" applyFill="1" applyBorder="1" applyAlignment="1" applyProtection="1">
      <alignment horizontal="left" vertical="center"/>
    </xf>
    <xf numFmtId="0" fontId="53" fillId="6" borderId="68" xfId="2" applyFont="1" applyFill="1" applyBorder="1" applyAlignment="1" applyProtection="1">
      <alignment horizontal="left" vertical="center" wrapText="1"/>
    </xf>
    <xf numFmtId="0" fontId="110" fillId="6" borderId="51" xfId="1" applyFont="1" applyFill="1" applyBorder="1" applyAlignment="1" applyProtection="1">
      <alignment vertical="center"/>
    </xf>
    <xf numFmtId="0" fontId="63" fillId="6" borderId="20" xfId="1" applyFont="1" applyFill="1" applyBorder="1" applyAlignment="1" applyProtection="1">
      <alignment vertical="center"/>
    </xf>
    <xf numFmtId="0" fontId="63" fillId="6" borderId="19" xfId="1" applyFont="1" applyFill="1" applyBorder="1" applyAlignment="1" applyProtection="1">
      <alignment vertical="center"/>
    </xf>
    <xf numFmtId="0" fontId="63" fillId="6" borderId="0" xfId="1" applyFont="1" applyFill="1" applyBorder="1" applyAlignment="1" applyProtection="1">
      <alignment vertical="center"/>
    </xf>
    <xf numFmtId="0" fontId="64" fillId="3" borderId="0" xfId="0" applyFont="1" applyFill="1" applyAlignment="1" applyProtection="1">
      <alignment vertical="center"/>
      <protection locked="0"/>
    </xf>
    <xf numFmtId="0" fontId="63" fillId="6" borderId="1" xfId="1" applyFont="1" applyFill="1" applyBorder="1" applyAlignment="1" applyProtection="1">
      <alignment vertical="center"/>
    </xf>
    <xf numFmtId="178" fontId="63" fillId="6" borderId="1" xfId="1" applyNumberFormat="1" applyFont="1" applyFill="1" applyBorder="1" applyAlignment="1" applyProtection="1">
      <alignment horizontal="right" vertical="center"/>
    </xf>
    <xf numFmtId="0" fontId="63" fillId="6" borderId="13" xfId="1" applyFont="1" applyFill="1" applyBorder="1" applyAlignment="1" applyProtection="1">
      <alignment vertical="center"/>
    </xf>
    <xf numFmtId="0" fontId="63" fillId="6" borderId="13" xfId="1" applyFont="1" applyFill="1" applyBorder="1" applyAlignment="1" applyProtection="1">
      <alignment horizontal="right" vertical="center"/>
    </xf>
    <xf numFmtId="49" fontId="63" fillId="6" borderId="51" xfId="1" applyNumberFormat="1" applyFont="1" applyFill="1" applyBorder="1" applyAlignment="1" applyProtection="1"/>
    <xf numFmtId="49" fontId="63" fillId="6" borderId="20" xfId="1" applyNumberFormat="1" applyFont="1" applyFill="1" applyBorder="1" applyAlignment="1" applyProtection="1"/>
    <xf numFmtId="49" fontId="63" fillId="6" borderId="21" xfId="1" applyNumberFormat="1" applyFont="1" applyFill="1" applyBorder="1" applyAlignment="1" applyProtection="1"/>
    <xf numFmtId="0" fontId="63" fillId="3" borderId="0" xfId="0" applyFont="1" applyFill="1" applyAlignment="1" applyProtection="1">
      <alignment vertical="center"/>
      <protection locked="0"/>
    </xf>
    <xf numFmtId="0" fontId="60" fillId="6" borderId="23" xfId="1" applyFont="1" applyFill="1" applyBorder="1" applyAlignment="1" applyProtection="1">
      <alignment horizontal="left"/>
    </xf>
    <xf numFmtId="0" fontId="60" fillId="6" borderId="5" xfId="1" applyFont="1" applyFill="1" applyBorder="1" applyAlignment="1" applyProtection="1"/>
    <xf numFmtId="178" fontId="60" fillId="6" borderId="1" xfId="1" applyNumberFormat="1" applyFont="1" applyFill="1" applyBorder="1" applyAlignment="1" applyProtection="1">
      <alignment horizontal="center"/>
    </xf>
    <xf numFmtId="0" fontId="60" fillId="6" borderId="1" xfId="1" applyFont="1" applyFill="1" applyBorder="1" applyAlignment="1" applyProtection="1">
      <alignment horizontal="center"/>
    </xf>
    <xf numFmtId="0" fontId="60" fillId="6" borderId="24" xfId="1" applyFont="1" applyFill="1" applyBorder="1" applyAlignment="1" applyProtection="1">
      <alignment horizontal="left"/>
    </xf>
    <xf numFmtId="0" fontId="60" fillId="3" borderId="0" xfId="0" applyFont="1" applyFill="1" applyAlignment="1" applyProtection="1">
      <alignment vertical="center"/>
      <protection locked="0"/>
    </xf>
    <xf numFmtId="0" fontId="59" fillId="6" borderId="5" xfId="1" applyFont="1" applyFill="1" applyBorder="1" applyAlignment="1" applyProtection="1"/>
    <xf numFmtId="178" fontId="59" fillId="0" borderId="1" xfId="1" applyNumberFormat="1" applyFont="1" applyFill="1" applyBorder="1" applyAlignment="1" applyProtection="1">
      <alignment horizontal="center"/>
      <protection locked="0"/>
    </xf>
    <xf numFmtId="180"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178" fontId="59" fillId="6" borderId="1" xfId="1" applyNumberFormat="1" applyFont="1" applyFill="1" applyBorder="1" applyAlignment="1" applyProtection="1">
      <alignment horizontal="center"/>
    </xf>
    <xf numFmtId="10" fontId="59" fillId="6" borderId="1" xfId="1" applyNumberFormat="1" applyFont="1" applyFill="1" applyBorder="1" applyAlignment="1" applyProtection="1">
      <alignment horizontal="center"/>
    </xf>
    <xf numFmtId="178" fontId="59" fillId="6" borderId="1" xfId="1" applyNumberFormat="1" applyFont="1" applyFill="1" applyBorder="1" applyAlignment="1" applyProtection="1"/>
    <xf numFmtId="0" fontId="60" fillId="0" borderId="0" xfId="0" applyFont="1" applyFill="1" applyAlignment="1" applyProtection="1">
      <alignment vertical="center"/>
      <protection locked="0"/>
    </xf>
    <xf numFmtId="0" fontId="65" fillId="6" borderId="5" xfId="1" applyFont="1" applyFill="1" applyBorder="1" applyAlignment="1" applyProtection="1"/>
    <xf numFmtId="178" fontId="65" fillId="6" borderId="1" xfId="1" applyNumberFormat="1" applyFont="1" applyFill="1" applyBorder="1" applyAlignment="1" applyProtection="1">
      <alignment horizontal="center"/>
    </xf>
    <xf numFmtId="0" fontId="59" fillId="6" borderId="24" xfId="1" applyFont="1" applyFill="1" applyBorder="1" applyAlignment="1" applyProtection="1">
      <alignment vertical="center" wrapText="1"/>
    </xf>
    <xf numFmtId="0" fontId="59" fillId="6" borderId="23" xfId="1" applyFont="1" applyFill="1" applyBorder="1" applyAlignment="1" applyProtection="1">
      <alignment horizontal="left"/>
    </xf>
    <xf numFmtId="0" fontId="59" fillId="6" borderId="0" xfId="1" applyFont="1" applyFill="1" applyBorder="1" applyAlignment="1" applyProtection="1">
      <alignment horizontal="center"/>
    </xf>
    <xf numFmtId="0" fontId="59" fillId="6" borderId="1" xfId="0" applyFont="1" applyFill="1" applyBorder="1" applyProtection="1">
      <alignment vertical="center"/>
    </xf>
    <xf numFmtId="180" fontId="60" fillId="6" borderId="1" xfId="1" applyNumberFormat="1" applyFont="1" applyFill="1" applyBorder="1" applyAlignment="1" applyProtection="1">
      <alignment horizontal="center"/>
    </xf>
    <xf numFmtId="9" fontId="60" fillId="6" borderId="5" xfId="1" applyNumberFormat="1" applyFont="1" applyFill="1" applyBorder="1" applyAlignment="1" applyProtection="1">
      <alignment horizontal="center"/>
    </xf>
    <xf numFmtId="0" fontId="60" fillId="6" borderId="1" xfId="0" applyFont="1" applyFill="1" applyBorder="1" applyAlignment="1" applyProtection="1">
      <alignment horizontal="center" vertical="center"/>
    </xf>
    <xf numFmtId="10" fontId="60" fillId="6" borderId="5" xfId="1" applyNumberFormat="1" applyFont="1" applyFill="1" applyBorder="1" applyAlignment="1" applyProtection="1">
      <alignment horizontal="center"/>
    </xf>
    <xf numFmtId="0" fontId="60" fillId="6" borderId="24" xfId="0" applyFont="1" applyFill="1" applyBorder="1" applyAlignment="1" applyProtection="1">
      <alignment vertical="center"/>
    </xf>
    <xf numFmtId="0" fontId="60" fillId="6" borderId="1" xfId="0" applyFont="1" applyFill="1" applyBorder="1" applyAlignment="1" applyProtection="1">
      <alignment horizontal="right" vertical="center"/>
    </xf>
    <xf numFmtId="0" fontId="60" fillId="6" borderId="1" xfId="0" applyFont="1" applyFill="1" applyBorder="1" applyAlignment="1" applyProtection="1">
      <alignment horizontal="left" vertical="center"/>
    </xf>
    <xf numFmtId="10" fontId="60" fillId="6" borderId="5" xfId="1" applyNumberFormat="1" applyFont="1" applyFill="1" applyBorder="1" applyAlignment="1" applyProtection="1">
      <alignment horizontal="center" vertical="center"/>
    </xf>
    <xf numFmtId="0" fontId="59" fillId="6" borderId="1" xfId="0" applyFont="1" applyFill="1" applyBorder="1" applyAlignment="1" applyProtection="1">
      <alignment horizontal="center" vertical="center"/>
    </xf>
    <xf numFmtId="180"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xf>
    <xf numFmtId="0" fontId="60" fillId="6" borderId="1" xfId="0" applyFont="1" applyFill="1" applyBorder="1" applyAlignment="1" applyProtection="1">
      <alignment vertical="center"/>
    </xf>
    <xf numFmtId="0" fontId="59" fillId="6" borderId="61" xfId="0" applyFont="1" applyFill="1" applyBorder="1" applyAlignment="1" applyProtection="1">
      <alignment vertical="center" wrapText="1"/>
    </xf>
    <xf numFmtId="0" fontId="59" fillId="6" borderId="8" xfId="0" applyFont="1" applyFill="1" applyBorder="1" applyAlignment="1" applyProtection="1">
      <alignment vertical="center"/>
    </xf>
    <xf numFmtId="0" fontId="60" fillId="6" borderId="5" xfId="1" applyFont="1" applyFill="1" applyBorder="1" applyAlignment="1" applyProtection="1">
      <alignment vertical="center"/>
    </xf>
    <xf numFmtId="178" fontId="60" fillId="6" borderId="1" xfId="1" applyNumberFormat="1" applyFont="1" applyFill="1" applyBorder="1" applyAlignment="1" applyProtection="1">
      <alignment horizontal="center" vertical="center"/>
    </xf>
    <xf numFmtId="9" fontId="60" fillId="6" borderId="5" xfId="1" applyNumberFormat="1" applyFont="1" applyFill="1" applyBorder="1" applyAlignment="1" applyProtection="1">
      <alignment horizontal="center" vertical="center"/>
    </xf>
    <xf numFmtId="0" fontId="60" fillId="6" borderId="24" xfId="0" applyFont="1" applyFill="1" applyBorder="1" applyAlignment="1" applyProtection="1">
      <alignment vertical="center" wrapText="1"/>
    </xf>
    <xf numFmtId="0" fontId="59" fillId="6" borderId="5" xfId="1" applyFont="1" applyFill="1" applyBorder="1" applyAlignment="1" applyProtection="1">
      <alignment horizontal="left"/>
    </xf>
    <xf numFmtId="178" fontId="59" fillId="6" borderId="1" xfId="1" applyNumberFormat="1" applyFont="1" applyFill="1" applyBorder="1" applyAlignment="1" applyProtection="1">
      <alignment horizontal="center" vertical="center"/>
    </xf>
    <xf numFmtId="9" fontId="60" fillId="6" borderId="1" xfId="1" applyNumberFormat="1" applyFont="1" applyFill="1" applyBorder="1" applyAlignment="1" applyProtection="1">
      <alignment horizontal="center"/>
    </xf>
    <xf numFmtId="0" fontId="59" fillId="3" borderId="0" xfId="0" applyFont="1" applyFill="1" applyAlignment="1" applyProtection="1">
      <alignment vertical="center"/>
      <protection locked="0"/>
    </xf>
    <xf numFmtId="49" fontId="63" fillId="6" borderId="37" xfId="1" applyNumberFormat="1" applyFont="1" applyFill="1" applyBorder="1" applyAlignment="1" applyProtection="1"/>
    <xf numFmtId="49" fontId="63" fillId="6" borderId="54" xfId="1" applyNumberFormat="1" applyFont="1" applyFill="1" applyBorder="1" applyAlignment="1" applyProtection="1"/>
    <xf numFmtId="49" fontId="63" fillId="6" borderId="48" xfId="1" applyNumberFormat="1" applyFont="1" applyFill="1" applyBorder="1" applyAlignment="1" applyProtection="1"/>
    <xf numFmtId="49" fontId="60" fillId="6" borderId="23" xfId="1" applyNumberFormat="1" applyFont="1" applyFill="1" applyBorder="1" applyAlignment="1" applyProtection="1">
      <alignment horizontal="left"/>
    </xf>
    <xf numFmtId="178" fontId="60" fillId="6" borderId="1" xfId="0" applyNumberFormat="1" applyFont="1" applyFill="1" applyBorder="1" applyAlignment="1" applyProtection="1">
      <alignment horizontal="center" vertical="center"/>
    </xf>
    <xf numFmtId="182" fontId="60" fillId="6" borderId="5" xfId="1" applyNumberFormat="1" applyFont="1" applyFill="1" applyBorder="1" applyAlignment="1" applyProtection="1">
      <alignment horizontal="center"/>
    </xf>
    <xf numFmtId="0" fontId="59" fillId="0" borderId="0" xfId="0" applyFont="1" applyFill="1" applyAlignment="1" applyProtection="1">
      <alignment vertical="center"/>
      <protection locked="0"/>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wrapText="1"/>
    </xf>
    <xf numFmtId="0" fontId="59" fillId="6" borderId="24" xfId="1" applyFont="1" applyFill="1" applyBorder="1" applyAlignment="1" applyProtection="1">
      <alignment horizontal="left" vertical="center"/>
    </xf>
    <xf numFmtId="10" fontId="60" fillId="6" borderId="1" xfId="0" applyNumberFormat="1" applyFont="1" applyFill="1" applyBorder="1" applyAlignment="1" applyProtection="1">
      <alignment horizontal="right" vertical="center"/>
    </xf>
    <xf numFmtId="186" fontId="60" fillId="6" borderId="1" xfId="0" applyNumberFormat="1" applyFont="1" applyFill="1" applyBorder="1" applyAlignment="1" applyProtection="1">
      <alignment horizontal="right" vertical="center"/>
    </xf>
    <xf numFmtId="10" fontId="60" fillId="6" borderId="1" xfId="1" applyNumberFormat="1" applyFont="1" applyFill="1" applyBorder="1" applyAlignment="1" applyProtection="1">
      <alignment horizontal="center" vertical="center"/>
    </xf>
    <xf numFmtId="49" fontId="63" fillId="6" borderId="38" xfId="1" applyNumberFormat="1" applyFont="1" applyFill="1" applyBorder="1" applyAlignment="1" applyProtection="1"/>
    <xf numFmtId="49" fontId="63" fillId="6" borderId="52" xfId="1" applyNumberFormat="1" applyFont="1" applyFill="1" applyBorder="1" applyAlignment="1" applyProtection="1"/>
    <xf numFmtId="178" fontId="60" fillId="6" borderId="32" xfId="0" applyNumberFormat="1" applyFont="1" applyFill="1" applyBorder="1" applyAlignment="1" applyProtection="1">
      <alignment horizontal="center" vertical="center"/>
    </xf>
    <xf numFmtId="49" fontId="63" fillId="6" borderId="68" xfId="1" applyNumberFormat="1" applyFont="1" applyFill="1" applyBorder="1" applyAlignment="1" applyProtection="1"/>
    <xf numFmtId="0" fontId="59" fillId="3" borderId="0" xfId="0" applyFont="1" applyFill="1" applyAlignment="1" applyProtection="1">
      <alignment horizontal="left" vertical="center"/>
      <protection locked="0"/>
    </xf>
    <xf numFmtId="0" fontId="66" fillId="6" borderId="1" xfId="0" applyFont="1" applyFill="1" applyBorder="1" applyAlignment="1" applyProtection="1">
      <alignment horizontal="left"/>
    </xf>
    <xf numFmtId="0" fontId="64" fillId="6" borderId="1" xfId="0" applyFont="1" applyFill="1" applyBorder="1" applyAlignment="1" applyProtection="1">
      <alignment horizontal="center" vertical="center"/>
    </xf>
    <xf numFmtId="0" fontId="59" fillId="3" borderId="0" xfId="0" applyFont="1" applyFill="1" applyAlignment="1" applyProtection="1">
      <alignment horizontal="center" vertical="center"/>
      <protection locked="0"/>
    </xf>
    <xf numFmtId="0" fontId="53" fillId="6" borderId="1" xfId="0" applyFont="1" applyFill="1" applyBorder="1" applyAlignment="1" applyProtection="1"/>
    <xf numFmtId="182" fontId="59" fillId="6" borderId="1" xfId="0" applyNumberFormat="1" applyFont="1" applyFill="1" applyBorder="1" applyAlignment="1" applyProtection="1">
      <alignment horizontal="center"/>
    </xf>
    <xf numFmtId="182" fontId="53" fillId="6" borderId="1" xfId="0" applyNumberFormat="1" applyFont="1" applyFill="1" applyBorder="1" applyAlignment="1" applyProtection="1">
      <alignment horizontal="center"/>
    </xf>
    <xf numFmtId="0" fontId="51" fillId="6" borderId="0" xfId="1" applyFont="1" applyFill="1" applyBorder="1" applyAlignment="1" applyProtection="1">
      <alignment vertical="center"/>
    </xf>
    <xf numFmtId="177" fontId="108" fillId="6" borderId="1" xfId="0" applyNumberFormat="1" applyFont="1" applyFill="1" applyBorder="1" applyAlignment="1" applyProtection="1">
      <alignment horizontal="center" vertical="center"/>
    </xf>
    <xf numFmtId="177" fontId="108" fillId="6" borderId="24"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right" vertical="center"/>
    </xf>
    <xf numFmtId="178" fontId="52" fillId="6" borderId="1" xfId="1" applyNumberFormat="1" applyFont="1" applyFill="1" applyBorder="1" applyAlignment="1" applyProtection="1">
      <alignment vertical="center"/>
    </xf>
    <xf numFmtId="178"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xf>
    <xf numFmtId="178" fontId="53" fillId="6" borderId="54" xfId="1" applyNumberFormat="1" applyFont="1" applyFill="1" applyBorder="1" applyAlignment="1" applyProtection="1">
      <alignment vertical="center"/>
    </xf>
    <xf numFmtId="10" fontId="53" fillId="6" borderId="13" xfId="0" applyNumberFormat="1" applyFont="1" applyFill="1" applyBorder="1" applyAlignment="1" applyProtection="1">
      <alignment horizontal="center" vertical="center"/>
    </xf>
    <xf numFmtId="178" fontId="52" fillId="6" borderId="3" xfId="0" applyNumberFormat="1" applyFont="1" applyFill="1" applyBorder="1" applyAlignment="1" applyProtection="1">
      <alignment horizontal="center" vertical="center" wrapText="1"/>
    </xf>
    <xf numFmtId="10" fontId="52" fillId="6" borderId="1" xfId="0" applyNumberFormat="1" applyFont="1" applyFill="1" applyBorder="1" applyAlignment="1" applyProtection="1">
      <alignment horizontal="center" vertical="center" wrapText="1"/>
    </xf>
    <xf numFmtId="0" fontId="55" fillId="3" borderId="0" xfId="0" applyFont="1" applyFill="1" applyAlignment="1" applyProtection="1">
      <alignment vertical="center" wrapText="1"/>
      <protection locked="0"/>
    </xf>
    <xf numFmtId="10" fontId="53"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78" fontId="53" fillId="6" borderId="1" xfId="0" applyNumberFormat="1" applyFont="1" applyFill="1" applyBorder="1" applyAlignment="1" applyProtection="1">
      <alignment horizontal="center" vertical="center" wrapText="1"/>
    </xf>
    <xf numFmtId="0" fontId="69" fillId="0" borderId="0" xfId="0" applyFont="1" applyFill="1" applyAlignment="1" applyProtection="1">
      <alignment vertical="center"/>
      <protection locked="0"/>
    </xf>
    <xf numFmtId="0" fontId="51" fillId="6" borderId="1" xfId="0" applyFont="1" applyFill="1" applyBorder="1" applyAlignment="1" applyProtection="1">
      <alignment horizontal="center" vertical="center"/>
    </xf>
    <xf numFmtId="49" fontId="68" fillId="6" borderId="0" xfId="0" applyNumberFormat="1" applyFont="1" applyFill="1" applyBorder="1" applyAlignment="1" applyProtection="1">
      <alignment horizontal="center"/>
    </xf>
    <xf numFmtId="49" fontId="53" fillId="6" borderId="6"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28" xfId="0" applyFont="1" applyFill="1" applyBorder="1" applyAlignment="1" applyProtection="1">
      <alignment horizontal="right" vertical="center"/>
    </xf>
    <xf numFmtId="0" fontId="53" fillId="6" borderId="21" xfId="0" applyFont="1" applyFill="1" applyBorder="1" applyAlignment="1" applyProtection="1">
      <alignment horizontal="center" vertical="center"/>
    </xf>
    <xf numFmtId="49" fontId="58" fillId="6" borderId="11" xfId="0" applyNumberFormat="1" applyFont="1" applyFill="1" applyBorder="1" applyAlignment="1" applyProtection="1">
      <alignment vertical="center"/>
    </xf>
    <xf numFmtId="0" fontId="58" fillId="6" borderId="13" xfId="0" applyFont="1" applyFill="1" applyBorder="1" applyAlignment="1" applyProtection="1">
      <alignment vertical="center" wrapText="1"/>
    </xf>
    <xf numFmtId="0" fontId="58" fillId="6" borderId="13" xfId="0" applyFont="1" applyFill="1" applyBorder="1" applyAlignment="1" applyProtection="1">
      <alignment horizontal="center" vertical="center"/>
    </xf>
    <xf numFmtId="0" fontId="53" fillId="6" borderId="1" xfId="0" applyFont="1" applyFill="1" applyBorder="1" applyAlignment="1" applyProtection="1">
      <alignment horizontal="left" vertical="center"/>
    </xf>
    <xf numFmtId="0" fontId="58" fillId="6" borderId="24" xfId="0" applyFont="1" applyFill="1" applyBorder="1" applyAlignment="1" applyProtection="1">
      <alignment horizontal="center" vertical="center"/>
    </xf>
    <xf numFmtId="49" fontId="58" fillId="6" borderId="14" xfId="0" applyNumberFormat="1" applyFont="1" applyFill="1" applyBorder="1" applyAlignment="1" applyProtection="1">
      <alignment vertical="center"/>
    </xf>
    <xf numFmtId="0" fontId="58" fillId="6" borderId="15" xfId="0" applyFont="1" applyFill="1" applyBorder="1" applyAlignment="1" applyProtection="1">
      <alignment vertical="center" wrapText="1"/>
    </xf>
    <xf numFmtId="0" fontId="58" fillId="6" borderId="15" xfId="0" applyFont="1" applyFill="1" applyBorder="1" applyAlignment="1" applyProtection="1">
      <alignment horizontal="center" vertical="center"/>
    </xf>
    <xf numFmtId="0" fontId="53" fillId="6" borderId="15" xfId="0" applyFont="1" applyFill="1" applyBorder="1" applyAlignment="1" applyProtection="1">
      <alignment vertical="center"/>
    </xf>
    <xf numFmtId="49" fontId="58" fillId="6" borderId="41" xfId="0" applyNumberFormat="1" applyFont="1" applyFill="1" applyBorder="1" applyAlignment="1" applyProtection="1">
      <alignment vertical="center"/>
    </xf>
    <xf numFmtId="0" fontId="58" fillId="6" borderId="2" xfId="0" applyFont="1" applyFill="1" applyBorder="1" applyAlignment="1" applyProtection="1">
      <alignment vertical="center" wrapText="1"/>
    </xf>
    <xf numFmtId="0" fontId="58" fillId="6" borderId="2" xfId="0" applyFont="1" applyFill="1" applyBorder="1" applyAlignment="1" applyProtection="1">
      <alignment horizontal="center" vertical="center"/>
    </xf>
    <xf numFmtId="0" fontId="53" fillId="6" borderId="2" xfId="0" applyFont="1" applyFill="1" applyBorder="1" applyAlignment="1" applyProtection="1">
      <alignment vertical="center"/>
    </xf>
    <xf numFmtId="182" fontId="58" fillId="6" borderId="24" xfId="0" applyNumberFormat="1" applyFont="1" applyFill="1" applyBorder="1" applyAlignment="1" applyProtection="1">
      <alignment horizontal="center" vertical="center"/>
    </xf>
    <xf numFmtId="0" fontId="53" fillId="6" borderId="13" xfId="0" applyFont="1" applyFill="1" applyBorder="1" applyAlignment="1" applyProtection="1">
      <alignment horizontal="left" vertical="center"/>
    </xf>
    <xf numFmtId="182" fontId="58" fillId="6" borderId="61" xfId="0" applyNumberFormat="1" applyFont="1" applyFill="1" applyBorder="1" applyAlignment="1" applyProtection="1">
      <alignment horizontal="center" vertical="center"/>
    </xf>
    <xf numFmtId="49" fontId="58" fillId="6" borderId="23" xfId="0" applyNumberFormat="1" applyFont="1" applyFill="1" applyBorder="1" applyAlignment="1" applyProtection="1">
      <alignment horizontal="left" vertical="center"/>
    </xf>
    <xf numFmtId="0" fontId="58" fillId="6" borderId="1" xfId="0" applyFont="1" applyFill="1" applyBorder="1" applyAlignment="1" applyProtection="1">
      <alignment horizontal="center" vertical="center"/>
    </xf>
    <xf numFmtId="182" fontId="53" fillId="6" borderId="61" xfId="0" applyNumberFormat="1" applyFont="1" applyFill="1" applyBorder="1" applyAlignment="1" applyProtection="1">
      <alignment horizontal="center" vertical="center"/>
    </xf>
    <xf numFmtId="0" fontId="108" fillId="6" borderId="5" xfId="0" applyFont="1" applyFill="1" applyBorder="1" applyAlignment="1" applyProtection="1">
      <alignment horizontal="center" vertical="center"/>
    </xf>
    <xf numFmtId="180" fontId="58" fillId="6" borderId="48"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xf>
    <xf numFmtId="182" fontId="53" fillId="6" borderId="8" xfId="0" applyNumberFormat="1" applyFont="1" applyFill="1" applyBorder="1" applyAlignment="1" applyProtection="1">
      <alignment horizontal="center" vertical="center"/>
    </xf>
    <xf numFmtId="182" fontId="53" fillId="6" borderId="24" xfId="0" applyNumberFormat="1" applyFont="1" applyFill="1" applyBorder="1" applyAlignment="1" applyProtection="1">
      <alignment horizontal="center" vertical="center"/>
    </xf>
    <xf numFmtId="182" fontId="53" fillId="6" borderId="48" xfId="0" applyNumberFormat="1" applyFont="1" applyFill="1" applyBorder="1" applyAlignment="1" applyProtection="1">
      <alignment horizontal="center" vertical="center" wrapText="1"/>
    </xf>
    <xf numFmtId="0" fontId="53" fillId="6" borderId="1"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24" xfId="0" applyFont="1" applyFill="1" applyBorder="1" applyAlignment="1" applyProtection="1">
      <alignment horizontal="center"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horizontal="left" vertical="center" wrapText="1"/>
    </xf>
    <xf numFmtId="10" fontId="58" fillId="6" borderId="24" xfId="0" applyNumberFormat="1" applyFont="1" applyFill="1" applyBorder="1" applyAlignment="1" applyProtection="1">
      <alignment horizontal="center" vertical="center"/>
    </xf>
    <xf numFmtId="0" fontId="53" fillId="6" borderId="1" xfId="0" applyFont="1" applyFill="1" applyBorder="1" applyAlignment="1" applyProtection="1">
      <alignment vertical="center"/>
    </xf>
    <xf numFmtId="184" fontId="58" fillId="6" borderId="24" xfId="0" applyNumberFormat="1" applyFont="1" applyFill="1" applyBorder="1" applyAlignment="1" applyProtection="1">
      <alignment horizontal="center" vertical="center"/>
    </xf>
    <xf numFmtId="10" fontId="53" fillId="6" borderId="24" xfId="0" applyNumberFormat="1" applyFont="1" applyFill="1" applyBorder="1" applyAlignment="1" applyProtection="1">
      <alignment horizontal="center" vertical="center"/>
    </xf>
    <xf numFmtId="0" fontId="53" fillId="6" borderId="15" xfId="0" applyFont="1" applyFill="1" applyBorder="1" applyAlignment="1" applyProtection="1">
      <alignment horizontal="left" vertical="center" wrapText="1"/>
    </xf>
    <xf numFmtId="180" fontId="58" fillId="6" borderId="24"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8" fillId="6" borderId="32" xfId="0" applyFont="1" applyFill="1" applyBorder="1" applyAlignment="1" applyProtection="1">
      <alignment horizontal="left" vertical="center"/>
    </xf>
    <xf numFmtId="0" fontId="58" fillId="6" borderId="32" xfId="0" applyFont="1" applyFill="1" applyBorder="1" applyAlignment="1" applyProtection="1">
      <alignment horizontal="center" vertical="center"/>
    </xf>
    <xf numFmtId="0" fontId="53" fillId="6" borderId="32" xfId="0" applyFont="1" applyFill="1" applyBorder="1" applyAlignment="1" applyProtection="1">
      <alignment vertical="center"/>
    </xf>
    <xf numFmtId="0" fontId="53" fillId="6" borderId="32" xfId="0" applyFont="1" applyFill="1" applyBorder="1" applyAlignment="1" applyProtection="1">
      <alignment horizontal="left" vertical="center"/>
    </xf>
    <xf numFmtId="180" fontId="58" fillId="6" borderId="49" xfId="0" applyNumberFormat="1" applyFont="1" applyFill="1" applyBorder="1" applyAlignment="1" applyProtection="1">
      <alignment horizontal="center" vertical="center"/>
    </xf>
    <xf numFmtId="0" fontId="59" fillId="6" borderId="1" xfId="0" applyFont="1" applyFill="1" applyBorder="1" applyAlignment="1" applyProtection="1">
      <alignment horizontal="left"/>
    </xf>
    <xf numFmtId="187" fontId="59" fillId="6" borderId="1" xfId="0" applyNumberFormat="1" applyFont="1" applyFill="1" applyBorder="1" applyAlignment="1" applyProtection="1">
      <alignment horizontal="center"/>
    </xf>
    <xf numFmtId="0" fontId="59" fillId="6" borderId="1" xfId="0" applyFont="1" applyFill="1" applyBorder="1" applyAlignment="1" applyProtection="1">
      <alignment vertical="center" wrapText="1"/>
    </xf>
    <xf numFmtId="182" fontId="58"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left"/>
    </xf>
    <xf numFmtId="0" fontId="111" fillId="6" borderId="1" xfId="0" applyFont="1" applyFill="1" applyBorder="1" applyAlignment="1" applyProtection="1">
      <alignment horizontal="center"/>
    </xf>
    <xf numFmtId="0" fontId="66" fillId="6" borderId="1" xfId="0" applyFont="1" applyFill="1" applyBorder="1" applyAlignment="1" applyProtection="1">
      <alignment horizontal="center"/>
    </xf>
    <xf numFmtId="0" fontId="64" fillId="0" borderId="0" xfId="0" applyFont="1" applyFill="1" applyAlignment="1" applyProtection="1">
      <alignment horizontal="center" vertical="center"/>
      <protection locked="0"/>
    </xf>
    <xf numFmtId="0" fontId="110" fillId="6" borderId="46" xfId="0" applyFont="1" applyFill="1" applyBorder="1" applyAlignment="1" applyProtection="1">
      <alignment vertical="center"/>
    </xf>
    <xf numFmtId="0" fontId="68" fillId="6" borderId="36" xfId="0" applyFont="1" applyFill="1" applyBorder="1" applyAlignment="1" applyProtection="1">
      <alignment horizontal="right" vertical="center"/>
    </xf>
    <xf numFmtId="0" fontId="68" fillId="6" borderId="0" xfId="0" applyFont="1" applyFill="1" applyAlignment="1" applyProtection="1">
      <alignment horizontal="center" vertical="center"/>
    </xf>
    <xf numFmtId="0" fontId="69" fillId="0" borderId="0" xfId="0"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63" fillId="6" borderId="13" xfId="0" applyFont="1" applyFill="1" applyBorder="1" applyAlignment="1" applyProtection="1">
      <alignment horizontal="right" vertical="center"/>
    </xf>
    <xf numFmtId="0" fontId="63" fillId="6" borderId="13" xfId="0" applyFont="1" applyFill="1" applyBorder="1" applyAlignment="1" applyProtection="1">
      <alignment horizontal="center" vertical="center"/>
    </xf>
    <xf numFmtId="0" fontId="56" fillId="6" borderId="16" xfId="0" applyFont="1" applyFill="1" applyBorder="1" applyAlignment="1" applyProtection="1">
      <alignment vertical="center" wrapText="1"/>
    </xf>
    <xf numFmtId="0" fontId="56" fillId="6" borderId="19" xfId="0" applyFont="1" applyFill="1" applyBorder="1" applyAlignment="1" applyProtection="1">
      <alignment vertical="center" wrapText="1"/>
    </xf>
    <xf numFmtId="0" fontId="57" fillId="0" borderId="0" xfId="0" applyFont="1" applyFill="1" applyAlignment="1" applyProtection="1">
      <alignment horizontal="center" vertical="center"/>
      <protection locked="0"/>
    </xf>
    <xf numFmtId="0" fontId="56" fillId="6" borderId="1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6" fillId="6" borderId="42"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2" fillId="6" borderId="63" xfId="0" applyFont="1" applyFill="1" applyBorder="1" applyAlignment="1" applyProtection="1">
      <alignment vertical="center" wrapText="1"/>
    </xf>
    <xf numFmtId="0" fontId="52" fillId="6" borderId="64" xfId="0" applyFont="1" applyFill="1" applyBorder="1" applyAlignment="1" applyProtection="1">
      <alignment vertical="center" wrapText="1"/>
    </xf>
    <xf numFmtId="185" fontId="50" fillId="6" borderId="26" xfId="0" applyNumberFormat="1" applyFont="1" applyFill="1" applyBorder="1" applyAlignment="1" applyProtection="1">
      <alignment horizontal="center" vertical="center" wrapText="1"/>
    </xf>
    <xf numFmtId="0" fontId="50" fillId="6" borderId="67" xfId="0" applyNumberFormat="1" applyFont="1" applyFill="1" applyBorder="1" applyAlignment="1" applyProtection="1">
      <alignment horizontal="center" vertical="center" wrapText="1"/>
    </xf>
    <xf numFmtId="185" fontId="50" fillId="0" borderId="70" xfId="0" applyNumberFormat="1" applyFont="1" applyFill="1" applyBorder="1" applyAlignment="1" applyProtection="1">
      <alignment horizontal="center" vertical="center" wrapText="1"/>
      <protection locked="0"/>
    </xf>
    <xf numFmtId="0" fontId="50" fillId="6" borderId="34" xfId="0" applyNumberFormat="1" applyFont="1" applyFill="1" applyBorder="1" applyAlignment="1" applyProtection="1">
      <alignment horizontal="center" vertical="center" wrapText="1"/>
    </xf>
    <xf numFmtId="49" fontId="50" fillId="2" borderId="26"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wrapText="1"/>
    </xf>
    <xf numFmtId="0" fontId="50" fillId="0" borderId="51" xfId="0" applyNumberFormat="1" applyFont="1" applyFill="1" applyBorder="1" applyAlignment="1" applyProtection="1">
      <alignment horizontal="center" vertical="center" wrapText="1"/>
      <protection locked="0"/>
    </xf>
    <xf numFmtId="49" fontId="50" fillId="2" borderId="30" xfId="0" applyNumberFormat="1" applyFont="1" applyFill="1" applyBorder="1" applyAlignment="1" applyProtection="1">
      <alignment horizontal="center" vertical="center" wrapText="1"/>
      <protection locked="0"/>
    </xf>
    <xf numFmtId="0" fontId="50" fillId="6" borderId="28" xfId="0" applyNumberFormat="1" applyFont="1" applyFill="1" applyBorder="1" applyAlignment="1" applyProtection="1">
      <alignment horizontal="center" vertical="center" wrapText="1"/>
    </xf>
    <xf numFmtId="49" fontId="50" fillId="2" borderId="6"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protection locked="0"/>
    </xf>
    <xf numFmtId="0" fontId="72" fillId="6" borderId="14" xfId="0" applyFont="1" applyFill="1" applyBorder="1" applyAlignment="1" applyProtection="1">
      <alignment vertical="center" wrapText="1"/>
    </xf>
    <xf numFmtId="0" fontId="50" fillId="6" borderId="5" xfId="0" applyFont="1" applyFill="1" applyBorder="1" applyAlignment="1" applyProtection="1">
      <alignment horizontal="center" vertical="center" wrapText="1"/>
    </xf>
    <xf numFmtId="49" fontId="50" fillId="2" borderId="2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wrapText="1"/>
    </xf>
    <xf numFmtId="0" fontId="64" fillId="0" borderId="48"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wrapText="1"/>
    </xf>
    <xf numFmtId="0" fontId="50" fillId="0" borderId="2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2" fillId="6" borderId="14" xfId="0" applyFont="1" applyFill="1" applyBorder="1" applyAlignment="1" applyProtection="1">
      <alignment vertical="center" wrapText="1"/>
    </xf>
    <xf numFmtId="0" fontId="50" fillId="0" borderId="41" xfId="0" applyNumberFormat="1" applyFont="1" applyFill="1" applyBorder="1" applyAlignment="1" applyProtection="1">
      <alignment horizontal="center" vertical="center" wrapText="1"/>
      <protection locked="0"/>
    </xf>
    <xf numFmtId="0" fontId="50" fillId="6" borderId="71" xfId="0" applyNumberFormat="1" applyFont="1" applyFill="1" applyBorder="1" applyAlignment="1" applyProtection="1">
      <alignment horizontal="center" vertical="center" wrapText="1"/>
    </xf>
    <xf numFmtId="0" fontId="57" fillId="0" borderId="37" xfId="0" applyNumberFormat="1" applyFont="1" applyFill="1" applyBorder="1" applyAlignment="1" applyProtection="1">
      <alignment horizontal="center" vertical="center" wrapText="1"/>
      <protection locked="0"/>
    </xf>
    <xf numFmtId="0" fontId="57" fillId="6" borderId="24" xfId="0" applyNumberFormat="1" applyFont="1" applyFill="1" applyBorder="1" applyAlignment="1" applyProtection="1">
      <alignment horizontal="center" vertical="center" wrapText="1"/>
    </xf>
    <xf numFmtId="0" fontId="56" fillId="6" borderId="12" xfId="0" applyFont="1" applyFill="1" applyBorder="1" applyAlignment="1" applyProtection="1">
      <alignment vertical="center" wrapText="1"/>
    </xf>
    <xf numFmtId="0" fontId="57" fillId="0" borderId="38" xfId="0" applyNumberFormat="1" applyFont="1" applyFill="1" applyBorder="1" applyAlignment="1" applyProtection="1">
      <alignment horizontal="center" vertical="center" wrapText="1"/>
      <protection locked="0"/>
    </xf>
    <xf numFmtId="0" fontId="57" fillId="6" borderId="49" xfId="0" applyNumberFormat="1" applyFont="1" applyFill="1" applyBorder="1" applyAlignment="1" applyProtection="1">
      <alignment horizontal="center" vertical="center" wrapText="1"/>
    </xf>
    <xf numFmtId="0" fontId="57" fillId="6" borderId="33" xfId="0" applyNumberFormat="1" applyFont="1" applyFill="1" applyBorder="1" applyAlignment="1" applyProtection="1">
      <alignment horizontal="center" vertical="center" wrapText="1"/>
    </xf>
    <xf numFmtId="0" fontId="56" fillId="6" borderId="40" xfId="0" applyFont="1" applyFill="1" applyBorder="1" applyAlignment="1" applyProtection="1">
      <alignment vertical="center" wrapText="1"/>
    </xf>
    <xf numFmtId="0" fontId="57" fillId="6" borderId="62" xfId="0" applyNumberFormat="1" applyFont="1" applyFill="1" applyBorder="1" applyAlignment="1" applyProtection="1">
      <alignment horizontal="center" vertical="center" wrapText="1"/>
    </xf>
    <xf numFmtId="49" fontId="57" fillId="0" borderId="39" xfId="0" applyNumberFormat="1" applyFont="1" applyFill="1" applyBorder="1" applyAlignment="1" applyProtection="1">
      <alignment horizontal="center" vertical="center" wrapText="1"/>
      <protection locked="0"/>
    </xf>
    <xf numFmtId="0" fontId="57" fillId="6" borderId="29" xfId="0" applyNumberFormat="1" applyFont="1" applyFill="1" applyBorder="1" applyAlignment="1" applyProtection="1">
      <alignment horizontal="center" vertical="center" wrapText="1"/>
    </xf>
    <xf numFmtId="49" fontId="57" fillId="0" borderId="40"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57" fillId="6" borderId="0" xfId="0" applyFont="1" applyFill="1" applyBorder="1" applyAlignment="1" applyProtection="1">
      <alignment horizontal="center" vertical="center"/>
    </xf>
    <xf numFmtId="0" fontId="57" fillId="2" borderId="41" xfId="0" applyNumberFormat="1" applyFont="1" applyFill="1" applyBorder="1" applyAlignment="1" applyProtection="1">
      <alignment horizontal="center" vertical="center" wrapText="1"/>
      <protection locked="0"/>
    </xf>
    <xf numFmtId="0" fontId="57" fillId="6" borderId="8" xfId="0" applyNumberFormat="1" applyFont="1" applyFill="1" applyBorder="1" applyAlignment="1" applyProtection="1">
      <alignment horizontal="center" vertical="center" wrapText="1"/>
    </xf>
    <xf numFmtId="0" fontId="57" fillId="6" borderId="4" xfId="0" applyNumberFormat="1" applyFont="1" applyFill="1" applyBorder="1" applyAlignment="1" applyProtection="1">
      <alignment horizontal="center" vertical="center" wrapText="1"/>
    </xf>
    <xf numFmtId="0" fontId="57" fillId="6" borderId="53" xfId="0" applyNumberFormat="1"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49" fontId="57" fillId="0" borderId="35" xfId="0" applyNumberFormat="1" applyFont="1" applyFill="1" applyBorder="1" applyAlignment="1" applyProtection="1">
      <alignment horizontal="center" vertical="center" wrapText="1"/>
      <protection locked="0"/>
    </xf>
    <xf numFmtId="0" fontId="57" fillId="6" borderId="58" xfId="0" applyNumberFormat="1" applyFont="1" applyFill="1" applyBorder="1" applyAlignment="1" applyProtection="1">
      <alignment horizontal="center" vertical="center" wrapText="1"/>
    </xf>
    <xf numFmtId="49" fontId="57" fillId="0" borderId="14" xfId="0" applyNumberFormat="1" applyFont="1" applyFill="1" applyBorder="1" applyAlignment="1" applyProtection="1">
      <alignment horizontal="center" vertical="center" wrapText="1"/>
      <protection locked="0"/>
    </xf>
    <xf numFmtId="0" fontId="57" fillId="6" borderId="61" xfId="0" applyNumberFormat="1" applyFont="1" applyFill="1" applyBorder="1" applyAlignment="1" applyProtection="1">
      <alignment horizontal="center" vertical="center" wrapText="1"/>
    </xf>
    <xf numFmtId="0" fontId="50" fillId="6" borderId="4" xfId="0" applyFont="1" applyFill="1" applyBorder="1" applyAlignment="1" applyProtection="1">
      <alignment horizontal="center" vertical="center" wrapText="1"/>
    </xf>
    <xf numFmtId="49" fontId="57" fillId="0" borderId="22" xfId="0" applyNumberFormat="1" applyFont="1" applyFill="1" applyBorder="1" applyAlignment="1" applyProtection="1">
      <alignment horizontal="center" vertical="center" wrapText="1"/>
      <protection locked="0"/>
    </xf>
    <xf numFmtId="0" fontId="57" fillId="6" borderId="46" xfId="0" applyNumberFormat="1" applyFont="1" applyFill="1" applyBorder="1" applyAlignment="1" applyProtection="1">
      <alignment horizontal="center" vertical="center" wrapText="1"/>
    </xf>
    <xf numFmtId="49" fontId="57" fillId="0" borderId="11" xfId="0" applyNumberFormat="1" applyFont="1" applyFill="1" applyBorder="1" applyAlignment="1" applyProtection="1">
      <alignment horizontal="center" vertical="center" wrapText="1"/>
      <protection locked="0"/>
    </xf>
    <xf numFmtId="0" fontId="57" fillId="2" borderId="23" xfId="0"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center" vertical="center" wrapText="1"/>
    </xf>
    <xf numFmtId="49" fontId="50" fillId="0" borderId="7"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center" vertical="center" wrapText="1"/>
    </xf>
    <xf numFmtId="49" fontId="50" fillId="0" borderId="41" xfId="0" applyNumberFormat="1" applyFont="1" applyFill="1" applyBorder="1" applyAlignment="1" applyProtection="1">
      <alignment horizontal="center" vertical="center" wrapText="1"/>
      <protection locked="0"/>
    </xf>
    <xf numFmtId="0" fontId="56" fillId="6" borderId="40" xfId="0" applyFont="1" applyFill="1" applyBorder="1" applyAlignment="1" applyProtection="1">
      <alignment vertical="center" textRotation="255" wrapText="1"/>
    </xf>
    <xf numFmtId="0" fontId="57" fillId="6" borderId="10" xfId="0" applyNumberFormat="1" applyFont="1" applyFill="1" applyBorder="1" applyAlignment="1" applyProtection="1">
      <alignment horizontal="center" vertical="center" wrapText="1"/>
    </xf>
    <xf numFmtId="0" fontId="75" fillId="6" borderId="14" xfId="0" applyFont="1" applyFill="1" applyBorder="1" applyAlignment="1" applyProtection="1">
      <alignment vertical="center" textRotation="255" wrapText="1"/>
    </xf>
    <xf numFmtId="0" fontId="50" fillId="0" borderId="37"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textRotation="255" wrapText="1"/>
    </xf>
    <xf numFmtId="0" fontId="52" fillId="6" borderId="14" xfId="0" applyFont="1" applyFill="1" applyBorder="1" applyAlignment="1" applyProtection="1">
      <alignment vertical="center" textRotation="255" wrapText="1"/>
    </xf>
    <xf numFmtId="9" fontId="50" fillId="0" borderId="37" xfId="0" applyNumberFormat="1" applyFont="1" applyFill="1" applyBorder="1" applyAlignment="1" applyProtection="1">
      <alignment horizontal="center" vertical="center" wrapText="1"/>
      <protection locked="0"/>
    </xf>
    <xf numFmtId="9" fontId="50" fillId="0" borderId="3" xfId="0" applyNumberFormat="1" applyFont="1" applyFill="1" applyBorder="1" applyAlignment="1" applyProtection="1">
      <alignment horizontal="center" vertical="center" wrapText="1"/>
      <protection locked="0"/>
    </xf>
    <xf numFmtId="9" fontId="50" fillId="0" borderId="23"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56" fillId="6" borderId="12" xfId="0" applyFont="1" applyFill="1" applyBorder="1" applyAlignment="1" applyProtection="1">
      <alignment vertical="center" textRotation="255" wrapText="1"/>
    </xf>
    <xf numFmtId="49" fontId="56" fillId="6" borderId="51" xfId="0" applyNumberFormat="1" applyFont="1" applyFill="1" applyBorder="1" applyAlignment="1" applyProtection="1">
      <alignment vertical="center"/>
    </xf>
    <xf numFmtId="49" fontId="56" fillId="6" borderId="20" xfId="0" applyNumberFormat="1" applyFont="1" applyFill="1" applyBorder="1" applyAlignment="1" applyProtection="1">
      <alignment vertical="center"/>
    </xf>
    <xf numFmtId="0" fontId="56" fillId="6" borderId="21" xfId="0" applyFont="1" applyFill="1" applyBorder="1" applyAlignment="1" applyProtection="1">
      <alignment vertical="center" wrapText="1"/>
    </xf>
    <xf numFmtId="0" fontId="76" fillId="3" borderId="20" xfId="0" applyFont="1" applyFill="1" applyBorder="1" applyAlignment="1" applyProtection="1">
      <alignment vertical="center" wrapText="1"/>
      <protection locked="0"/>
    </xf>
    <xf numFmtId="0" fontId="76" fillId="6" borderId="20" xfId="0" applyFont="1" applyFill="1" applyBorder="1" applyAlignment="1" applyProtection="1">
      <alignment vertical="center" wrapText="1"/>
    </xf>
    <xf numFmtId="0" fontId="76" fillId="3" borderId="51" xfId="0" applyFont="1" applyFill="1" applyBorder="1" applyAlignment="1" applyProtection="1">
      <alignment vertical="center" wrapText="1"/>
      <protection locked="0"/>
    </xf>
    <xf numFmtId="0" fontId="76" fillId="6" borderId="21" xfId="0" applyFont="1" applyFill="1" applyBorder="1" applyAlignment="1" applyProtection="1">
      <alignment vertical="center" wrapText="1"/>
    </xf>
    <xf numFmtId="49" fontId="56" fillId="6" borderId="38" xfId="0" applyNumberFormat="1" applyFont="1" applyFill="1" applyBorder="1" applyAlignment="1" applyProtection="1">
      <alignment vertical="center"/>
    </xf>
    <xf numFmtId="49" fontId="56" fillId="6" borderId="52" xfId="0" applyNumberFormat="1" applyFont="1" applyFill="1" applyBorder="1" applyAlignment="1" applyProtection="1">
      <alignment vertical="center"/>
    </xf>
    <xf numFmtId="187" fontId="56" fillId="6" borderId="38" xfId="0" applyNumberFormat="1" applyFont="1" applyFill="1" applyBorder="1" applyAlignment="1" applyProtection="1">
      <alignment vertical="center" wrapText="1"/>
    </xf>
    <xf numFmtId="0" fontId="56" fillId="6" borderId="68" xfId="0" applyFont="1" applyFill="1" applyBorder="1" applyAlignment="1" applyProtection="1">
      <alignment vertical="center" wrapText="1"/>
    </xf>
    <xf numFmtId="187" fontId="56" fillId="6" borderId="52" xfId="0" applyNumberFormat="1" applyFont="1" applyFill="1" applyBorder="1" applyAlignment="1" applyProtection="1">
      <alignment vertical="center" wrapText="1"/>
    </xf>
    <xf numFmtId="0" fontId="56" fillId="6" borderId="52" xfId="0" applyFont="1" applyFill="1" applyBorder="1" applyAlignment="1" applyProtection="1">
      <alignment vertical="center" wrapText="1"/>
    </xf>
    <xf numFmtId="49" fontId="56" fillId="0" borderId="42" xfId="0" applyNumberFormat="1" applyFont="1" applyFill="1" applyBorder="1" applyAlignment="1" applyProtection="1">
      <alignment vertical="center"/>
      <protection locked="0"/>
    </xf>
    <xf numFmtId="49" fontId="56" fillId="0" borderId="43" xfId="0" applyNumberFormat="1" applyFont="1" applyFill="1" applyBorder="1" applyAlignment="1" applyProtection="1">
      <alignment vertical="center"/>
      <protection locked="0"/>
    </xf>
    <xf numFmtId="187" fontId="56" fillId="6" borderId="47" xfId="0" applyNumberFormat="1" applyFont="1" applyFill="1" applyBorder="1" applyAlignment="1" applyProtection="1">
      <alignment vertical="center" wrapText="1"/>
    </xf>
    <xf numFmtId="190" fontId="57" fillId="0" borderId="0" xfId="0" applyNumberFormat="1" applyFont="1" applyFill="1" applyAlignment="1" applyProtection="1">
      <alignment horizontal="center" vertical="center"/>
      <protection locked="0"/>
    </xf>
    <xf numFmtId="182" fontId="57" fillId="0" borderId="0" xfId="0" applyNumberFormat="1" applyFont="1" applyFill="1" applyAlignment="1" applyProtection="1">
      <alignment horizontal="center" vertical="center"/>
      <protection locked="0"/>
    </xf>
    <xf numFmtId="0" fontId="56" fillId="6" borderId="1" xfId="0" applyFont="1" applyFill="1" applyBorder="1" applyAlignment="1" applyProtection="1">
      <alignment horizontal="left" vertical="center"/>
    </xf>
    <xf numFmtId="0" fontId="56" fillId="6" borderId="1" xfId="0" applyFont="1" applyFill="1" applyBorder="1" applyAlignment="1" applyProtection="1">
      <alignment horizontal="center" vertical="center" wrapText="1"/>
    </xf>
    <xf numFmtId="182" fontId="57" fillId="6" borderId="5" xfId="0" applyNumberFormat="1" applyFont="1" applyFill="1" applyBorder="1" applyAlignment="1" applyProtection="1">
      <alignment horizontal="center" vertical="center"/>
    </xf>
    <xf numFmtId="182" fontId="57" fillId="6" borderId="3" xfId="0" applyNumberFormat="1" applyFont="1" applyFill="1" applyBorder="1" applyAlignment="1" applyProtection="1">
      <alignment vertical="center"/>
    </xf>
    <xf numFmtId="0" fontId="56" fillId="6" borderId="3" xfId="0"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57" fillId="0" borderId="0" xfId="0" applyFont="1" applyBorder="1" applyAlignment="1" applyProtection="1">
      <protection locked="0"/>
    </xf>
    <xf numFmtId="9" fontId="50" fillId="0" borderId="0"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vertical="center" wrapText="1"/>
    </xf>
    <xf numFmtId="0" fontId="52" fillId="6" borderId="39" xfId="0" applyNumberFormat="1" applyFont="1" applyFill="1" applyBorder="1" applyAlignment="1" applyProtection="1">
      <alignment vertical="center" wrapText="1"/>
    </xf>
    <xf numFmtId="49" fontId="50" fillId="0" borderId="0" xfId="0" applyNumberFormat="1" applyFont="1" applyFill="1" applyBorder="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35" xfId="0" applyNumberFormat="1" applyFont="1" applyFill="1" applyBorder="1" applyAlignment="1" applyProtection="1">
      <alignment vertical="center" wrapText="1"/>
    </xf>
    <xf numFmtId="0" fontId="50" fillId="0" borderId="22"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50" fillId="0" borderId="46" xfId="0" applyNumberFormat="1" applyFont="1" applyFill="1" applyBorder="1" applyAlignment="1" applyProtection="1">
      <alignment horizontal="center" vertical="center" wrapText="1"/>
      <protection locked="0"/>
    </xf>
    <xf numFmtId="0" fontId="50" fillId="0" borderId="61" xfId="0" applyNumberFormat="1" applyFont="1" applyFill="1" applyBorder="1" applyAlignment="1" applyProtection="1">
      <alignment horizontal="center" vertical="center" wrapText="1"/>
      <protection locked="0"/>
    </xf>
    <xf numFmtId="0" fontId="52" fillId="6" borderId="42" xfId="0" applyNumberFormat="1" applyFont="1" applyFill="1" applyBorder="1" applyAlignment="1" applyProtection="1">
      <alignment vertical="center"/>
    </xf>
    <xf numFmtId="0" fontId="52" fillId="6" borderId="73" xfId="0" applyNumberFormat="1" applyFont="1" applyFill="1" applyBorder="1" applyAlignment="1" applyProtection="1">
      <alignment vertical="center" wrapText="1"/>
    </xf>
    <xf numFmtId="0" fontId="50" fillId="0" borderId="73"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0" fillId="0" borderId="76"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vertical="center" wrapText="1"/>
    </xf>
    <xf numFmtId="0" fontId="50" fillId="6" borderId="7" xfId="0" applyNumberFormat="1" applyFont="1" applyFill="1" applyBorder="1" applyAlignment="1" applyProtection="1">
      <alignment horizontal="center" vertical="center" wrapText="1"/>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107" fillId="0" borderId="0" xfId="0" applyFont="1" applyFill="1" applyBorder="1" applyAlignment="1" applyProtection="1">
      <alignment vertical="center"/>
      <protection locked="0"/>
    </xf>
    <xf numFmtId="0" fontId="56" fillId="6" borderId="40" xfId="0" applyNumberFormat="1" applyFont="1" applyFill="1" applyBorder="1" applyAlignment="1" applyProtection="1">
      <alignment vertical="center" wrapText="1"/>
    </xf>
    <xf numFmtId="0" fontId="50" fillId="6" borderId="17"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wrapText="1"/>
    </xf>
    <xf numFmtId="0" fontId="55" fillId="6" borderId="77" xfId="0" applyNumberFormat="1" applyFont="1" applyFill="1" applyBorder="1" applyAlignment="1" applyProtection="1">
      <alignment horizontal="center" vertical="center" wrapText="1"/>
    </xf>
    <xf numFmtId="0" fontId="57" fillId="0" borderId="78" xfId="0" applyNumberFormat="1" applyFont="1" applyFill="1" applyBorder="1" applyAlignment="1" applyProtection="1">
      <alignment horizontal="center" vertical="center" wrapText="1"/>
      <protection locked="0"/>
    </xf>
    <xf numFmtId="0" fontId="57" fillId="0" borderId="79" xfId="0" applyNumberFormat="1" applyFont="1" applyFill="1" applyBorder="1" applyAlignment="1" applyProtection="1">
      <alignment horizontal="center" vertical="center" wrapText="1"/>
      <protection locked="0"/>
    </xf>
    <xf numFmtId="0" fontId="50" fillId="6" borderId="57" xfId="0" applyNumberFormat="1" applyFont="1" applyFill="1" applyBorder="1" applyAlignment="1" applyProtection="1">
      <alignment horizontal="center" vertical="center" wrapText="1"/>
    </xf>
    <xf numFmtId="0" fontId="57"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50" fillId="6" borderId="77" xfId="0" applyNumberFormat="1" applyFont="1" applyFill="1" applyBorder="1" applyAlignment="1" applyProtection="1">
      <alignment horizontal="center" vertical="center" wrapText="1"/>
    </xf>
    <xf numFmtId="0" fontId="57" fillId="6" borderId="78" xfId="0" applyNumberFormat="1" applyFont="1" applyFill="1" applyBorder="1" applyAlignment="1" applyProtection="1">
      <alignment horizontal="center" vertical="center" wrapText="1"/>
    </xf>
    <xf numFmtId="0" fontId="57" fillId="6" borderId="79"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7" fillId="6" borderId="2"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50" fillId="0" borderId="78"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left"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wrapText="1"/>
      <protection locked="0"/>
    </xf>
    <xf numFmtId="0" fontId="75" fillId="6" borderId="12" xfId="0" applyNumberFormat="1" applyFont="1" applyFill="1" applyBorder="1" applyAlignment="1" applyProtection="1">
      <alignment vertical="center" wrapText="1"/>
    </xf>
    <xf numFmtId="0" fontId="50" fillId="6" borderId="74" xfId="0" applyNumberFormat="1" applyFont="1" applyFill="1" applyBorder="1" applyAlignment="1" applyProtection="1">
      <alignment horizontal="center" vertical="center" wrapText="1"/>
    </xf>
    <xf numFmtId="0" fontId="50" fillId="0" borderId="32"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0"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left" vertical="center" wrapText="1"/>
    </xf>
    <xf numFmtId="0" fontId="74" fillId="6" borderId="10" xfId="0" applyNumberFormat="1" applyFont="1" applyFill="1" applyBorder="1" applyAlignment="1" applyProtection="1">
      <alignment horizontal="center" vertical="center" wrapText="1"/>
    </xf>
    <xf numFmtId="0" fontId="50" fillId="0" borderId="0" xfId="0" applyFont="1" applyFill="1" applyBorder="1" applyAlignment="1" applyProtection="1">
      <alignment vertical="center" wrapText="1"/>
      <protection locked="0"/>
    </xf>
    <xf numFmtId="0" fontId="50" fillId="6" borderId="4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78" xfId="0" applyNumberFormat="1" applyFont="1" applyFill="1" applyBorder="1" applyAlignment="1" applyProtection="1">
      <alignment horizontal="center" vertical="center" wrapText="1"/>
    </xf>
    <xf numFmtId="0" fontId="57"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49"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50" fillId="6" borderId="58"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textRotation="255" wrapText="1"/>
    </xf>
    <xf numFmtId="0" fontId="55" fillId="6" borderId="44"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left" vertical="center" wrapText="1"/>
    </xf>
    <xf numFmtId="0" fontId="55"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left" vertical="center" wrapText="1"/>
    </xf>
    <xf numFmtId="0" fontId="55" fillId="6" borderId="24"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187" fontId="63" fillId="6" borderId="13" xfId="0" applyNumberFormat="1" applyFont="1" applyFill="1" applyBorder="1" applyAlignment="1" applyProtection="1">
      <alignment horizontal="right" vertical="center"/>
    </xf>
    <xf numFmtId="190" fontId="50" fillId="6" borderId="3"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0" fontId="64" fillId="6" borderId="41" xfId="0" applyNumberFormat="1" applyFont="1" applyFill="1" applyBorder="1" applyAlignment="1" applyProtection="1">
      <alignment horizontal="center" vertical="center" wrapText="1"/>
    </xf>
    <xf numFmtId="0" fontId="57" fillId="2" borderId="37" xfId="0" applyNumberFormat="1" applyFont="1" applyFill="1" applyBorder="1" applyAlignment="1" applyProtection="1">
      <alignment horizontal="center" vertical="center" wrapText="1"/>
      <protection locked="0"/>
    </xf>
    <xf numFmtId="190" fontId="57" fillId="3" borderId="3" xfId="0" applyNumberFormat="1" applyFont="1" applyFill="1" applyBorder="1" applyAlignment="1" applyProtection="1">
      <alignment horizontal="center" vertical="center"/>
      <protection locked="0"/>
    </xf>
    <xf numFmtId="190" fontId="57" fillId="3" borderId="3" xfId="0" applyNumberFormat="1" applyFont="1" applyFill="1" applyBorder="1" applyAlignment="1" applyProtection="1">
      <alignment horizontal="center" vertical="center" wrapText="1"/>
      <protection locked="0"/>
    </xf>
    <xf numFmtId="190" fontId="57" fillId="3" borderId="1" xfId="0" applyNumberFormat="1" applyFont="1" applyFill="1" applyBorder="1" applyAlignment="1" applyProtection="1">
      <alignment horizontal="center" vertical="center" wrapText="1"/>
      <protection locked="0"/>
    </xf>
    <xf numFmtId="0" fontId="50" fillId="6" borderId="45"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left" vertical="center" wrapText="1"/>
      <protection locked="0"/>
    </xf>
    <xf numFmtId="0" fontId="74" fillId="0" borderId="53" xfId="0" applyNumberFormat="1" applyFont="1" applyFill="1" applyBorder="1" applyAlignment="1" applyProtection="1">
      <alignment horizontal="center" vertical="center" wrapText="1"/>
      <protection locked="0"/>
    </xf>
    <xf numFmtId="0" fontId="107" fillId="0" borderId="44" xfId="0" applyNumberFormat="1" applyFont="1" applyFill="1" applyBorder="1" applyAlignment="1" applyProtection="1">
      <alignment horizontal="center" vertical="center" wrapText="1"/>
      <protection locked="0"/>
    </xf>
    <xf numFmtId="0" fontId="50" fillId="0" borderId="12" xfId="0" applyNumberFormat="1" applyFont="1" applyFill="1" applyBorder="1" applyAlignment="1" applyProtection="1">
      <alignment horizontal="center" vertical="center" wrapText="1"/>
      <protection locked="0"/>
    </xf>
    <xf numFmtId="0" fontId="50" fillId="6" borderId="62"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xf>
    <xf numFmtId="0" fontId="50" fillId="6" borderId="61" xfId="0" applyFont="1" applyFill="1" applyBorder="1" applyAlignment="1" applyProtection="1">
      <alignment horizontal="center" vertical="center" wrapText="1"/>
    </xf>
    <xf numFmtId="0" fontId="50" fillId="6" borderId="8" xfId="0" applyFont="1" applyFill="1" applyBorder="1" applyAlignment="1" applyProtection="1">
      <alignment horizontal="center" vertical="center" wrapText="1"/>
    </xf>
    <xf numFmtId="0" fontId="50" fillId="6" borderId="53" xfId="0" applyFont="1" applyFill="1" applyBorder="1" applyAlignment="1" applyProtection="1">
      <alignment horizontal="center" vertical="center" wrapText="1"/>
    </xf>
    <xf numFmtId="0" fontId="57" fillId="2" borderId="54" xfId="0" applyNumberFormat="1" applyFont="1" applyFill="1" applyBorder="1" applyAlignment="1" applyProtection="1">
      <alignment horizontal="center" vertical="center" wrapText="1"/>
      <protection locked="0"/>
    </xf>
    <xf numFmtId="0" fontId="50" fillId="0" borderId="49" xfId="0" applyFont="1" applyFill="1" applyBorder="1" applyAlignment="1" applyProtection="1">
      <alignment horizontal="center" vertical="center" wrapText="1"/>
      <protection locked="0"/>
    </xf>
    <xf numFmtId="0" fontId="57" fillId="6" borderId="57"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0" fontId="50" fillId="6" borderId="22"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center" vertical="center" wrapText="1"/>
    </xf>
    <xf numFmtId="0" fontId="72" fillId="6" borderId="80" xfId="0" applyFont="1" applyFill="1" applyBorder="1" applyAlignment="1" applyProtection="1">
      <alignment vertical="center" wrapText="1"/>
    </xf>
    <xf numFmtId="0" fontId="50" fillId="6" borderId="54" xfId="0" applyFont="1" applyFill="1" applyBorder="1" applyAlignment="1" applyProtection="1">
      <alignment horizontal="center" vertical="center" wrapText="1"/>
    </xf>
    <xf numFmtId="0" fontId="56" fillId="6" borderId="80" xfId="0" applyFont="1" applyFill="1" applyBorder="1" applyAlignment="1" applyProtection="1">
      <alignment vertical="center" wrapText="1"/>
    </xf>
    <xf numFmtId="0" fontId="50" fillId="0" borderId="36" xfId="0" applyFont="1" applyFill="1" applyBorder="1" applyAlignment="1" applyProtection="1">
      <alignment horizontal="center" vertical="center" wrapText="1"/>
      <protection locked="0"/>
    </xf>
    <xf numFmtId="0" fontId="52" fillId="6" borderId="80" xfId="0"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7" fillId="6" borderId="53" xfId="0" applyFont="1" applyFill="1" applyBorder="1" applyAlignment="1" applyProtection="1">
      <alignment horizontal="center" vertical="center"/>
    </xf>
    <xf numFmtId="0" fontId="50" fillId="0" borderId="61" xfId="0"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wrapText="1"/>
    </xf>
    <xf numFmtId="0" fontId="50" fillId="6" borderId="76" xfId="0" applyNumberFormat="1" applyFont="1" applyFill="1" applyBorder="1" applyAlignment="1" applyProtection="1">
      <alignment horizontal="center" vertical="center" wrapText="1"/>
    </xf>
    <xf numFmtId="0" fontId="50" fillId="6" borderId="75" xfId="0" applyNumberFormat="1" applyFont="1" applyFill="1" applyBorder="1" applyAlignment="1" applyProtection="1">
      <alignment horizontal="center" vertical="center" wrapText="1"/>
    </xf>
    <xf numFmtId="0" fontId="56" fillId="6" borderId="16" xfId="0" applyFont="1" applyFill="1" applyBorder="1" applyAlignment="1" applyProtection="1">
      <alignment vertical="center" textRotation="255" wrapText="1"/>
    </xf>
    <xf numFmtId="0" fontId="75" fillId="6" borderId="18" xfId="0" applyFont="1" applyFill="1" applyBorder="1" applyAlignment="1" applyProtection="1">
      <alignment vertical="center" textRotation="255" wrapText="1"/>
    </xf>
    <xf numFmtId="0" fontId="50" fillId="6" borderId="24" xfId="0" applyFont="1" applyFill="1" applyBorder="1" applyAlignment="1" applyProtection="1">
      <alignment horizontal="center" vertical="center" wrapText="1"/>
    </xf>
    <xf numFmtId="49" fontId="50" fillId="0" borderId="37"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vertical="center" textRotation="255" wrapText="1"/>
    </xf>
    <xf numFmtId="0" fontId="50" fillId="2"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56" fillId="6" borderId="42" xfId="0" applyFont="1" applyFill="1" applyBorder="1" applyAlignment="1" applyProtection="1">
      <alignment vertical="center" textRotation="255" wrapText="1"/>
    </xf>
    <xf numFmtId="0" fontId="57" fillId="6" borderId="15" xfId="0" applyNumberFormat="1" applyFont="1" applyFill="1" applyBorder="1" applyAlignment="1" applyProtection="1">
      <alignment horizontal="center" vertical="center" wrapText="1"/>
    </xf>
    <xf numFmtId="49" fontId="57"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left" vertical="center" wrapText="1"/>
      <protection locked="0"/>
    </xf>
    <xf numFmtId="49" fontId="74" fillId="0" borderId="10" xfId="0" applyNumberFormat="1" applyFont="1" applyFill="1" applyBorder="1" applyAlignment="1" applyProtection="1">
      <alignment horizontal="center" vertical="center" wrapText="1"/>
      <protection locked="0"/>
    </xf>
    <xf numFmtId="0" fontId="50" fillId="6" borderId="53"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left" vertical="center" wrapText="1"/>
    </xf>
    <xf numFmtId="0" fontId="74" fillId="6" borderId="53" xfId="0" applyNumberFormat="1" applyFont="1" applyFill="1" applyBorder="1" applyAlignment="1" applyProtection="1">
      <alignment horizontal="center" vertical="center" wrapText="1"/>
    </xf>
    <xf numFmtId="178" fontId="63" fillId="6" borderId="1" xfId="0" applyNumberFormat="1" applyFont="1" applyFill="1" applyBorder="1" applyAlignment="1" applyProtection="1">
      <alignment horizontal="right" vertical="center"/>
    </xf>
    <xf numFmtId="0" fontId="67" fillId="6" borderId="3" xfId="0" applyNumberFormat="1"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57" fillId="0" borderId="23" xfId="0" applyNumberFormat="1" applyFont="1" applyFill="1" applyBorder="1" applyAlignment="1" applyProtection="1">
      <alignment horizontal="center" vertical="center" wrapText="1"/>
      <protection locked="0"/>
    </xf>
    <xf numFmtId="0" fontId="57" fillId="6" borderId="18" xfId="0" applyFont="1" applyFill="1" applyBorder="1" applyAlignment="1" applyProtection="1">
      <alignment horizontal="center" vertical="center"/>
    </xf>
    <xf numFmtId="0" fontId="75" fillId="6" borderId="42" xfId="0" applyFont="1" applyFill="1" applyBorder="1" applyAlignment="1" applyProtection="1">
      <alignment vertical="center" textRotation="255" wrapText="1"/>
    </xf>
    <xf numFmtId="0" fontId="57" fillId="0" borderId="13" xfId="0" applyNumberFormat="1" applyFont="1" applyFill="1" applyBorder="1" applyAlignment="1" applyProtection="1">
      <alignment horizontal="center" vertical="center" wrapText="1"/>
      <protection locked="0"/>
    </xf>
    <xf numFmtId="0" fontId="57" fillId="0" borderId="25"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77" fillId="6" borderId="3"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right" vertical="center" wrapText="1"/>
    </xf>
    <xf numFmtId="49" fontId="56" fillId="6" borderId="68" xfId="0" applyNumberFormat="1" applyFont="1" applyFill="1" applyBorder="1" applyAlignment="1" applyProtection="1">
      <alignment vertical="center"/>
    </xf>
    <xf numFmtId="14" fontId="57" fillId="6" borderId="6" xfId="0" applyNumberFormat="1" applyFont="1" applyFill="1" applyBorder="1" applyAlignment="1" applyProtection="1">
      <alignment horizontal="left" vertical="center"/>
    </xf>
    <xf numFmtId="177" fontId="57" fillId="6" borderId="9"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7" fillId="6" borderId="10" xfId="0" applyFont="1" applyFill="1" applyBorder="1" applyAlignment="1" applyProtection="1">
      <alignment horizontal="center" vertical="center"/>
    </xf>
    <xf numFmtId="0" fontId="59" fillId="6" borderId="23" xfId="0" applyFont="1" applyFill="1" applyBorder="1" applyAlignment="1" applyProtection="1"/>
    <xf numFmtId="187" fontId="59" fillId="6" borderId="1" xfId="1" applyNumberFormat="1" applyFont="1" applyFill="1" applyBorder="1" applyAlignment="1" applyProtection="1">
      <alignment horizontal="center"/>
    </xf>
    <xf numFmtId="0" fontId="59" fillId="6" borderId="1" xfId="0" applyFont="1" applyFill="1" applyBorder="1" applyAlignment="1" applyProtection="1">
      <alignment horizontal="center"/>
    </xf>
    <xf numFmtId="178" fontId="59" fillId="6" borderId="24" xfId="1" applyNumberFormat="1" applyFont="1" applyFill="1" applyBorder="1" applyAlignment="1" applyProtection="1">
      <alignment horizontal="center"/>
    </xf>
    <xf numFmtId="0" fontId="78" fillId="0" borderId="0" xfId="0" applyFont="1" applyFill="1" applyAlignment="1" applyProtection="1">
      <alignment horizontal="center" vertical="center"/>
      <protection locked="0"/>
    </xf>
    <xf numFmtId="0" fontId="59" fillId="6" borderId="23" xfId="1" applyFont="1" applyFill="1" applyBorder="1" applyAlignment="1" applyProtection="1"/>
    <xf numFmtId="180" fontId="59" fillId="0" borderId="1" xfId="1" applyNumberFormat="1" applyFont="1" applyFill="1" applyBorder="1" applyAlignment="1" applyProtection="1">
      <alignment horizontal="center"/>
      <protection locked="0"/>
    </xf>
    <xf numFmtId="0" fontId="60" fillId="6" borderId="25" xfId="1" applyFont="1" applyFill="1" applyBorder="1" applyAlignment="1" applyProtection="1"/>
    <xf numFmtId="0" fontId="59" fillId="6" borderId="32" xfId="0" applyFont="1" applyFill="1" applyBorder="1" applyAlignment="1" applyProtection="1">
      <alignment horizontal="center"/>
    </xf>
    <xf numFmtId="178" fontId="60" fillId="6" borderId="49" xfId="0" applyNumberFormat="1" applyFont="1" applyFill="1" applyBorder="1" applyAlignment="1" applyProtection="1">
      <alignment horizontal="center"/>
    </xf>
    <xf numFmtId="0" fontId="50" fillId="6" borderId="44" xfId="0" applyNumberFormat="1" applyFont="1" applyFill="1" applyBorder="1" applyAlignment="1" applyProtection="1">
      <alignment horizontal="left" vertical="center" wrapText="1"/>
    </xf>
    <xf numFmtId="0" fontId="57" fillId="0" borderId="61" xfId="0" applyNumberFormat="1" applyFont="1" applyFill="1" applyBorder="1" applyAlignment="1" applyProtection="1">
      <alignment horizontal="center" vertical="center" wrapText="1"/>
      <protection locked="0"/>
    </xf>
    <xf numFmtId="0" fontId="55" fillId="6" borderId="74" xfId="0" applyNumberFormat="1" applyFont="1" applyFill="1" applyBorder="1" applyAlignment="1" applyProtection="1">
      <alignment horizontal="center" vertical="center" wrapText="1"/>
    </xf>
    <xf numFmtId="0" fontId="57" fillId="0" borderId="66" xfId="0" applyNumberFormat="1" applyFont="1" applyFill="1" applyBorder="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6" borderId="16"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31"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protection locked="0"/>
    </xf>
    <xf numFmtId="0" fontId="53" fillId="6" borderId="18" xfId="0" applyNumberFormat="1" applyFont="1" applyFill="1" applyBorder="1" applyAlignment="1" applyProtection="1">
      <alignment horizontal="center" vertical="center"/>
    </xf>
    <xf numFmtId="0" fontId="53" fillId="0" borderId="23"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4" fillId="6" borderId="59"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53" fillId="0" borderId="56" xfId="0" applyNumberFormat="1" applyFont="1" applyFill="1" applyBorder="1" applyAlignment="1" applyProtection="1">
      <alignment horizontal="center" vertical="center" wrapText="1"/>
      <protection locked="0"/>
    </xf>
    <xf numFmtId="0" fontId="59" fillId="6" borderId="25" xfId="0" applyNumberFormat="1" applyFont="1" applyFill="1" applyBorder="1" applyAlignment="1" applyProtection="1">
      <alignment horizontal="center" vertical="center" wrapText="1"/>
    </xf>
    <xf numFmtId="0" fontId="51" fillId="6" borderId="1" xfId="0" applyFont="1" applyFill="1" applyBorder="1" applyProtection="1">
      <alignment vertical="center"/>
    </xf>
    <xf numFmtId="0" fontId="53"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protection locked="0"/>
    </xf>
    <xf numFmtId="0" fontId="66" fillId="6" borderId="1" xfId="0" applyFont="1" applyFill="1" applyBorder="1" applyAlignment="1" applyProtection="1">
      <alignment horizontal="center" vertical="center"/>
    </xf>
    <xf numFmtId="0" fontId="66" fillId="2" borderId="1"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0" fontId="66" fillId="0" borderId="0" xfId="0" applyFont="1" applyProtection="1">
      <alignment vertical="center"/>
      <protection locked="0"/>
    </xf>
    <xf numFmtId="0" fontId="50" fillId="6" borderId="23" xfId="0" applyFont="1" applyFill="1" applyBorder="1" applyAlignment="1" applyProtection="1">
      <alignment vertical="center"/>
    </xf>
    <xf numFmtId="0" fontId="59" fillId="0" borderId="8" xfId="1" applyNumberFormat="1" applyFont="1" applyFill="1" applyBorder="1" applyAlignment="1" applyProtection="1">
      <alignment horizontal="center" vertical="center"/>
      <protection locked="0"/>
    </xf>
    <xf numFmtId="0" fontId="59" fillId="0" borderId="61" xfId="1" applyNumberFormat="1" applyFont="1" applyFill="1" applyBorder="1" applyAlignment="1" applyProtection="1">
      <alignment horizontal="center" vertical="center"/>
      <protection locked="0"/>
    </xf>
    <xf numFmtId="182" fontId="53" fillId="0" borderId="10" xfId="0" applyNumberFormat="1" applyFont="1" applyFill="1" applyBorder="1" applyAlignment="1" applyProtection="1">
      <alignment horizontal="center" vertical="center"/>
      <protection locked="0"/>
    </xf>
    <xf numFmtId="0" fontId="52" fillId="0" borderId="32" xfId="0" applyFont="1" applyFill="1" applyBorder="1" applyAlignment="1" applyProtection="1">
      <alignment horizontal="center" vertical="center"/>
      <protection locked="0"/>
    </xf>
    <xf numFmtId="0" fontId="107" fillId="0" borderId="0" xfId="0" applyFont="1" applyProtection="1">
      <alignment vertical="center"/>
    </xf>
    <xf numFmtId="180" fontId="52" fillId="6" borderId="66" xfId="0" applyNumberFormat="1" applyFont="1" applyFill="1" applyBorder="1" applyAlignment="1" applyProtection="1">
      <alignment vertical="center"/>
    </xf>
    <xf numFmtId="180" fontId="52" fillId="6" borderId="32" xfId="0" applyNumberFormat="1" applyFont="1" applyFill="1" applyBorder="1" applyAlignment="1" applyProtection="1">
      <alignment vertical="center"/>
    </xf>
    <xf numFmtId="180" fontId="52" fillId="6" borderId="49" xfId="0" applyNumberFormat="1" applyFont="1" applyFill="1" applyBorder="1" applyAlignment="1" applyProtection="1">
      <alignment vertical="center"/>
    </xf>
    <xf numFmtId="0" fontId="53" fillId="6" borderId="0" xfId="0" applyFont="1" applyFill="1" applyAlignment="1" applyProtection="1">
      <alignment vertical="center"/>
    </xf>
    <xf numFmtId="0" fontId="107" fillId="6" borderId="0" xfId="0" applyFont="1" applyFill="1" applyAlignment="1" applyProtection="1">
      <alignment vertical="center"/>
    </xf>
    <xf numFmtId="0" fontId="107" fillId="6" borderId="0" xfId="0" applyFont="1" applyFill="1" applyAlignment="1" applyProtection="1">
      <alignment horizontal="left" vertical="center"/>
    </xf>
    <xf numFmtId="0" fontId="107" fillId="6" borderId="0" xfId="2" applyFont="1" applyFill="1" applyAlignment="1" applyProtection="1">
      <alignment horizontal="left"/>
    </xf>
    <xf numFmtId="0" fontId="113" fillId="6" borderId="1"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3"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48" xfId="0" applyFont="1" applyFill="1" applyBorder="1" applyAlignment="1" applyProtection="1">
      <alignment vertical="center" wrapText="1"/>
    </xf>
    <xf numFmtId="0" fontId="113" fillId="6" borderId="33" xfId="0" applyFont="1" applyFill="1" applyBorder="1" applyAlignment="1" applyProtection="1">
      <alignment vertical="center" wrapText="1"/>
    </xf>
    <xf numFmtId="0" fontId="113" fillId="6" borderId="68" xfId="0" applyFont="1" applyFill="1" applyBorder="1" applyAlignment="1" applyProtection="1">
      <alignment vertical="center" wrapText="1"/>
    </xf>
    <xf numFmtId="49" fontId="63"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66" fillId="6" borderId="0" xfId="0" applyFont="1" applyFill="1" applyBorder="1" applyAlignment="1" applyProtection="1">
      <alignment horizontal="center" vertical="center"/>
    </xf>
    <xf numFmtId="0" fontId="53" fillId="6" borderId="0" xfId="0" applyFont="1" applyFill="1" applyBorder="1" applyAlignment="1" applyProtection="1">
      <alignment vertical="center"/>
    </xf>
    <xf numFmtId="0" fontId="59" fillId="6" borderId="0" xfId="0" applyFont="1" applyFill="1" applyBorder="1" applyAlignment="1" applyProtection="1">
      <alignment horizontal="left" vertical="center"/>
    </xf>
    <xf numFmtId="180" fontId="66" fillId="6" borderId="0" xfId="0" applyNumberFormat="1" applyFont="1" applyFill="1" applyBorder="1" applyAlignment="1" applyProtection="1">
      <alignment horizontal="center" vertical="center"/>
    </xf>
    <xf numFmtId="0" fontId="53" fillId="6" borderId="0" xfId="0" applyFont="1" applyFill="1" applyAlignment="1" applyProtection="1">
      <alignment horizontal="left" vertical="center"/>
    </xf>
    <xf numFmtId="0" fontId="69" fillId="6" borderId="0" xfId="0" applyFont="1" applyFill="1" applyAlignment="1" applyProtection="1">
      <alignment vertical="center"/>
    </xf>
    <xf numFmtId="49" fontId="68" fillId="6" borderId="0" xfId="0" applyNumberFormat="1" applyFont="1" applyFill="1" applyBorder="1" applyAlignment="1" applyProtection="1">
      <alignment horizontal="left"/>
    </xf>
    <xf numFmtId="0" fontId="71" fillId="6" borderId="36" xfId="0" applyFont="1" applyFill="1" applyBorder="1" applyAlignment="1" applyProtection="1">
      <alignment vertical="center"/>
    </xf>
    <xf numFmtId="0" fontId="68" fillId="6" borderId="36" xfId="0" applyFont="1" applyFill="1" applyBorder="1" applyAlignment="1" applyProtection="1">
      <alignment vertical="center"/>
    </xf>
    <xf numFmtId="190" fontId="68" fillId="6" borderId="36" xfId="0" applyNumberFormat="1" applyFont="1" applyFill="1" applyBorder="1" applyAlignment="1" applyProtection="1">
      <alignment horizontal="center" vertical="center"/>
    </xf>
    <xf numFmtId="182" fontId="68" fillId="6" borderId="36" xfId="0" applyNumberFormat="1" applyFont="1" applyFill="1" applyBorder="1" applyAlignment="1" applyProtection="1">
      <alignment vertical="center"/>
    </xf>
    <xf numFmtId="0" fontId="68" fillId="6" borderId="36" xfId="0" applyFont="1" applyFill="1" applyBorder="1" applyAlignment="1" applyProtection="1">
      <alignment horizontal="center" vertical="center"/>
    </xf>
    <xf numFmtId="0" fontId="57" fillId="6" borderId="0" xfId="0" applyFont="1" applyFill="1" applyAlignment="1" applyProtection="1">
      <alignment horizontal="center" vertical="center"/>
    </xf>
    <xf numFmtId="0" fontId="74" fillId="6" borderId="0" xfId="0" applyFont="1" applyFill="1" applyAlignment="1" applyProtection="1">
      <alignment horizontal="center" vertical="center"/>
    </xf>
    <xf numFmtId="14" fontId="57" fillId="6" borderId="0" xfId="0" applyNumberFormat="1" applyFont="1" applyFill="1" applyAlignment="1" applyProtection="1">
      <alignment horizontal="center" vertical="center"/>
    </xf>
    <xf numFmtId="177" fontId="57" fillId="6" borderId="0" xfId="0" applyNumberFormat="1" applyFont="1" applyFill="1" applyAlignment="1" applyProtection="1">
      <alignment horizontal="center" vertical="center"/>
    </xf>
    <xf numFmtId="0" fontId="62" fillId="6" borderId="0" xfId="0" applyFont="1" applyFill="1" applyBorder="1" applyAlignment="1" applyProtection="1"/>
    <xf numFmtId="0" fontId="57" fillId="6" borderId="0" xfId="0" applyFont="1" applyFill="1" applyBorder="1" applyAlignment="1" applyProtection="1"/>
    <xf numFmtId="0" fontId="57" fillId="6" borderId="0" xfId="0" applyFont="1" applyFill="1" applyBorder="1" applyAlignment="1" applyProtection="1">
      <alignment horizontal="center"/>
    </xf>
    <xf numFmtId="190" fontId="57" fillId="6" borderId="0" xfId="0" applyNumberFormat="1" applyFont="1" applyFill="1" applyBorder="1" applyAlignment="1" applyProtection="1">
      <alignment horizontal="center"/>
    </xf>
    <xf numFmtId="182" fontId="57" fillId="6" borderId="0" xfId="0" applyNumberFormat="1" applyFont="1" applyFill="1" applyBorder="1" applyAlignment="1" applyProtection="1"/>
    <xf numFmtId="0" fontId="68" fillId="6" borderId="0" xfId="0" applyFont="1" applyFill="1" applyBorder="1" applyAlignment="1" applyProtection="1">
      <alignment horizontal="center" vertical="center"/>
    </xf>
    <xf numFmtId="0" fontId="69" fillId="6" borderId="0" xfId="0" applyFont="1" applyFill="1" applyBorder="1" applyAlignment="1" applyProtection="1">
      <alignment horizontal="center" vertical="center"/>
    </xf>
    <xf numFmtId="189"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9" fontId="57" fillId="6" borderId="5" xfId="0" applyNumberFormat="1" applyFont="1" applyFill="1" applyBorder="1" applyAlignment="1" applyProtection="1">
      <alignment horizontal="center" vertical="center"/>
    </xf>
    <xf numFmtId="49" fontId="57" fillId="6" borderId="3"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7" fillId="6" borderId="2" xfId="0" applyFont="1" applyFill="1" applyBorder="1" applyAlignment="1" applyProtection="1">
      <alignment vertical="center" textRotation="255" wrapText="1"/>
    </xf>
    <xf numFmtId="0" fontId="69" fillId="6" borderId="0" xfId="0" applyFont="1" applyFill="1" applyAlignment="1" applyProtection="1">
      <alignment horizontal="center" vertical="center"/>
    </xf>
    <xf numFmtId="190" fontId="57" fillId="6" borderId="3" xfId="0" applyNumberFormat="1" applyFont="1" applyFill="1" applyBorder="1" applyAlignment="1" applyProtection="1">
      <alignment horizontal="center" vertical="center"/>
    </xf>
    <xf numFmtId="190" fontId="57" fillId="6" borderId="3" xfId="0" applyNumberFormat="1" applyFont="1" applyFill="1" applyBorder="1" applyAlignment="1" applyProtection="1">
      <alignment horizontal="center" vertical="center" wrapText="1"/>
    </xf>
    <xf numFmtId="190" fontId="57" fillId="6" borderId="1" xfId="0" applyNumberFormat="1" applyFont="1" applyFill="1" applyBorder="1" applyAlignment="1" applyProtection="1">
      <alignment horizontal="center" vertical="center" wrapText="1"/>
    </xf>
    <xf numFmtId="0" fontId="68" fillId="6" borderId="60" xfId="0" applyFont="1" applyFill="1" applyBorder="1" applyAlignment="1" applyProtection="1">
      <alignment horizontal="center" vertical="center"/>
    </xf>
    <xf numFmtId="0" fontId="59" fillId="6" borderId="0" xfId="0" applyFont="1" applyFill="1" applyAlignment="1" applyProtection="1"/>
    <xf numFmtId="0" fontId="53" fillId="6" borderId="0" xfId="0" applyNumberFormat="1" applyFont="1" applyFill="1" applyAlignment="1" applyProtection="1">
      <alignment horizontal="center" vertical="center"/>
      <protection locked="0"/>
    </xf>
    <xf numFmtId="0" fontId="50" fillId="6" borderId="32" xfId="0" applyFont="1" applyFill="1" applyBorder="1" applyAlignment="1" applyProtection="1">
      <alignment horizontal="center" vertical="center"/>
    </xf>
    <xf numFmtId="0" fontId="50" fillId="6" borderId="49" xfId="0" applyFont="1" applyFill="1" applyBorder="1" applyAlignment="1" applyProtection="1">
      <alignment horizontal="center" vertical="center"/>
    </xf>
    <xf numFmtId="182" fontId="114" fillId="6" borderId="65" xfId="0" applyNumberFormat="1" applyFont="1" applyFill="1" applyBorder="1" applyAlignment="1" applyProtection="1">
      <alignment horizontal="center" vertical="center"/>
    </xf>
    <xf numFmtId="180" fontId="59" fillId="7" borderId="0" xfId="0" applyNumberFormat="1" applyFont="1" applyFill="1" applyBorder="1" applyAlignment="1" applyProtection="1">
      <alignment horizontal="center" vertical="center"/>
      <protection locked="0"/>
    </xf>
    <xf numFmtId="49" fontId="60" fillId="7" borderId="0" xfId="0" applyNumberFormat="1" applyFont="1" applyFill="1" applyBorder="1" applyAlignment="1" applyProtection="1">
      <alignment horizontal="left" vertical="center"/>
      <protection locked="0"/>
    </xf>
    <xf numFmtId="0" fontId="69" fillId="7" borderId="0" xfId="0" applyFont="1" applyFill="1" applyAlignment="1" applyProtection="1">
      <alignment vertical="center"/>
      <protection locked="0"/>
    </xf>
    <xf numFmtId="0" fontId="53" fillId="7" borderId="0" xfId="0" applyFont="1" applyFill="1" applyProtection="1">
      <alignment vertical="center"/>
      <protection locked="0"/>
    </xf>
    <xf numFmtId="0" fontId="59"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wrapText="1"/>
      <protection locked="0"/>
    </xf>
    <xf numFmtId="0" fontId="66" fillId="7" borderId="0" xfId="0" applyFont="1" applyFill="1" applyProtection="1">
      <alignment vertical="center"/>
      <protection locked="0"/>
    </xf>
    <xf numFmtId="10" fontId="53" fillId="0" borderId="1" xfId="1" applyNumberFormat="1" applyFont="1" applyFill="1" applyBorder="1" applyAlignment="1" applyProtection="1">
      <alignment horizontal="center" vertical="center"/>
      <protection locked="0"/>
    </xf>
    <xf numFmtId="182" fontId="108" fillId="0" borderId="1" xfId="0" applyNumberFormat="1" applyFont="1" applyFill="1" applyBorder="1" applyAlignment="1" applyProtection="1">
      <alignment horizontal="center" vertical="center"/>
      <protection locked="0"/>
    </xf>
    <xf numFmtId="178"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53" fillId="0" borderId="23" xfId="0" applyFont="1" applyBorder="1" applyAlignment="1" applyProtection="1">
      <alignment vertical="center"/>
      <protection locked="0"/>
    </xf>
    <xf numFmtId="0" fontId="53" fillId="0" borderId="23" xfId="0" applyFont="1" applyBorder="1" applyAlignment="1" applyProtection="1">
      <alignment horizontal="center" vertical="center"/>
      <protection locked="0"/>
    </xf>
    <xf numFmtId="0" fontId="67"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8" fillId="6" borderId="20" xfId="0" applyFont="1" applyFill="1" applyBorder="1" applyAlignment="1" applyProtection="1">
      <alignment vertical="center"/>
    </xf>
    <xf numFmtId="0" fontId="118" fillId="6" borderId="21" xfId="0" applyFont="1" applyFill="1" applyBorder="1" applyAlignment="1" applyProtection="1">
      <alignment horizontal="center" vertical="center"/>
    </xf>
    <xf numFmtId="0" fontId="0" fillId="0" borderId="0" xfId="0" applyProtection="1">
      <alignment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59" fillId="6" borderId="24" xfId="0" applyFont="1" applyFill="1" applyBorder="1" applyAlignment="1" applyProtection="1">
      <alignment horizontal="center" vertical="center" wrapText="1"/>
    </xf>
    <xf numFmtId="9" fontId="108" fillId="6" borderId="1" xfId="0" applyNumberFormat="1" applyFont="1" applyFill="1" applyBorder="1" applyAlignment="1" applyProtection="1">
      <alignment horizontal="center" vertical="center" wrapText="1"/>
    </xf>
    <xf numFmtId="10" fontId="59" fillId="6" borderId="61" xfId="0" applyNumberFormat="1" applyFont="1" applyFill="1" applyBorder="1" applyAlignment="1" applyProtection="1">
      <alignment horizontal="center" vertical="center" wrapText="1"/>
    </xf>
    <xf numFmtId="10" fontId="59" fillId="6" borderId="53" xfId="0" applyNumberFormat="1" applyFont="1" applyFill="1" applyBorder="1" applyAlignment="1" applyProtection="1">
      <alignment vertical="center" wrapText="1"/>
    </xf>
    <xf numFmtId="0" fontId="116" fillId="6" borderId="13" xfId="0" applyFont="1" applyFill="1" applyBorder="1" applyAlignment="1" applyProtection="1">
      <alignment horizontal="center" vertical="center" wrapText="1"/>
    </xf>
    <xf numFmtId="9" fontId="108" fillId="6" borderId="32"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vertical="center" wrapText="1"/>
    </xf>
    <xf numFmtId="10" fontId="59" fillId="6" borderId="53"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3"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9" fillId="6" borderId="23"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0" fontId="103" fillId="6" borderId="19" xfId="0" applyFont="1" applyFill="1" applyBorder="1" applyProtection="1">
      <alignment vertical="center"/>
    </xf>
    <xf numFmtId="0" fontId="120" fillId="6" borderId="28" xfId="0" applyFont="1" applyFill="1" applyBorder="1" applyAlignment="1" applyProtection="1">
      <alignment horizontal="center" vertical="center"/>
    </xf>
    <xf numFmtId="0" fontId="103" fillId="6" borderId="18" xfId="0" applyFont="1" applyFill="1" applyBorder="1" applyProtection="1">
      <alignment vertical="center"/>
    </xf>
    <xf numFmtId="0" fontId="120" fillId="6" borderId="32" xfId="0" applyFont="1" applyFill="1" applyBorder="1" applyAlignment="1" applyProtection="1">
      <alignment horizontal="center" vertical="center"/>
    </xf>
    <xf numFmtId="0" fontId="120" fillId="6" borderId="33" xfId="0" applyFont="1" applyFill="1" applyBorder="1" applyAlignment="1" applyProtection="1">
      <alignment horizontal="center" vertical="center"/>
    </xf>
    <xf numFmtId="0" fontId="119" fillId="6" borderId="40" xfId="0" applyFont="1" applyFill="1" applyBorder="1" applyAlignment="1" applyProtection="1">
      <alignment vertical="center" wrapText="1"/>
    </xf>
    <xf numFmtId="0" fontId="119" fillId="6" borderId="9" xfId="0" applyFont="1" applyFill="1" applyBorder="1" applyAlignment="1" applyProtection="1">
      <alignment horizontal="center" vertical="center" wrapText="1"/>
    </xf>
    <xf numFmtId="0" fontId="119" fillId="6" borderId="28" xfId="0" applyFont="1" applyFill="1" applyBorder="1" applyAlignment="1" applyProtection="1">
      <alignment horizontal="center" vertical="center" wrapText="1"/>
    </xf>
    <xf numFmtId="0" fontId="119" fillId="6" borderId="4" xfId="0" applyFont="1" applyFill="1" applyBorder="1" applyAlignment="1" applyProtection="1">
      <alignment horizontal="center" vertical="center" wrapText="1"/>
    </xf>
    <xf numFmtId="0" fontId="119" fillId="6" borderId="2" xfId="0" applyFont="1" applyFill="1" applyBorder="1" applyAlignment="1" applyProtection="1">
      <alignment horizontal="center" vertical="center" wrapText="1"/>
    </xf>
    <xf numFmtId="0" fontId="119" fillId="6" borderId="74" xfId="0" applyFont="1" applyFill="1" applyBorder="1" applyAlignment="1" applyProtection="1">
      <alignment horizontal="center" vertical="center" wrapText="1"/>
    </xf>
    <xf numFmtId="0" fontId="119" fillId="6" borderId="32" xfId="0" applyFont="1" applyFill="1" applyBorder="1" applyAlignment="1" applyProtection="1">
      <alignment horizontal="center" vertical="center" wrapText="1"/>
    </xf>
    <xf numFmtId="0" fontId="121" fillId="6" borderId="33" xfId="0" applyFont="1" applyFill="1" applyBorder="1" applyProtection="1">
      <alignment vertical="center"/>
    </xf>
    <xf numFmtId="0" fontId="119" fillId="6" borderId="5" xfId="0" applyFont="1" applyFill="1" applyBorder="1" applyAlignment="1" applyProtection="1">
      <alignment horizontal="center" vertical="center" wrapText="1"/>
    </xf>
    <xf numFmtId="0" fontId="121" fillId="6" borderId="5" xfId="0" applyFont="1" applyFill="1" applyBorder="1" applyProtection="1">
      <alignment vertical="center"/>
    </xf>
    <xf numFmtId="0" fontId="119" fillId="6" borderId="26" xfId="0" applyFont="1" applyFill="1" applyBorder="1" applyAlignment="1" applyProtection="1">
      <alignment vertical="center" wrapText="1"/>
    </xf>
    <xf numFmtId="0" fontId="11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6" fillId="6" borderId="6" xfId="0" applyFont="1" applyFill="1" applyBorder="1" applyAlignment="1" applyProtection="1">
      <alignment horizontal="center" vertical="center" wrapText="1"/>
    </xf>
    <xf numFmtId="0" fontId="116" fillId="6" borderId="9" xfId="0" applyFont="1" applyFill="1" applyBorder="1" applyAlignment="1" applyProtection="1">
      <alignment horizontal="center" vertical="center" wrapText="1"/>
    </xf>
    <xf numFmtId="0" fontId="116" fillId="6" borderId="10" xfId="0" applyFont="1" applyFill="1" applyBorder="1" applyAlignment="1" applyProtection="1">
      <alignment horizontal="center" vertical="center" wrapText="1"/>
    </xf>
    <xf numFmtId="0" fontId="116" fillId="6" borderId="24" xfId="0" applyFont="1" applyFill="1" applyBorder="1" applyAlignment="1" applyProtection="1">
      <alignment horizontal="center" vertical="center" wrapText="1"/>
    </xf>
    <xf numFmtId="0" fontId="116" fillId="6" borderId="11" xfId="0" applyFont="1" applyFill="1" applyBorder="1" applyAlignment="1" applyProtection="1">
      <alignment horizontal="center" vertical="center" wrapText="1"/>
    </xf>
    <xf numFmtId="0" fontId="11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2" fillId="6" borderId="60" xfId="0" applyFont="1" applyFill="1" applyBorder="1" applyAlignment="1" applyProtection="1">
      <alignment vertical="center"/>
    </xf>
    <xf numFmtId="0" fontId="122" fillId="6" borderId="0" xfId="0" applyFont="1" applyFill="1" applyBorder="1" applyAlignment="1" applyProtection="1">
      <alignment vertical="center"/>
    </xf>
    <xf numFmtId="0" fontId="0" fillId="0" borderId="0" xfId="0" applyAlignment="1" applyProtection="1">
      <alignment horizontal="center" vertical="center"/>
    </xf>
    <xf numFmtId="0" fontId="116" fillId="6" borderId="5" xfId="0" applyFont="1" applyFill="1" applyBorder="1" applyAlignment="1" applyProtection="1">
      <alignment horizontal="center" vertical="center" wrapText="1"/>
    </xf>
    <xf numFmtId="0" fontId="116" fillId="6" borderId="3" xfId="0" applyFont="1" applyFill="1" applyBorder="1" applyAlignment="1" applyProtection="1">
      <alignment horizontal="center" vertical="center" wrapText="1"/>
    </xf>
    <xf numFmtId="0" fontId="116" fillId="6" borderId="0"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xf>
    <xf numFmtId="0" fontId="116" fillId="6" borderId="5" xfId="0" applyFont="1" applyFill="1" applyBorder="1" applyAlignment="1" applyProtection="1">
      <alignment horizontal="left" vertical="center"/>
    </xf>
    <xf numFmtId="0" fontId="116" fillId="6" borderId="3" xfId="0" applyFont="1" applyFill="1" applyBorder="1" applyAlignment="1" applyProtection="1">
      <alignment horizontal="left" vertical="center"/>
    </xf>
    <xf numFmtId="0" fontId="116" fillId="6" borderId="0" xfId="0" applyFont="1" applyFill="1" applyBorder="1" applyAlignment="1" applyProtection="1">
      <alignment vertical="center"/>
    </xf>
    <xf numFmtId="0" fontId="116" fillId="6" borderId="0" xfId="0" applyFont="1" applyFill="1" applyBorder="1" applyAlignment="1" applyProtection="1">
      <alignment horizontal="center" vertical="center"/>
    </xf>
    <xf numFmtId="0" fontId="0" fillId="0" borderId="0" xfId="0" applyAlignment="1" applyProtection="1">
      <alignment vertical="center"/>
    </xf>
    <xf numFmtId="0" fontId="116" fillId="0" borderId="36" xfId="0" applyFont="1" applyBorder="1" applyAlignment="1" applyProtection="1">
      <alignment vertical="center"/>
    </xf>
    <xf numFmtId="0" fontId="116" fillId="0" borderId="0" xfId="0" applyFont="1" applyBorder="1" applyAlignment="1" applyProtection="1">
      <alignment vertical="center"/>
    </xf>
    <xf numFmtId="0" fontId="116" fillId="6" borderId="4" xfId="0" applyFont="1" applyFill="1" applyBorder="1" applyAlignment="1" applyProtection="1">
      <alignment vertical="center" wrapText="1"/>
    </xf>
    <xf numFmtId="0" fontId="116" fillId="6" borderId="2" xfId="0" applyFont="1" applyFill="1" applyBorder="1" applyAlignment="1" applyProtection="1">
      <alignment vertical="center" wrapText="1"/>
    </xf>
    <xf numFmtId="0" fontId="116" fillId="6" borderId="7" xfId="0" applyFont="1" applyFill="1" applyBorder="1" applyAlignment="1" applyProtection="1">
      <alignment vertical="center" wrapText="1"/>
    </xf>
    <xf numFmtId="0" fontId="116" fillId="6" borderId="2" xfId="0" applyFont="1" applyFill="1" applyBorder="1" applyAlignment="1" applyProtection="1">
      <alignment horizontal="center" vertical="center"/>
    </xf>
    <xf numFmtId="0" fontId="116" fillId="6" borderId="0" xfId="0" applyFont="1" applyFill="1" applyAlignment="1" applyProtection="1">
      <alignment horizontal="center" vertical="center"/>
    </xf>
    <xf numFmtId="9" fontId="116" fillId="6" borderId="1" xfId="0" applyNumberFormat="1" applyFont="1" applyFill="1" applyBorder="1" applyAlignment="1" applyProtection="1">
      <alignment horizontal="center" vertical="center"/>
    </xf>
    <xf numFmtId="180" fontId="84" fillId="0" borderId="60" xfId="3" applyNumberFormat="1" applyFont="1" applyBorder="1" applyAlignment="1" applyProtection="1">
      <alignment vertical="center"/>
    </xf>
    <xf numFmtId="0" fontId="84" fillId="0" borderId="60" xfId="3" applyNumberFormat="1" applyFont="1" applyBorder="1" applyAlignment="1" applyProtection="1">
      <alignment vertical="center"/>
    </xf>
    <xf numFmtId="0" fontId="0" fillId="0" borderId="0" xfId="0" applyNumberFormat="1" applyProtection="1">
      <alignment vertical="center"/>
    </xf>
    <xf numFmtId="180"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wrapText="1"/>
    </xf>
    <xf numFmtId="0" fontId="85" fillId="6" borderId="15" xfId="3" applyNumberFormat="1" applyFont="1" applyFill="1" applyBorder="1" applyAlignment="1" applyProtection="1">
      <alignment horizontal="center" vertical="center"/>
    </xf>
    <xf numFmtId="0" fontId="59" fillId="6" borderId="15" xfId="0" applyNumberFormat="1" applyFont="1" applyFill="1" applyBorder="1" applyAlignment="1" applyProtection="1">
      <alignment horizontal="center" vertical="center" wrapText="1"/>
    </xf>
    <xf numFmtId="0" fontId="59" fillId="6" borderId="17" xfId="0" applyNumberFormat="1" applyFont="1" applyFill="1" applyBorder="1" applyAlignment="1" applyProtection="1">
      <alignment horizontal="center" vertical="center" wrapText="1"/>
    </xf>
    <xf numFmtId="0" fontId="123" fillId="6" borderId="19" xfId="0" applyNumberFormat="1" applyFont="1" applyFill="1" applyBorder="1" applyAlignment="1" applyProtection="1">
      <alignment horizontal="center" vertical="center" wrapText="1"/>
    </xf>
    <xf numFmtId="0" fontId="124"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9" fillId="6" borderId="16" xfId="0" applyNumberFormat="1" applyFont="1" applyFill="1" applyBorder="1" applyAlignment="1" applyProtection="1">
      <alignment vertical="center" wrapText="1"/>
    </xf>
    <xf numFmtId="0" fontId="59" fillId="6" borderId="23" xfId="0" applyNumberFormat="1" applyFont="1" applyFill="1" applyBorder="1" applyAlignment="1" applyProtection="1">
      <alignment horizontal="center" vertical="center" wrapText="1"/>
    </xf>
    <xf numFmtId="0" fontId="123" fillId="6" borderId="1" xfId="0" applyNumberFormat="1" applyFont="1" applyFill="1" applyBorder="1" applyAlignment="1" applyProtection="1">
      <alignment horizontal="center" vertical="center" wrapText="1"/>
    </xf>
    <xf numFmtId="0" fontId="123" fillId="6" borderId="24" xfId="0" applyNumberFormat="1" applyFont="1" applyFill="1" applyBorder="1" applyAlignment="1" applyProtection="1">
      <alignment horizontal="center" vertical="center" wrapText="1"/>
    </xf>
    <xf numFmtId="0" fontId="123" fillId="6" borderId="32" xfId="0" applyNumberFormat="1" applyFont="1" applyFill="1" applyBorder="1" applyAlignment="1" applyProtection="1">
      <alignment horizontal="center" vertical="center" wrapText="1"/>
    </xf>
    <xf numFmtId="0" fontId="123" fillId="6" borderId="49" xfId="0" applyNumberFormat="1" applyFont="1" applyFill="1" applyBorder="1" applyAlignment="1" applyProtection="1">
      <alignment horizontal="center" vertical="center" wrapText="1"/>
    </xf>
    <xf numFmtId="180" fontId="85"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7" fillId="6" borderId="1" xfId="0" applyNumberFormat="1" applyFont="1" applyFill="1" applyBorder="1" applyAlignment="1" applyProtection="1">
      <alignment horizontal="center" vertical="center" wrapText="1"/>
    </xf>
    <xf numFmtId="0" fontId="56" fillId="6" borderId="36" xfId="0" applyFont="1" applyFill="1" applyBorder="1" applyAlignment="1" applyProtection="1">
      <alignment horizontal="center" vertical="center"/>
    </xf>
    <xf numFmtId="0" fontId="60" fillId="6" borderId="34" xfId="0" applyFont="1" applyFill="1" applyBorder="1" applyAlignment="1" applyProtection="1">
      <alignment horizontal="center" vertical="center"/>
    </xf>
    <xf numFmtId="0" fontId="60" fillId="6" borderId="28"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9" fillId="6" borderId="4" xfId="0" applyFont="1" applyFill="1" applyBorder="1" applyAlignment="1" applyProtection="1">
      <alignment horizontal="center" vertical="center" wrapText="1"/>
    </xf>
    <xf numFmtId="9" fontId="59" fillId="6" borderId="1" xfId="0" applyNumberFormat="1"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53" xfId="0"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188" fontId="56" fillId="6" borderId="84" xfId="0" applyNumberFormat="1" applyFont="1" applyFill="1" applyBorder="1" applyAlignment="1" applyProtection="1">
      <alignment horizontal="center" vertical="center" wrapText="1"/>
    </xf>
    <xf numFmtId="14" fontId="57" fillId="6" borderId="84" xfId="0" applyNumberFormat="1" applyFont="1" applyFill="1" applyBorder="1" applyAlignment="1" applyProtection="1">
      <alignment horizontal="center" vertical="center" wrapText="1"/>
    </xf>
    <xf numFmtId="14" fontId="57" fillId="6" borderId="64" xfId="0" applyNumberFormat="1" applyFont="1" applyFill="1" applyBorder="1" applyAlignment="1" applyProtection="1">
      <alignment horizontal="center" vertical="center" wrapText="1"/>
    </xf>
    <xf numFmtId="10" fontId="57" fillId="6" borderId="64" xfId="0" applyNumberFormat="1" applyFont="1" applyFill="1" applyBorder="1" applyAlignment="1" applyProtection="1">
      <alignment horizontal="center" vertical="center" wrapText="1"/>
    </xf>
    <xf numFmtId="0" fontId="108" fillId="6" borderId="67" xfId="0" applyFont="1" applyFill="1" applyBorder="1" applyAlignment="1" applyProtection="1">
      <alignment horizontal="center" vertical="center" wrapText="1"/>
    </xf>
    <xf numFmtId="188" fontId="56" fillId="6" borderId="17" xfId="0" applyNumberFormat="1" applyFont="1" applyFill="1" applyBorder="1" applyAlignment="1" applyProtection="1">
      <alignment horizontal="center" vertical="center" wrapText="1"/>
    </xf>
    <xf numFmtId="0" fontId="60" fillId="6" borderId="20" xfId="0" applyFont="1" applyFill="1" applyBorder="1" applyAlignment="1" applyProtection="1">
      <alignment horizontal="center" vertical="center" wrapText="1"/>
    </xf>
    <xf numFmtId="0" fontId="60" fillId="6" borderId="15" xfId="0" applyFont="1" applyFill="1" applyBorder="1" applyAlignment="1" applyProtection="1">
      <alignment horizontal="center" vertical="center" wrapText="1"/>
    </xf>
    <xf numFmtId="0" fontId="60" fillId="6" borderId="32" xfId="0" applyFont="1" applyFill="1" applyBorder="1" applyAlignment="1" applyProtection="1">
      <alignment horizontal="center" vertical="center" wrapText="1"/>
    </xf>
    <xf numFmtId="0" fontId="116" fillId="6" borderId="5" xfId="0" applyFont="1" applyFill="1" applyBorder="1" applyAlignment="1" applyProtection="1">
      <alignment horizontal="center" vertical="center" wrapText="1"/>
    </xf>
    <xf numFmtId="182" fontId="108" fillId="6" borderId="17" xfId="0" applyNumberFormat="1" applyFont="1" applyFill="1" applyBorder="1" applyAlignment="1" applyProtection="1">
      <alignment horizontal="center" vertical="center" wrapText="1"/>
    </xf>
    <xf numFmtId="0" fontId="59" fillId="6" borderId="29" xfId="0" applyFont="1" applyFill="1" applyBorder="1" applyAlignment="1" applyProtection="1">
      <alignment horizontal="center" vertical="center" wrapText="1"/>
    </xf>
    <xf numFmtId="0" fontId="59" fillId="6" borderId="6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xf>
    <xf numFmtId="0" fontId="116" fillId="6" borderId="1" xfId="0" applyFont="1" applyFill="1" applyBorder="1" applyAlignment="1" applyProtection="1">
      <alignment horizontal="center" vertical="center"/>
    </xf>
    <xf numFmtId="0" fontId="78" fillId="6" borderId="0" xfId="0" applyFont="1" applyFill="1" applyAlignment="1" applyProtection="1">
      <alignment horizontal="center" vertical="center"/>
      <protection locked="0"/>
    </xf>
    <xf numFmtId="0" fontId="108" fillId="6" borderId="1" xfId="0" applyFont="1" applyFill="1" applyBorder="1" applyAlignment="1" applyProtection="1">
      <alignment horizontal="center" vertical="center"/>
    </xf>
    <xf numFmtId="0" fontId="108" fillId="0" borderId="1" xfId="0" applyFont="1" applyFill="1" applyBorder="1" applyAlignment="1" applyProtection="1">
      <alignment horizontal="center" vertical="center"/>
      <protection locked="0"/>
    </xf>
    <xf numFmtId="178" fontId="57" fillId="0" borderId="1" xfId="0" applyNumberFormat="1"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59" fillId="0" borderId="49" xfId="0" applyFont="1" applyFill="1" applyBorder="1" applyAlignment="1" applyProtection="1">
      <alignment horizontal="center" vertical="center" wrapText="1"/>
      <protection locked="0"/>
    </xf>
    <xf numFmtId="49" fontId="87" fillId="6" borderId="23" xfId="1" applyNumberFormat="1" applyFont="1" applyFill="1" applyBorder="1" applyAlignment="1" applyProtection="1">
      <alignment horizontal="left"/>
    </xf>
    <xf numFmtId="49" fontId="59" fillId="6" borderId="23" xfId="1" applyNumberFormat="1" applyFont="1" applyFill="1" applyBorder="1" applyAlignment="1" applyProtection="1">
      <alignment horizontal="center"/>
    </xf>
    <xf numFmtId="0" fontId="65" fillId="6" borderId="23" xfId="1" applyFont="1" applyFill="1" applyBorder="1" applyAlignment="1" applyProtection="1">
      <alignment horizontal="right"/>
    </xf>
    <xf numFmtId="0" fontId="59" fillId="6" borderId="23" xfId="0" applyFont="1" applyFill="1" applyBorder="1" applyAlignment="1" applyProtection="1">
      <alignment horizontal="center" vertical="center"/>
    </xf>
    <xf numFmtId="0" fontId="53" fillId="3" borderId="0" xfId="0" applyFont="1" applyFill="1" applyAlignment="1" applyProtection="1">
      <alignment vertical="center"/>
      <protection locked="0"/>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0" fontId="51" fillId="6" borderId="21" xfId="0" applyFont="1" applyFill="1" applyBorder="1" applyAlignment="1" applyProtection="1">
      <alignment vertical="center"/>
    </xf>
    <xf numFmtId="0" fontId="67" fillId="7" borderId="0" xfId="0" applyFont="1" applyFill="1" applyAlignment="1" applyProtection="1">
      <alignment vertical="center"/>
      <protection locked="0"/>
    </xf>
    <xf numFmtId="0" fontId="52" fillId="6" borderId="23" xfId="0" applyFont="1" applyFill="1" applyBorder="1" applyAlignment="1" applyProtection="1">
      <alignment horizontal="center" vertical="center"/>
    </xf>
    <xf numFmtId="0" fontId="52" fillId="6" borderId="46"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49" fontId="53" fillId="6" borderId="23" xfId="0" applyNumberFormat="1" applyFont="1" applyFill="1" applyBorder="1" applyAlignment="1" applyProtection="1">
      <alignment horizontal="center" vertical="center"/>
    </xf>
    <xf numFmtId="187" fontId="53" fillId="0" borderId="1" xfId="0" applyNumberFormat="1" applyFont="1" applyFill="1" applyBorder="1" applyAlignment="1" applyProtection="1">
      <alignment horizontal="center" vertical="center"/>
      <protection locked="0"/>
    </xf>
    <xf numFmtId="187" fontId="53" fillId="0" borderId="24"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187"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0" fillId="7" borderId="0" xfId="0" applyFont="1" applyFill="1" applyAlignment="1" applyProtection="1">
      <alignment vertical="center"/>
      <protection locked="0"/>
    </xf>
    <xf numFmtId="0" fontId="53" fillId="6" borderId="23" xfId="1" applyFont="1" applyFill="1" applyBorder="1" applyAlignment="1" applyProtection="1">
      <alignment horizontal="right" vertical="center"/>
    </xf>
    <xf numFmtId="0" fontId="53" fillId="6" borderId="5" xfId="1" applyFont="1" applyFill="1" applyBorder="1" applyAlignment="1" applyProtection="1">
      <alignment vertical="center"/>
    </xf>
    <xf numFmtId="180" fontId="53" fillId="6" borderId="1" xfId="1" applyNumberFormat="1" applyFont="1" applyFill="1" applyBorder="1" applyAlignment="1" applyProtection="1">
      <alignment horizontal="center" vertical="center"/>
    </xf>
    <xf numFmtId="182" fontId="53" fillId="6" borderId="1" xfId="1" applyNumberFormat="1" applyFont="1" applyFill="1" applyBorder="1" applyAlignment="1" applyProtection="1">
      <alignment horizontal="center" vertical="center"/>
    </xf>
    <xf numFmtId="0" fontId="55" fillId="7" borderId="0" xfId="0" applyFont="1" applyFill="1" applyAlignment="1" applyProtection="1">
      <alignment vertical="center"/>
      <protection locked="0"/>
    </xf>
    <xf numFmtId="9" fontId="53" fillId="6" borderId="1" xfId="1" applyNumberFormat="1" applyFont="1" applyFill="1" applyBorder="1" applyAlignment="1" applyProtection="1">
      <alignment horizontal="center" vertical="center"/>
    </xf>
    <xf numFmtId="0" fontId="55" fillId="0" borderId="0" xfId="0" applyFont="1" applyFill="1" applyAlignment="1" applyProtection="1">
      <alignment vertical="center"/>
      <protection locked="0"/>
    </xf>
    <xf numFmtId="178" fontId="53" fillId="6" borderId="1" xfId="1" applyNumberFormat="1" applyFont="1" applyFill="1" applyBorder="1" applyAlignment="1" applyProtection="1">
      <alignment vertical="center"/>
    </xf>
    <xf numFmtId="0" fontId="53" fillId="6" borderId="54" xfId="0" applyFont="1" applyFill="1" applyBorder="1" applyAlignment="1" applyProtection="1">
      <alignment vertical="center"/>
    </xf>
    <xf numFmtId="0" fontId="53" fillId="6" borderId="48" xfId="0" applyFont="1" applyFill="1" applyBorder="1" applyAlignment="1" applyProtection="1">
      <alignment vertical="center"/>
    </xf>
    <xf numFmtId="0" fontId="53" fillId="6" borderId="54" xfId="0" applyFont="1" applyFill="1" applyBorder="1" applyAlignment="1" applyProtection="1">
      <alignment horizontal="left" vertical="center"/>
    </xf>
    <xf numFmtId="0" fontId="53" fillId="6" borderId="48" xfId="0" applyFont="1" applyFill="1" applyBorder="1" applyAlignment="1" applyProtection="1">
      <alignment horizontal="left" vertical="center"/>
    </xf>
    <xf numFmtId="178" fontId="53" fillId="6" borderId="1" xfId="1" applyNumberFormat="1" applyFont="1" applyFill="1" applyBorder="1" applyAlignment="1" applyProtection="1">
      <alignment horizontal="center" vertical="center"/>
    </xf>
    <xf numFmtId="10" fontId="53" fillId="6" borderId="1" xfId="1" applyNumberFormat="1" applyFont="1" applyFill="1" applyBorder="1" applyAlignment="1" applyProtection="1">
      <alignment horizontal="center" vertical="center"/>
    </xf>
    <xf numFmtId="0" fontId="52" fillId="6" borderId="5" xfId="1" applyFont="1" applyFill="1" applyBorder="1" applyAlignment="1" applyProtection="1">
      <alignment vertical="center"/>
    </xf>
    <xf numFmtId="178" fontId="52" fillId="6" borderId="1" xfId="1" applyNumberFormat="1" applyFont="1" applyFill="1" applyBorder="1" applyAlignment="1" applyProtection="1">
      <alignment horizontal="center" vertical="center"/>
    </xf>
    <xf numFmtId="0" fontId="52" fillId="6" borderId="1" xfId="1" applyFont="1" applyFill="1" applyBorder="1" applyAlignment="1" applyProtection="1">
      <alignment vertical="center"/>
    </xf>
    <xf numFmtId="10" fontId="52" fillId="6" borderId="1" xfId="1" applyNumberFormat="1" applyFont="1" applyFill="1" applyBorder="1" applyAlignment="1" applyProtection="1">
      <alignment horizontal="center" vertical="center"/>
    </xf>
    <xf numFmtId="0" fontId="50" fillId="6" borderId="5" xfId="0"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3" fillId="6" borderId="1" xfId="1" applyFont="1" applyFill="1" applyBorder="1" applyAlignment="1" applyProtection="1">
      <alignment horizontal="left" vertical="center"/>
    </xf>
    <xf numFmtId="0" fontId="54" fillId="3" borderId="0" xfId="0" applyFont="1" applyFill="1" applyAlignment="1" applyProtection="1">
      <alignment vertical="center"/>
      <protection locked="0"/>
    </xf>
    <xf numFmtId="0" fontId="53" fillId="6" borderId="5" xfId="1" applyFont="1" applyFill="1" applyBorder="1" applyAlignment="1" applyProtection="1">
      <alignment horizontal="left" vertical="center"/>
    </xf>
    <xf numFmtId="187" fontId="53" fillId="3" borderId="0" xfId="0" applyNumberFormat="1" applyFont="1" applyFill="1" applyAlignment="1" applyProtection="1">
      <alignment horizontal="center" vertical="center"/>
      <protection locked="0"/>
    </xf>
    <xf numFmtId="187" fontId="52" fillId="6" borderId="28" xfId="0" applyNumberFormat="1" applyFont="1" applyFill="1" applyBorder="1" applyAlignment="1" applyProtection="1">
      <alignment horizontal="center" vertical="center"/>
    </xf>
    <xf numFmtId="187" fontId="108" fillId="0" borderId="13" xfId="0" applyNumberFormat="1" applyFont="1" applyFill="1" applyBorder="1" applyAlignment="1" applyProtection="1">
      <alignment horizontal="center" vertical="center"/>
      <protection locked="0"/>
    </xf>
    <xf numFmtId="187" fontId="53" fillId="0" borderId="13" xfId="0" applyNumberFormat="1" applyFont="1" applyFill="1" applyBorder="1" applyAlignment="1" applyProtection="1">
      <alignment horizontal="center" vertical="center"/>
      <protection locked="0"/>
    </xf>
    <xf numFmtId="187" fontId="53" fillId="0" borderId="61" xfId="0" applyNumberFormat="1" applyFont="1" applyFill="1" applyBorder="1" applyAlignment="1" applyProtection="1">
      <alignment horizontal="center" vertical="center"/>
      <protection locked="0"/>
    </xf>
    <xf numFmtId="0" fontId="52" fillId="6" borderId="42" xfId="0" applyFont="1" applyFill="1" applyBorder="1" applyAlignment="1" applyProtection="1">
      <alignment vertical="center"/>
    </xf>
    <xf numFmtId="0" fontId="52" fillId="6" borderId="47" xfId="0" applyFont="1" applyFill="1" applyBorder="1" applyAlignment="1" applyProtection="1">
      <alignment vertical="center"/>
    </xf>
    <xf numFmtId="187" fontId="51" fillId="6" borderId="74" xfId="0" applyNumberFormat="1" applyFont="1" applyFill="1" applyBorder="1" applyAlignment="1" applyProtection="1">
      <alignment horizontal="center" vertical="center"/>
    </xf>
    <xf numFmtId="0" fontId="51" fillId="6" borderId="75" xfId="0" applyFont="1" applyFill="1" applyBorder="1" applyAlignment="1" applyProtection="1">
      <alignment vertical="center"/>
    </xf>
    <xf numFmtId="0" fontId="52" fillId="6" borderId="43" xfId="0" applyFont="1" applyFill="1" applyBorder="1" applyAlignment="1" applyProtection="1">
      <alignment vertical="center"/>
    </xf>
    <xf numFmtId="0" fontId="52" fillId="6" borderId="33" xfId="1" applyFont="1" applyFill="1" applyBorder="1" applyAlignment="1" applyProtection="1">
      <alignment vertical="center"/>
    </xf>
    <xf numFmtId="178" fontId="52" fillId="6" borderId="32" xfId="0" applyNumberFormat="1" applyFont="1" applyFill="1" applyBorder="1" applyAlignment="1" applyProtection="1">
      <alignment horizontal="center" vertical="center"/>
    </xf>
    <xf numFmtId="0" fontId="52" fillId="6" borderId="32" xfId="0" applyFont="1" applyFill="1" applyBorder="1" applyAlignment="1" applyProtection="1">
      <alignment vertical="center"/>
    </xf>
    <xf numFmtId="178" fontId="52" fillId="6" borderId="32" xfId="0" applyNumberFormat="1" applyFont="1" applyFill="1" applyBorder="1" applyAlignment="1" applyProtection="1">
      <alignment vertical="center"/>
    </xf>
    <xf numFmtId="10" fontId="52" fillId="6" borderId="32" xfId="0" applyNumberFormat="1" applyFont="1" applyFill="1" applyBorder="1" applyAlignment="1" applyProtection="1">
      <alignment horizontal="center" vertical="center"/>
    </xf>
    <xf numFmtId="178" fontId="52" fillId="6" borderId="33" xfId="0" applyNumberFormat="1" applyFont="1" applyFill="1" applyBorder="1" applyAlignment="1" applyProtection="1">
      <alignment vertical="center"/>
    </xf>
    <xf numFmtId="178" fontId="52" fillId="6" borderId="52" xfId="0" applyNumberFormat="1" applyFont="1" applyFill="1" applyBorder="1" applyAlignment="1" applyProtection="1">
      <alignment vertical="center"/>
    </xf>
    <xf numFmtId="178" fontId="52" fillId="6" borderId="68" xfId="0" applyNumberFormat="1" applyFont="1" applyFill="1" applyBorder="1" applyAlignment="1" applyProtection="1">
      <alignment vertical="center"/>
    </xf>
    <xf numFmtId="0" fontId="56" fillId="6" borderId="15" xfId="0" applyFont="1" applyFill="1" applyBorder="1" applyAlignment="1" applyProtection="1">
      <alignment horizontal="center" vertical="center" wrapText="1"/>
    </xf>
    <xf numFmtId="0" fontId="126" fillId="0" borderId="0" xfId="5" applyFont="1">
      <alignment vertical="center"/>
    </xf>
    <xf numFmtId="0" fontId="102" fillId="0" borderId="0" xfId="5">
      <alignment vertical="center"/>
    </xf>
    <xf numFmtId="0" fontId="126" fillId="0" borderId="0" xfId="5" applyFont="1" applyAlignment="1">
      <alignment vertical="top" wrapText="1"/>
    </xf>
    <xf numFmtId="0" fontId="103" fillId="0" borderId="0" xfId="5" applyFont="1" applyAlignment="1">
      <alignment horizontal="right" vertical="center"/>
    </xf>
    <xf numFmtId="14" fontId="127" fillId="0" borderId="0" xfId="5" applyNumberFormat="1" applyFont="1" applyAlignment="1">
      <alignment horizontal="left" vertical="center"/>
    </xf>
    <xf numFmtId="0" fontId="104" fillId="0" borderId="0" xfId="5" applyFont="1">
      <alignment vertical="center"/>
    </xf>
    <xf numFmtId="0" fontId="128" fillId="5" borderId="13" xfId="5" applyFont="1" applyFill="1" applyBorder="1" applyAlignment="1">
      <alignment vertical="center"/>
    </xf>
    <xf numFmtId="0" fontId="129" fillId="0" borderId="1" xfId="5" applyFont="1" applyBorder="1" applyAlignment="1">
      <alignment horizontal="right" vertical="center"/>
    </xf>
    <xf numFmtId="0" fontId="129" fillId="0" borderId="1" xfId="5" applyFont="1" applyFill="1" applyBorder="1" applyAlignment="1">
      <alignment horizontal="right" vertical="center"/>
    </xf>
    <xf numFmtId="185" fontId="129" fillId="0" borderId="13" xfId="5" applyNumberFormat="1" applyFont="1" applyFill="1" applyBorder="1" applyAlignment="1">
      <alignment horizontal="right" vertical="center"/>
    </xf>
    <xf numFmtId="0" fontId="102" fillId="0" borderId="0" xfId="5" applyFill="1">
      <alignment vertical="center"/>
    </xf>
    <xf numFmtId="0" fontId="130" fillId="0" borderId="0" xfId="5" applyFont="1">
      <alignment vertical="center"/>
    </xf>
    <xf numFmtId="0" fontId="128" fillId="0" borderId="1" xfId="5" applyFont="1" applyFill="1" applyBorder="1" applyAlignment="1">
      <alignment vertical="center"/>
    </xf>
    <xf numFmtId="0" fontId="131" fillId="0" borderId="0" xfId="5" applyFont="1">
      <alignment vertical="center"/>
    </xf>
    <xf numFmtId="0" fontId="131" fillId="0" borderId="1" xfId="5" applyFont="1" applyBorder="1">
      <alignment vertical="center"/>
    </xf>
    <xf numFmtId="0" fontId="103" fillId="0" borderId="1" xfId="5" applyFont="1" applyBorder="1">
      <alignment vertical="center"/>
    </xf>
    <xf numFmtId="185" fontId="129" fillId="0" borderId="1" xfId="5" applyNumberFormat="1" applyFont="1" applyFill="1" applyBorder="1" applyAlignment="1">
      <alignment horizontal="right" vertical="center"/>
    </xf>
    <xf numFmtId="14" fontId="102" fillId="0" borderId="0" xfId="5" applyNumberFormat="1">
      <alignment vertical="center"/>
    </xf>
    <xf numFmtId="0" fontId="65" fillId="6" borderId="1" xfId="1" applyNumberFormat="1" applyFont="1" applyFill="1" applyBorder="1" applyAlignment="1" applyProtection="1"/>
    <xf numFmtId="0" fontId="53" fillId="6" borderId="1" xfId="1" applyNumberFormat="1" applyFont="1" applyFill="1" applyBorder="1" applyAlignment="1" applyProtection="1">
      <alignment horizontal="center" vertical="center"/>
    </xf>
    <xf numFmtId="0" fontId="59" fillId="6" borderId="1" xfId="1" applyNumberFormat="1" applyFont="1" applyFill="1" applyBorder="1" applyAlignment="1" applyProtection="1">
      <alignment horizontal="center"/>
    </xf>
    <xf numFmtId="0" fontId="59" fillId="6" borderId="1" xfId="0" applyNumberFormat="1" applyFont="1" applyFill="1" applyBorder="1" applyProtection="1">
      <alignment vertical="center"/>
    </xf>
    <xf numFmtId="0" fontId="60" fillId="6" borderId="1" xfId="1" applyNumberFormat="1" applyFont="1" applyFill="1" applyBorder="1" applyAlignment="1" applyProtection="1">
      <alignment horizontal="center"/>
    </xf>
    <xf numFmtId="0" fontId="67" fillId="6" borderId="78" xfId="0" applyFont="1" applyFill="1" applyBorder="1" applyAlignment="1" applyProtection="1">
      <alignment horizontal="right" vertical="center" shrinkToFit="1"/>
    </xf>
    <xf numFmtId="0" fontId="67" fillId="6" borderId="78" xfId="0" applyNumberFormat="1" applyFont="1" applyFill="1" applyBorder="1" applyAlignment="1" applyProtection="1">
      <alignment horizontal="right" vertical="center" shrinkToFit="1"/>
    </xf>
    <xf numFmtId="0" fontId="67" fillId="0" borderId="0" xfId="0" applyFont="1" applyFill="1" applyBorder="1" applyAlignment="1" applyProtection="1">
      <alignment vertical="center"/>
      <protection locked="0"/>
    </xf>
    <xf numFmtId="0" fontId="51" fillId="0" borderId="2" xfId="7" applyFont="1" applyFill="1" applyBorder="1" applyAlignment="1" applyProtection="1">
      <alignment horizontal="center" vertical="center" wrapText="1"/>
    </xf>
    <xf numFmtId="0" fontId="51" fillId="0" borderId="1" xfId="7" applyFont="1" applyFill="1" applyBorder="1" applyAlignment="1" applyProtection="1">
      <alignment horizontal="center" vertical="center" wrapText="1"/>
    </xf>
    <xf numFmtId="0" fontId="67" fillId="0" borderId="1" xfId="7" applyFont="1" applyFill="1" applyBorder="1" applyAlignment="1" applyProtection="1">
      <alignment horizontal="center" vertical="center" wrapText="1"/>
    </xf>
    <xf numFmtId="0" fontId="51" fillId="0" borderId="3" xfId="7"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xf>
    <xf numFmtId="0" fontId="50" fillId="6" borderId="24" xfId="0" applyFont="1" applyFill="1" applyBorder="1" applyAlignment="1" applyProtection="1">
      <alignment horizontal="center" vertical="center"/>
    </xf>
    <xf numFmtId="185" fontId="53" fillId="0" borderId="1" xfId="0" applyNumberFormat="1" applyFont="1" applyFill="1" applyBorder="1" applyAlignment="1" applyProtection="1">
      <alignment horizontal="center" vertical="center" shrinkToFit="1"/>
      <protection locked="0"/>
    </xf>
    <xf numFmtId="185" fontId="53" fillId="6" borderId="1" xfId="0" applyNumberFormat="1" applyFont="1" applyFill="1" applyBorder="1" applyAlignment="1" applyProtection="1">
      <alignment horizontal="center" vertical="center"/>
    </xf>
    <xf numFmtId="180" fontId="67" fillId="6" borderId="1" xfId="0" applyNumberFormat="1" applyFont="1" applyFill="1" applyBorder="1" applyAlignment="1" applyProtection="1">
      <alignment horizontal="center" vertical="center" wrapText="1"/>
    </xf>
    <xf numFmtId="178" fontId="67" fillId="5" borderId="1" xfId="1" applyNumberFormat="1" applyFont="1" applyFill="1" applyBorder="1" applyAlignment="1" applyProtection="1">
      <alignment horizontal="center" vertical="center"/>
      <protection locked="0"/>
    </xf>
    <xf numFmtId="178" fontId="53" fillId="6" borderId="23" xfId="1" applyNumberFormat="1" applyFont="1" applyFill="1" applyBorder="1" applyAlignment="1" applyProtection="1">
      <alignment horizontal="center" vertical="center"/>
    </xf>
    <xf numFmtId="0" fontId="67" fillId="0" borderId="3" xfId="7" applyFont="1" applyFill="1" applyBorder="1" applyAlignment="1" applyProtection="1">
      <alignment horizontal="center" vertical="center" wrapText="1"/>
    </xf>
    <xf numFmtId="0" fontId="67" fillId="0" borderId="78" xfId="7" applyFont="1" applyFill="1" applyBorder="1" applyAlignment="1" applyProtection="1">
      <alignment horizontal="center" vertical="center" wrapText="1"/>
    </xf>
    <xf numFmtId="0" fontId="67" fillId="6" borderId="1" xfId="0" applyFont="1" applyFill="1" applyBorder="1" applyAlignment="1" applyProtection="1">
      <alignment horizontal="center" vertical="center" wrapText="1"/>
    </xf>
    <xf numFmtId="182" fontId="50" fillId="6" borderId="8" xfId="0" applyNumberFormat="1" applyFont="1" applyFill="1" applyBorder="1" applyProtection="1">
      <alignment vertical="center"/>
    </xf>
    <xf numFmtId="182" fontId="58" fillId="6" borderId="59" xfId="0" applyNumberFormat="1" applyFont="1" applyFill="1" applyBorder="1" applyAlignment="1" applyProtection="1">
      <alignment horizontal="center" vertical="center"/>
    </xf>
    <xf numFmtId="0" fontId="132" fillId="6" borderId="0" xfId="0" applyFont="1" applyFill="1" applyAlignment="1" applyProtection="1">
      <alignment horizontal="center" vertical="center"/>
    </xf>
    <xf numFmtId="185" fontId="129" fillId="0" borderId="1" xfId="0" applyNumberFormat="1" applyFont="1" applyFill="1" applyBorder="1" applyAlignment="1">
      <alignment horizontal="right" vertical="center"/>
    </xf>
    <xf numFmtId="0" fontId="120" fillId="6" borderId="40" xfId="0" applyFont="1" applyFill="1" applyBorder="1" applyAlignment="1" applyProtection="1">
      <alignment vertical="center" wrapText="1"/>
    </xf>
    <xf numFmtId="0" fontId="120" fillId="6" borderId="13" xfId="0" applyFont="1" applyFill="1" applyBorder="1" applyAlignment="1" applyProtection="1">
      <alignment horizontal="center" vertical="center"/>
    </xf>
    <xf numFmtId="0" fontId="120" fillId="6" borderId="29" xfId="0" applyFont="1" applyFill="1" applyBorder="1" applyAlignment="1" applyProtection="1">
      <alignment horizontal="center" vertical="center"/>
    </xf>
    <xf numFmtId="10" fontId="108" fillId="0" borderId="9" xfId="0" applyNumberFormat="1" applyFont="1" applyBorder="1" applyAlignment="1">
      <alignment horizontal="center" vertical="center" wrapText="1"/>
    </xf>
    <xf numFmtId="10" fontId="108" fillId="0" borderId="10" xfId="0" applyNumberFormat="1" applyFont="1" applyBorder="1" applyAlignment="1">
      <alignment horizontal="center" vertical="center" wrapText="1"/>
    </xf>
    <xf numFmtId="10" fontId="108" fillId="0" borderId="1" xfId="0" applyNumberFormat="1" applyFont="1" applyBorder="1" applyAlignment="1">
      <alignment horizontal="center" vertical="center" wrapText="1"/>
    </xf>
    <xf numFmtId="10" fontId="108" fillId="0" borderId="24" xfId="0" applyNumberFormat="1" applyFont="1" applyBorder="1" applyAlignment="1">
      <alignment horizontal="center" vertical="center" wrapText="1"/>
    </xf>
    <xf numFmtId="10" fontId="108" fillId="0" borderId="32" xfId="0" applyNumberFormat="1" applyFont="1" applyBorder="1" applyAlignment="1">
      <alignment horizontal="center" vertical="center" wrapText="1"/>
    </xf>
    <xf numFmtId="10" fontId="108" fillId="0" borderId="49" xfId="0" applyNumberFormat="1" applyFont="1" applyBorder="1" applyAlignment="1">
      <alignment horizontal="center" vertical="center" wrapText="1"/>
    </xf>
    <xf numFmtId="0" fontId="119" fillId="6" borderId="13" xfId="0" applyFont="1" applyFill="1" applyBorder="1" applyAlignment="1" applyProtection="1">
      <alignment horizontal="center" vertical="center" wrapText="1"/>
    </xf>
    <xf numFmtId="10" fontId="108" fillId="0" borderId="13" xfId="0" applyNumberFormat="1" applyFont="1" applyBorder="1" applyAlignment="1">
      <alignment horizontal="center" vertical="center" wrapText="1"/>
    </xf>
    <xf numFmtId="0" fontId="119" fillId="6" borderId="84" xfId="0" applyFont="1" applyFill="1" applyBorder="1" applyAlignment="1" applyProtection="1">
      <alignment horizontal="center" vertical="center" wrapText="1"/>
    </xf>
    <xf numFmtId="10" fontId="108" fillId="0" borderId="67" xfId="0" applyNumberFormat="1" applyFont="1" applyBorder="1" applyAlignment="1">
      <alignment horizontal="center" vertical="center" wrapText="1"/>
    </xf>
    <xf numFmtId="0" fontId="119" fillId="6" borderId="14" xfId="0" applyFont="1" applyFill="1" applyBorder="1" applyAlignment="1" applyProtection="1">
      <alignment vertical="center" wrapText="1"/>
    </xf>
    <xf numFmtId="10" fontId="10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7" fillId="6" borderId="28" xfId="0" applyNumberFormat="1" applyFont="1" applyFill="1" applyBorder="1" applyProtection="1">
      <alignment vertical="center"/>
    </xf>
    <xf numFmtId="0" fontId="107" fillId="6" borderId="5" xfId="0" applyNumberFormat="1" applyFont="1" applyFill="1" applyBorder="1" applyProtection="1">
      <alignment vertical="center"/>
    </xf>
    <xf numFmtId="0" fontId="107" fillId="6" borderId="33" xfId="0" applyNumberFormat="1" applyFont="1" applyFill="1" applyBorder="1" applyProtection="1">
      <alignment vertical="center"/>
    </xf>
    <xf numFmtId="10" fontId="59" fillId="6" borderId="1" xfId="0" applyNumberFormat="1" applyFont="1" applyFill="1" applyBorder="1" applyAlignment="1" applyProtection="1">
      <alignment vertical="center" wrapText="1"/>
    </xf>
    <xf numFmtId="0" fontId="64" fillId="6" borderId="41" xfId="0" applyFont="1" applyFill="1" applyBorder="1" applyAlignment="1" applyProtection="1">
      <alignment horizontal="center" vertical="center"/>
    </xf>
    <xf numFmtId="0" fontId="64" fillId="0" borderId="2" xfId="0" applyFont="1" applyBorder="1" applyAlignment="1" applyProtection="1">
      <alignment horizontal="center" vertical="center"/>
      <protection locked="0"/>
    </xf>
    <xf numFmtId="0" fontId="64" fillId="0" borderId="4" xfId="0" applyFont="1" applyBorder="1" applyAlignment="1" applyProtection="1">
      <alignment horizontal="center" vertical="center"/>
      <protection locked="0"/>
    </xf>
    <xf numFmtId="0" fontId="64" fillId="0" borderId="94" xfId="0" applyFont="1" applyFill="1" applyBorder="1" applyAlignment="1" applyProtection="1">
      <alignment horizontal="center" vertical="center"/>
      <protection locked="0"/>
    </xf>
    <xf numFmtId="0" fontId="64" fillId="0" borderId="8" xfId="0" applyFont="1" applyBorder="1" applyAlignment="1" applyProtection="1">
      <alignment horizontal="center" vertical="center"/>
      <protection locked="0"/>
    </xf>
    <xf numFmtId="188" fontId="64" fillId="6" borderId="8" xfId="0" applyNumberFormat="1" applyFont="1" applyFill="1" applyBorder="1" applyAlignment="1" applyProtection="1">
      <alignment horizontal="center" vertical="center"/>
    </xf>
    <xf numFmtId="0" fontId="64" fillId="6" borderId="23" xfId="0" applyFont="1" applyFill="1" applyBorder="1" applyAlignment="1" applyProtection="1">
      <alignment horizontal="center" vertical="center"/>
    </xf>
    <xf numFmtId="0" fontId="64" fillId="0" borderId="1" xfId="0" applyFont="1" applyBorder="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64" fillId="0" borderId="93" xfId="0" applyFont="1" applyFill="1" applyBorder="1" applyAlignment="1" applyProtection="1">
      <alignment horizontal="center" vertical="center"/>
      <protection locked="0"/>
    </xf>
    <xf numFmtId="0" fontId="64" fillId="0" borderId="24" xfId="0" applyFont="1" applyBorder="1" applyAlignment="1" applyProtection="1">
      <alignment horizontal="center" vertical="center"/>
      <protection locked="0"/>
    </xf>
    <xf numFmtId="0" fontId="64" fillId="6" borderId="24" xfId="0" applyFont="1" applyFill="1" applyBorder="1" applyAlignment="1" applyProtection="1">
      <alignment horizontal="center" vertical="center"/>
    </xf>
    <xf numFmtId="179" fontId="64" fillId="6" borderId="24" xfId="0" applyNumberFormat="1" applyFont="1" applyFill="1" applyBorder="1" applyAlignment="1" applyProtection="1">
      <alignment horizontal="center" vertical="center"/>
    </xf>
    <xf numFmtId="179" fontId="64" fillId="0" borderId="24" xfId="0" applyNumberFormat="1"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64" fillId="6" borderId="32" xfId="0" applyFont="1" applyFill="1" applyBorder="1" applyAlignment="1" applyProtection="1">
      <alignment horizontal="center" vertical="center"/>
    </xf>
    <xf numFmtId="0" fontId="64" fillId="6" borderId="47" xfId="0" applyFont="1" applyFill="1" applyBorder="1" applyAlignment="1" applyProtection="1">
      <alignment horizontal="center" vertical="center"/>
    </xf>
    <xf numFmtId="0" fontId="64" fillId="0" borderId="32" xfId="0" applyFont="1" applyBorder="1" applyAlignment="1" applyProtection="1">
      <alignment horizontal="center" vertical="center"/>
      <protection locked="0"/>
    </xf>
    <xf numFmtId="179" fontId="64" fillId="6" borderId="49" xfId="0" applyNumberFormat="1" applyFont="1" applyFill="1" applyBorder="1" applyAlignment="1" applyProtection="1">
      <alignment horizontal="center" vertical="center"/>
    </xf>
    <xf numFmtId="178" fontId="59" fillId="6" borderId="5" xfId="1" applyNumberFormat="1" applyFont="1" applyFill="1" applyBorder="1" applyAlignment="1" applyProtection="1">
      <alignment horizontal="center"/>
    </xf>
    <xf numFmtId="0" fontId="78" fillId="6" borderId="1" xfId="0" applyFont="1" applyFill="1" applyBorder="1" applyAlignment="1" applyProtection="1">
      <alignment horizontal="center" vertical="center"/>
    </xf>
    <xf numFmtId="190" fontId="57" fillId="6" borderId="0" xfId="0" applyNumberFormat="1" applyFont="1" applyFill="1" applyAlignment="1" applyProtection="1">
      <alignment horizontal="center" vertical="center"/>
      <protection locked="0"/>
    </xf>
    <xf numFmtId="182" fontId="57" fillId="6" borderId="0" xfId="0" applyNumberFormat="1" applyFont="1" applyFill="1" applyAlignment="1" applyProtection="1">
      <alignment horizontal="center" vertical="center"/>
      <protection locked="0"/>
    </xf>
    <xf numFmtId="0" fontId="57" fillId="6" borderId="28" xfId="0" applyFont="1" applyFill="1" applyBorder="1" applyAlignment="1" applyProtection="1">
      <alignment horizontal="center" vertical="center"/>
    </xf>
    <xf numFmtId="0" fontId="108" fillId="6" borderId="24" xfId="0" applyFont="1" applyFill="1" applyBorder="1" applyAlignment="1" applyProtection="1">
      <alignment horizontal="center" vertical="center"/>
    </xf>
    <xf numFmtId="0" fontId="78" fillId="5" borderId="23" xfId="0" applyFont="1" applyFill="1" applyBorder="1" applyAlignment="1" applyProtection="1">
      <alignment horizontal="center" vertical="center"/>
      <protection locked="0"/>
    </xf>
    <xf numFmtId="0" fontId="108" fillId="6" borderId="49" xfId="0" applyFont="1" applyFill="1" applyBorder="1" applyAlignment="1" applyProtection="1">
      <alignment horizontal="center" vertical="center"/>
    </xf>
    <xf numFmtId="0" fontId="108" fillId="6" borderId="86" xfId="0" applyFont="1" applyFill="1" applyBorder="1" applyAlignment="1" applyProtection="1">
      <alignment horizontal="center" vertical="center"/>
    </xf>
    <xf numFmtId="0" fontId="108" fillId="0" borderId="86" xfId="0" applyFont="1" applyFill="1" applyBorder="1" applyAlignment="1" applyProtection="1">
      <alignment horizontal="center" vertical="center"/>
      <protection locked="0"/>
    </xf>
    <xf numFmtId="0" fontId="108" fillId="0" borderId="97" xfId="0" applyFont="1" applyFill="1" applyBorder="1" applyAlignment="1" applyProtection="1">
      <alignment horizontal="center" vertical="center"/>
      <protection locked="0"/>
    </xf>
    <xf numFmtId="0" fontId="78" fillId="6" borderId="32" xfId="0" applyFont="1" applyFill="1" applyBorder="1" applyAlignment="1" applyProtection="1">
      <alignment horizontal="center" vertical="center"/>
    </xf>
    <xf numFmtId="0" fontId="53" fillId="0" borderId="2" xfId="0" applyNumberFormat="1" applyFont="1" applyFill="1" applyBorder="1" applyAlignment="1" applyProtection="1">
      <alignment horizontal="center" vertical="center" wrapText="1"/>
      <protection locked="0"/>
    </xf>
    <xf numFmtId="0" fontId="53" fillId="6" borderId="98" xfId="0" applyNumberFormat="1" applyFont="1" applyFill="1" applyBorder="1" applyAlignment="1" applyProtection="1">
      <alignment horizontal="center" vertical="center" wrapText="1"/>
    </xf>
    <xf numFmtId="0" fontId="59" fillId="0" borderId="99" xfId="0" applyNumberFormat="1" applyFont="1" applyFill="1" applyBorder="1" applyAlignment="1" applyProtection="1">
      <alignment horizontal="center" vertical="center" wrapText="1"/>
      <protection locked="0"/>
    </xf>
    <xf numFmtId="0" fontId="59" fillId="6" borderId="100" xfId="0" applyNumberFormat="1" applyFont="1" applyFill="1" applyBorder="1" applyAlignment="1" applyProtection="1">
      <alignment horizontal="center" vertical="center" wrapText="1"/>
    </xf>
    <xf numFmtId="0" fontId="59" fillId="6" borderId="99" xfId="0" applyNumberFormat="1" applyFont="1" applyFill="1" applyBorder="1" applyAlignment="1" applyProtection="1">
      <alignment horizontal="center" vertical="center" wrapText="1"/>
    </xf>
    <xf numFmtId="0" fontId="53" fillId="0" borderId="101"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53" fillId="6" borderId="101" xfId="0" applyNumberFormat="1" applyFont="1" applyFill="1" applyBorder="1" applyAlignment="1" applyProtection="1">
      <alignment horizontal="center" vertical="center" wrapText="1"/>
    </xf>
    <xf numFmtId="0" fontId="57" fillId="0" borderId="58" xfId="0" applyFont="1" applyFill="1" applyBorder="1" applyAlignment="1" applyProtection="1">
      <alignment horizontal="center" vertical="center"/>
      <protection locked="0"/>
    </xf>
    <xf numFmtId="0" fontId="63"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0" fontId="71" fillId="6" borderId="0" xfId="0" applyFont="1" applyFill="1" applyBorder="1" applyAlignment="1" applyProtection="1">
      <alignment vertical="center"/>
      <protection locked="0"/>
    </xf>
    <xf numFmtId="190" fontId="68" fillId="6" borderId="0" xfId="0" applyNumberFormat="1" applyFont="1" applyFill="1" applyBorder="1" applyAlignment="1" applyProtection="1">
      <alignment horizontal="center" vertical="center"/>
      <protection locked="0"/>
    </xf>
    <xf numFmtId="182" fontId="68" fillId="6" borderId="0" xfId="0" applyNumberFormat="1" applyFont="1" applyFill="1" applyBorder="1" applyAlignment="1" applyProtection="1">
      <alignment vertical="center"/>
      <protection locked="0"/>
    </xf>
    <xf numFmtId="0" fontId="68" fillId="6" borderId="0" xfId="0" applyFont="1" applyFill="1" applyBorder="1" applyAlignment="1" applyProtection="1">
      <alignment horizontal="center" vertical="center"/>
      <protection locked="0"/>
    </xf>
    <xf numFmtId="182" fontId="50" fillId="6" borderId="0" xfId="0" applyNumberFormat="1" applyFont="1" applyFill="1" applyBorder="1" applyAlignment="1" applyProtection="1">
      <alignment vertical="center" wrapText="1"/>
      <protection locked="0"/>
    </xf>
    <xf numFmtId="0" fontId="57" fillId="6" borderId="0" xfId="0" applyFont="1" applyFill="1" applyBorder="1" applyAlignment="1" applyProtection="1">
      <alignment horizontal="center" vertical="center"/>
      <protection locked="0"/>
    </xf>
    <xf numFmtId="182" fontId="50"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2" fontId="73"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horizontal="center" vertical="center" wrapText="1"/>
      <protection locked="0"/>
    </xf>
    <xf numFmtId="0" fontId="57" fillId="6" borderId="35" xfId="0" applyFont="1" applyFill="1" applyBorder="1" applyAlignment="1" applyProtection="1">
      <alignment horizontal="center" vertical="center"/>
      <protection locked="0"/>
    </xf>
    <xf numFmtId="182" fontId="74" fillId="6" borderId="0"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protection locked="0"/>
    </xf>
    <xf numFmtId="0" fontId="55" fillId="6" borderId="35" xfId="0" applyFont="1" applyFill="1" applyBorder="1" applyAlignment="1" applyProtection="1">
      <alignment horizontal="center" vertical="center"/>
      <protection locked="0"/>
    </xf>
    <xf numFmtId="182" fontId="57" fillId="6" borderId="0" xfId="0" applyNumberFormat="1" applyFont="1" applyFill="1" applyBorder="1" applyAlignment="1" applyProtection="1">
      <alignment vertical="center" wrapText="1"/>
      <protection locked="0"/>
    </xf>
    <xf numFmtId="0" fontId="57" fillId="6" borderId="0" xfId="0" applyFont="1" applyFill="1" applyAlignment="1" applyProtection="1">
      <alignment horizontal="center" vertical="center"/>
      <protection locked="0"/>
    </xf>
    <xf numFmtId="0" fontId="74" fillId="6" borderId="0" xfId="0" applyFont="1" applyFill="1" applyAlignment="1" applyProtection="1">
      <alignment horizontal="center" vertical="center"/>
      <protection locked="0"/>
    </xf>
    <xf numFmtId="14" fontId="57" fillId="6" borderId="0" xfId="0" applyNumberFormat="1" applyFont="1" applyFill="1" applyAlignment="1" applyProtection="1">
      <alignment horizontal="center" vertical="center"/>
      <protection locked="0"/>
    </xf>
    <xf numFmtId="9" fontId="57" fillId="6" borderId="0" xfId="0" applyNumberFormat="1" applyFont="1" applyFill="1" applyAlignment="1" applyProtection="1">
      <alignment horizontal="center" vertical="center"/>
      <protection locked="0"/>
    </xf>
    <xf numFmtId="190" fontId="74" fillId="6" borderId="0" xfId="0" applyNumberFormat="1" applyFont="1" applyFill="1" applyAlignment="1" applyProtection="1">
      <alignment horizontal="center" vertical="center"/>
      <protection locked="0"/>
    </xf>
    <xf numFmtId="182" fontId="74" fillId="6" borderId="0" xfId="0" applyNumberFormat="1" applyFont="1" applyFill="1" applyAlignment="1" applyProtection="1">
      <alignment horizontal="center" vertical="center"/>
      <protection locked="0"/>
    </xf>
    <xf numFmtId="177" fontId="57" fillId="6" borderId="0" xfId="0" applyNumberFormat="1" applyFont="1" applyFill="1" applyAlignment="1" applyProtection="1">
      <alignment horizontal="center" vertical="center"/>
      <protection locked="0"/>
    </xf>
    <xf numFmtId="0" fontId="50"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xf>
    <xf numFmtId="190" fontId="57" fillId="0" borderId="0" xfId="0" applyNumberFormat="1" applyFont="1" applyFill="1" applyAlignment="1" applyProtection="1">
      <alignment horizontal="center" vertical="center"/>
    </xf>
    <xf numFmtId="182" fontId="57" fillId="0" borderId="0" xfId="0" applyNumberFormat="1" applyFont="1" applyFill="1" applyAlignment="1" applyProtection="1">
      <alignment horizontal="center" vertical="center"/>
    </xf>
    <xf numFmtId="0" fontId="59" fillId="6" borderId="0" xfId="0" applyFont="1" applyFill="1" applyAlignment="1" applyProtection="1">
      <protection locked="0"/>
    </xf>
    <xf numFmtId="0" fontId="57" fillId="6" borderId="0" xfId="0" applyFont="1" applyFill="1" applyBorder="1" applyAlignment="1" applyProtection="1">
      <protection locked="0"/>
    </xf>
    <xf numFmtId="190" fontId="57" fillId="6" borderId="0" xfId="0" applyNumberFormat="1" applyFont="1" applyFill="1" applyBorder="1" applyAlignment="1" applyProtection="1">
      <alignment horizontal="center"/>
      <protection locked="0"/>
    </xf>
    <xf numFmtId="182" fontId="57" fillId="6" borderId="0" xfId="0" applyNumberFormat="1" applyFont="1" applyFill="1" applyBorder="1" applyAlignment="1" applyProtection="1">
      <protection locked="0"/>
    </xf>
    <xf numFmtId="0" fontId="50" fillId="0" borderId="43" xfId="0" applyNumberFormat="1"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protection locked="0"/>
    </xf>
    <xf numFmtId="9" fontId="78" fillId="5" borderId="1" xfId="0" applyNumberFormat="1" applyFont="1" applyFill="1" applyBorder="1" applyAlignment="1" applyProtection="1">
      <alignment horizontal="center" vertical="center"/>
      <protection locked="0"/>
    </xf>
    <xf numFmtId="49" fontId="53" fillId="6" borderId="6" xfId="0" applyNumberFormat="1" applyFont="1" applyFill="1" applyBorder="1" applyAlignment="1" applyProtection="1">
      <alignment horizontal="center" vertical="center"/>
      <protection locked="0"/>
    </xf>
    <xf numFmtId="49" fontId="58" fillId="6" borderId="11" xfId="0" applyNumberFormat="1" applyFont="1" applyFill="1" applyBorder="1" applyAlignment="1" applyProtection="1">
      <alignment vertical="center"/>
      <protection locked="0"/>
    </xf>
    <xf numFmtId="0" fontId="58" fillId="6" borderId="13" xfId="0" applyFont="1" applyFill="1" applyBorder="1" applyAlignment="1" applyProtection="1">
      <alignment vertical="center" wrapText="1"/>
      <protection locked="0"/>
    </xf>
    <xf numFmtId="0" fontId="53" fillId="6" borderId="13" xfId="0" applyFont="1" applyFill="1" applyBorder="1" applyAlignment="1" applyProtection="1">
      <alignment vertical="center"/>
      <protection locked="0"/>
    </xf>
    <xf numFmtId="0" fontId="53" fillId="6" borderId="1" xfId="0" applyFont="1" applyFill="1" applyBorder="1" applyAlignment="1" applyProtection="1">
      <alignment horizontal="left" vertical="center"/>
      <protection locked="0"/>
    </xf>
    <xf numFmtId="49" fontId="58" fillId="6" borderId="14" xfId="0" applyNumberFormat="1" applyFont="1" applyFill="1" applyBorder="1" applyAlignment="1" applyProtection="1">
      <alignment vertical="center"/>
      <protection locked="0"/>
    </xf>
    <xf numFmtId="0" fontId="58" fillId="6" borderId="15" xfId="0" applyFont="1" applyFill="1" applyBorder="1" applyAlignment="1" applyProtection="1">
      <alignment vertical="center" wrapText="1"/>
      <protection locked="0"/>
    </xf>
    <xf numFmtId="0" fontId="53" fillId="6" borderId="15" xfId="0" applyFont="1" applyFill="1" applyBorder="1" applyAlignment="1" applyProtection="1">
      <alignment vertical="center"/>
      <protection locked="0"/>
    </xf>
    <xf numFmtId="49" fontId="58" fillId="6" borderId="41" xfId="0" applyNumberFormat="1" applyFont="1" applyFill="1" applyBorder="1" applyAlignment="1" applyProtection="1">
      <alignment vertical="center"/>
      <protection locked="0"/>
    </xf>
    <xf numFmtId="0" fontId="58" fillId="6" borderId="2" xfId="0" applyFont="1" applyFill="1" applyBorder="1" applyAlignment="1" applyProtection="1">
      <alignment vertical="center" wrapText="1"/>
      <protection locked="0"/>
    </xf>
    <xf numFmtId="0" fontId="53" fillId="6" borderId="2" xfId="0" applyFont="1" applyFill="1" applyBorder="1" applyAlignment="1" applyProtection="1">
      <alignment vertical="center"/>
      <protection locked="0"/>
    </xf>
    <xf numFmtId="49" fontId="58" fillId="6" borderId="23" xfId="0" applyNumberFormat="1" applyFont="1" applyFill="1" applyBorder="1" applyAlignment="1" applyProtection="1">
      <alignment horizontal="left" vertical="center"/>
      <protection locked="0"/>
    </xf>
    <xf numFmtId="0" fontId="58" fillId="6" borderId="1" xfId="0" applyFont="1" applyFill="1" applyBorder="1" applyAlignment="1" applyProtection="1">
      <alignment horizontal="left" vertical="center"/>
      <protection locked="0"/>
    </xf>
    <xf numFmtId="0" fontId="58" fillId="6" borderId="1"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protection locked="0"/>
    </xf>
    <xf numFmtId="0" fontId="53" fillId="6" borderId="54"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53" fillId="6" borderId="13" xfId="0" applyFont="1" applyFill="1" applyBorder="1" applyAlignment="1" applyProtection="1">
      <alignment horizontal="left" vertical="center" wrapText="1"/>
      <protection locked="0"/>
    </xf>
    <xf numFmtId="0" fontId="53" fillId="6" borderId="2" xfId="0" applyFont="1" applyFill="1" applyBorder="1" applyAlignment="1" applyProtection="1">
      <alignment horizontal="left" vertical="center" wrapText="1"/>
      <protection locked="0"/>
    </xf>
    <xf numFmtId="0" fontId="58" fillId="6" borderId="1" xfId="0" applyFont="1" applyFill="1" applyBorder="1" applyAlignment="1" applyProtection="1">
      <alignment horizontal="left" vertical="center" wrapText="1"/>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center" vertical="center" wrapText="1"/>
      <protection locked="0"/>
    </xf>
    <xf numFmtId="0" fontId="53" fillId="6" borderId="15" xfId="0" applyFont="1" applyFill="1" applyBorder="1" applyAlignment="1" applyProtection="1">
      <alignment horizontal="left" vertical="center" wrapText="1"/>
      <protection locked="0"/>
    </xf>
    <xf numFmtId="49" fontId="58" fillId="6" borderId="25" xfId="0" applyNumberFormat="1" applyFont="1" applyFill="1" applyBorder="1" applyAlignment="1" applyProtection="1">
      <alignment horizontal="left" vertical="center"/>
      <protection locked="0"/>
    </xf>
    <xf numFmtId="0" fontId="58" fillId="6" borderId="32" xfId="0" applyFont="1" applyFill="1" applyBorder="1" applyAlignment="1" applyProtection="1">
      <alignment horizontal="left" vertical="center"/>
      <protection locked="0"/>
    </xf>
    <xf numFmtId="0" fontId="53" fillId="6" borderId="32" xfId="0" applyFont="1" applyFill="1" applyBorder="1" applyAlignment="1" applyProtection="1">
      <alignment vertical="center"/>
      <protection locked="0"/>
    </xf>
    <xf numFmtId="0" fontId="53" fillId="6" borderId="32" xfId="0" applyFont="1" applyFill="1" applyBorder="1" applyAlignment="1" applyProtection="1">
      <alignment horizontal="left" vertical="center"/>
      <protection locked="0"/>
    </xf>
    <xf numFmtId="49" fontId="58" fillId="6" borderId="55" xfId="0" applyNumberFormat="1" applyFont="1" applyFill="1" applyBorder="1" applyAlignment="1" applyProtection="1">
      <alignment horizontal="left" vertical="center"/>
      <protection locked="0"/>
    </xf>
    <xf numFmtId="49" fontId="58" fillId="6" borderId="18" xfId="0" applyNumberFormat="1" applyFont="1" applyFill="1" applyBorder="1" applyAlignment="1" applyProtection="1">
      <alignment horizontal="center" vertical="center"/>
      <protection locked="0"/>
    </xf>
    <xf numFmtId="49" fontId="58" fillId="6" borderId="18"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center" vertical="center"/>
      <protection locked="0"/>
    </xf>
    <xf numFmtId="0" fontId="58" fillId="6" borderId="58" xfId="0" applyFont="1" applyFill="1" applyBorder="1" applyAlignment="1" applyProtection="1">
      <alignment vertical="center" wrapText="1"/>
      <protection locked="0"/>
    </xf>
    <xf numFmtId="0" fontId="58" fillId="6" borderId="58" xfId="0" applyFont="1" applyFill="1" applyBorder="1" applyAlignment="1" applyProtection="1">
      <alignment horizontal="center" vertical="center"/>
      <protection locked="0"/>
    </xf>
    <xf numFmtId="0" fontId="53" fillId="6" borderId="3" xfId="0" applyFont="1" applyFill="1" applyBorder="1" applyAlignment="1" applyProtection="1">
      <alignment horizontal="left" vertical="center"/>
      <protection locked="0"/>
    </xf>
    <xf numFmtId="49" fontId="53" fillId="6" borderId="23" xfId="0" applyNumberFormat="1" applyFont="1" applyFill="1" applyBorder="1" applyAlignment="1" applyProtection="1">
      <alignment horizontal="left" vertical="center"/>
    </xf>
    <xf numFmtId="0" fontId="138" fillId="0" borderId="1" xfId="5" applyFont="1" applyBorder="1">
      <alignment vertical="center"/>
    </xf>
    <xf numFmtId="185" fontId="138" fillId="0" borderId="1" xfId="0" applyNumberFormat="1" applyFont="1" applyFill="1" applyBorder="1" applyAlignment="1">
      <alignment horizontal="right" vertical="center"/>
    </xf>
    <xf numFmtId="0" fontId="53" fillId="6" borderId="32" xfId="0" applyFont="1" applyFill="1" applyBorder="1" applyAlignment="1" applyProtection="1">
      <alignment horizontal="center" vertical="center"/>
    </xf>
    <xf numFmtId="0" fontId="60" fillId="6" borderId="46" xfId="0" applyNumberFormat="1" applyFont="1" applyFill="1" applyBorder="1" applyAlignment="1" applyProtection="1">
      <alignment vertical="center" wrapText="1"/>
      <protection locked="0"/>
    </xf>
    <xf numFmtId="0" fontId="53" fillId="6" borderId="2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textRotation="255" wrapText="1"/>
      <protection locked="0"/>
    </xf>
    <xf numFmtId="0" fontId="66" fillId="6" borderId="58"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center" vertical="center" wrapText="1"/>
    </xf>
    <xf numFmtId="0" fontId="53" fillId="0" borderId="11"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59" fillId="0" borderId="59" xfId="0" applyNumberFormat="1" applyFont="1" applyFill="1" applyBorder="1" applyAlignment="1" applyProtection="1">
      <alignment horizontal="center" vertical="center" wrapText="1"/>
      <protection locked="0"/>
    </xf>
    <xf numFmtId="0" fontId="59" fillId="6" borderId="56" xfId="0" applyNumberFormat="1" applyFont="1" applyFill="1" applyBorder="1" applyAlignment="1" applyProtection="1">
      <alignment horizontal="center" vertical="center" wrapText="1"/>
    </xf>
    <xf numFmtId="0" fontId="58" fillId="6" borderId="58" xfId="0" applyNumberFormat="1" applyFont="1" applyFill="1" applyBorder="1" applyAlignment="1" applyProtection="1">
      <alignment vertical="center" wrapText="1"/>
      <protection locked="0"/>
    </xf>
    <xf numFmtId="0" fontId="53" fillId="0" borderId="110" xfId="0" applyNumberFormat="1" applyFont="1" applyFill="1" applyBorder="1" applyAlignment="1" applyProtection="1">
      <alignment horizontal="center" vertical="center" wrapText="1"/>
      <protection locked="0"/>
    </xf>
    <xf numFmtId="0" fontId="53" fillId="0" borderId="111"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9" fillId="6" borderId="13" xfId="0" applyNumberFormat="1" applyFont="1" applyFill="1" applyBorder="1" applyAlignment="1" applyProtection="1">
      <alignment horizontal="center" vertical="center" wrapText="1"/>
    </xf>
    <xf numFmtId="0" fontId="53" fillId="0" borderId="117" xfId="0" applyFont="1" applyFill="1" applyBorder="1" applyAlignment="1" applyProtection="1">
      <alignment horizontal="center" vertical="center"/>
      <protection locked="0"/>
    </xf>
    <xf numFmtId="0"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wrapText="1"/>
      <protection locked="0"/>
    </xf>
    <xf numFmtId="9"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protection locked="0"/>
    </xf>
    <xf numFmtId="0" fontId="53" fillId="0" borderId="114" xfId="0" applyFont="1" applyFill="1" applyBorder="1" applyAlignment="1" applyProtection="1">
      <alignment horizontal="center" vertical="center"/>
      <protection locked="0"/>
    </xf>
    <xf numFmtId="0" fontId="53" fillId="6" borderId="114" xfId="0" applyNumberFormat="1" applyFont="1" applyFill="1" applyBorder="1" applyAlignment="1" applyProtection="1">
      <alignment horizontal="center" vertical="center" wrapText="1"/>
    </xf>
    <xf numFmtId="0" fontId="59" fillId="0" borderId="115" xfId="0" applyNumberFormat="1" applyFont="1" applyFill="1" applyBorder="1" applyAlignment="1" applyProtection="1">
      <alignment horizontal="center" vertical="center" wrapText="1"/>
      <protection locked="0"/>
    </xf>
    <xf numFmtId="0" fontId="59" fillId="0" borderId="116" xfId="0" applyNumberFormat="1" applyFont="1" applyFill="1" applyBorder="1" applyAlignment="1" applyProtection="1">
      <alignment horizontal="center" vertical="center" wrapText="1"/>
      <protection locked="0"/>
    </xf>
    <xf numFmtId="0" fontId="53" fillId="10" borderId="6"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left" vertical="center" wrapText="1"/>
      <protection locked="0"/>
    </xf>
    <xf numFmtId="0" fontId="53" fillId="10" borderId="28" xfId="0" applyNumberFormat="1" applyFont="1" applyFill="1" applyBorder="1" applyAlignment="1" applyProtection="1">
      <alignment horizontal="center" vertical="center" wrapText="1"/>
      <protection locked="0"/>
    </xf>
    <xf numFmtId="0" fontId="53" fillId="10" borderId="29" xfId="0" applyFont="1" applyFill="1" applyBorder="1" applyAlignment="1" applyProtection="1">
      <alignment horizontal="center" vertical="center"/>
      <protection locked="0"/>
    </xf>
    <xf numFmtId="0"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wrapText="1"/>
      <protection locked="0"/>
    </xf>
    <xf numFmtId="9"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protection locked="0"/>
    </xf>
    <xf numFmtId="0" fontId="53" fillId="10" borderId="31" xfId="0" applyFont="1" applyFill="1" applyBorder="1" applyAlignment="1" applyProtection="1">
      <alignment horizontal="center" vertical="center"/>
      <protection locked="0"/>
    </xf>
    <xf numFmtId="0" fontId="58" fillId="10" borderId="97" xfId="0" applyNumberFormat="1" applyFont="1" applyFill="1" applyBorder="1" applyAlignment="1" applyProtection="1">
      <alignment vertical="center" wrapText="1"/>
      <protection locked="0"/>
    </xf>
    <xf numFmtId="0" fontId="53" fillId="10" borderId="42" xfId="0" applyNumberFormat="1" applyFont="1" applyFill="1" applyBorder="1" applyAlignment="1" applyProtection="1">
      <alignment horizontal="center" vertical="center" wrapText="1"/>
    </xf>
    <xf numFmtId="0" fontId="53" fillId="10" borderId="25" xfId="0" applyNumberFormat="1" applyFont="1" applyFill="1" applyBorder="1" applyAlignment="1" applyProtection="1">
      <alignment horizontal="center" vertical="center" wrapText="1"/>
      <protection locked="0"/>
    </xf>
    <xf numFmtId="0" fontId="59" fillId="10" borderId="32" xfId="0" applyNumberFormat="1" applyFont="1" applyFill="1" applyBorder="1" applyAlignment="1" applyProtection="1">
      <alignment horizontal="center" vertical="center" wrapText="1"/>
      <protection locked="0"/>
    </xf>
    <xf numFmtId="0" fontId="59" fillId="10" borderId="33" xfId="0" applyNumberFormat="1" applyFont="1" applyFill="1" applyBorder="1" applyAlignment="1" applyProtection="1">
      <alignment horizontal="center" vertical="center" wrapText="1"/>
      <protection locked="0"/>
    </xf>
    <xf numFmtId="0" fontId="59" fillId="10" borderId="68" xfId="0" applyNumberFormat="1" applyFont="1" applyFill="1" applyBorder="1" applyAlignment="1" applyProtection="1">
      <alignment horizontal="center" vertical="center" wrapText="1"/>
      <protection locked="0"/>
    </xf>
    <xf numFmtId="0" fontId="50" fillId="6" borderId="1" xfId="0" applyFont="1" applyFill="1" applyBorder="1" applyProtection="1">
      <alignment vertical="center"/>
    </xf>
    <xf numFmtId="177" fontId="50" fillId="6" borderId="1" xfId="0" applyNumberFormat="1" applyFont="1" applyFill="1" applyBorder="1" applyProtection="1">
      <alignment vertical="center"/>
    </xf>
    <xf numFmtId="0" fontId="50" fillId="6" borderId="1" xfId="0" applyFont="1" applyFill="1" applyBorder="1" applyAlignment="1" applyProtection="1">
      <alignment horizontal="right" vertical="center" wrapText="1"/>
    </xf>
    <xf numFmtId="182" fontId="55" fillId="6" borderId="1" xfId="0" applyNumberFormat="1" applyFont="1" applyFill="1" applyBorder="1" applyAlignment="1" applyProtection="1">
      <alignment horizontal="center" vertical="center"/>
      <protection locked="0"/>
    </xf>
    <xf numFmtId="180" fontId="53" fillId="6" borderId="23" xfId="1" applyNumberFormat="1" applyFont="1" applyFill="1" applyBorder="1" applyAlignment="1" applyProtection="1">
      <alignment horizontal="center"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xf>
    <xf numFmtId="180" fontId="50" fillId="6" borderId="25" xfId="1" applyNumberFormat="1" applyFont="1" applyFill="1" applyBorder="1" applyAlignment="1" applyProtection="1">
      <alignment horizontal="center" vertical="center"/>
    </xf>
    <xf numFmtId="182" fontId="50" fillId="6" borderId="1" xfId="0" applyNumberFormat="1" applyFont="1" applyFill="1" applyBorder="1" applyAlignment="1" applyProtection="1">
      <alignment vertical="center"/>
    </xf>
    <xf numFmtId="182" fontId="50" fillId="6" borderId="5" xfId="0" applyNumberFormat="1" applyFont="1" applyFill="1" applyBorder="1" applyAlignment="1" applyProtection="1">
      <alignment vertical="center"/>
    </xf>
    <xf numFmtId="182" fontId="50" fillId="6" borderId="24" xfId="0" applyNumberFormat="1" applyFont="1" applyFill="1" applyBorder="1" applyAlignment="1" applyProtection="1">
      <alignment vertical="center"/>
    </xf>
    <xf numFmtId="0" fontId="50" fillId="6" borderId="3" xfId="0" applyFont="1" applyFill="1" applyBorder="1" applyAlignment="1" applyProtection="1">
      <alignment vertical="center"/>
    </xf>
    <xf numFmtId="182" fontId="50" fillId="6" borderId="1" xfId="0" applyNumberFormat="1" applyFont="1" applyFill="1" applyBorder="1" applyAlignment="1" applyProtection="1">
      <alignment horizontal="center" vertical="center"/>
    </xf>
    <xf numFmtId="182" fontId="50" fillId="6" borderId="5" xfId="0" applyNumberFormat="1" applyFont="1" applyFill="1" applyBorder="1" applyAlignment="1" applyProtection="1">
      <alignment horizontal="center" vertical="center"/>
    </xf>
    <xf numFmtId="0" fontId="50" fillId="6" borderId="23" xfId="0" applyFont="1" applyFill="1" applyBorder="1" applyAlignment="1" applyProtection="1">
      <alignment horizontal="center" vertical="center"/>
    </xf>
    <xf numFmtId="10" fontId="50" fillId="6" borderId="1" xfId="0" applyNumberFormat="1"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4" fontId="50" fillId="6" borderId="67" xfId="0" applyNumberFormat="1" applyFont="1" applyFill="1" applyBorder="1" applyAlignment="1" applyProtection="1">
      <alignment horizontal="center" vertical="center"/>
    </xf>
    <xf numFmtId="0" fontId="50" fillId="6" borderId="6" xfId="0"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108" fillId="6" borderId="1" xfId="0" applyFont="1" applyFill="1" applyBorder="1" applyAlignment="1" applyProtection="1">
      <alignment horizontal="left" vertical="center" wrapText="1"/>
      <protection locked="0"/>
    </xf>
    <xf numFmtId="0" fontId="53" fillId="3" borderId="5" xfId="0" applyFont="1" applyFill="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177" fontId="53" fillId="0" borderId="1" xfId="0" applyNumberFormat="1" applyFont="1" applyFill="1" applyBorder="1" applyAlignment="1" applyProtection="1">
      <alignment horizontal="center" vertical="center" wrapText="1"/>
      <protection locked="0"/>
    </xf>
    <xf numFmtId="180" fontId="50" fillId="6" borderId="2" xfId="0" applyNumberFormat="1" applyFont="1" applyFill="1" applyBorder="1" applyProtection="1">
      <alignment vertical="center"/>
    </xf>
    <xf numFmtId="182" fontId="58" fillId="0" borderId="24" xfId="0" applyNumberFormat="1" applyFont="1" applyFill="1" applyBorder="1" applyAlignment="1" applyProtection="1">
      <alignment horizontal="center" vertical="center"/>
      <protection locked="0"/>
    </xf>
    <xf numFmtId="0" fontId="53" fillId="6" borderId="46" xfId="0" applyFont="1" applyFill="1" applyBorder="1" applyAlignment="1" applyProtection="1">
      <alignment vertical="center"/>
      <protection locked="0"/>
    </xf>
    <xf numFmtId="0" fontId="53" fillId="6" borderId="7" xfId="0" applyFont="1" applyFill="1" applyBorder="1" applyAlignment="1" applyProtection="1">
      <alignment horizontal="left" vertical="center"/>
      <protection locked="0"/>
    </xf>
    <xf numFmtId="0" fontId="58" fillId="6" borderId="8" xfId="0" applyFont="1" applyFill="1" applyBorder="1" applyAlignment="1" applyProtection="1">
      <alignment horizontal="center" vertical="center"/>
    </xf>
    <xf numFmtId="0" fontId="53" fillId="6" borderId="29" xfId="0" applyFont="1" applyFill="1" applyBorder="1" applyAlignment="1" applyProtection="1">
      <alignment horizontal="right" vertical="center"/>
      <protection locked="0"/>
    </xf>
    <xf numFmtId="0" fontId="53" fillId="6" borderId="31" xfId="0" applyFont="1" applyFill="1" applyBorder="1" applyAlignment="1" applyProtection="1">
      <alignment horizontal="center" vertical="center"/>
      <protection locked="0"/>
    </xf>
    <xf numFmtId="0" fontId="60" fillId="7" borderId="24"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xf>
    <xf numFmtId="0" fontId="64" fillId="6" borderId="0" xfId="0" applyNumberFormat="1" applyFont="1" applyFill="1" applyBorder="1" applyAlignment="1" applyProtection="1">
      <alignment horizontal="center"/>
    </xf>
    <xf numFmtId="10" fontId="107" fillId="0" borderId="1" xfId="0" applyNumberFormat="1" applyFont="1" applyBorder="1" applyAlignment="1" applyProtection="1">
      <alignment horizontal="center" vertical="center"/>
      <protection locked="0"/>
    </xf>
    <xf numFmtId="10" fontId="57" fillId="6" borderId="1" xfId="0" applyNumberFormat="1" applyFont="1" applyFill="1" applyBorder="1" applyAlignment="1" applyProtection="1">
      <alignment horizontal="center" vertical="center" wrapText="1"/>
    </xf>
    <xf numFmtId="10" fontId="108" fillId="6" borderId="1" xfId="0" applyNumberFormat="1" applyFont="1" applyFill="1" applyBorder="1" applyAlignment="1" applyProtection="1">
      <alignment horizontal="center" vertical="center" wrapText="1"/>
    </xf>
    <xf numFmtId="180" fontId="123" fillId="6" borderId="15"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xf>
    <xf numFmtId="0" fontId="15" fillId="6" borderId="24" xfId="0" applyFont="1" applyFill="1" applyBorder="1" applyAlignment="1" applyProtection="1">
      <alignment vertical="center"/>
    </xf>
    <xf numFmtId="0" fontId="58" fillId="6" borderId="4" xfId="0" applyFont="1" applyFill="1" applyBorder="1" applyAlignment="1" applyProtection="1">
      <alignment horizontal="center" vertical="center"/>
    </xf>
    <xf numFmtId="49" fontId="53" fillId="6" borderId="11" xfId="0" applyNumberFormat="1" applyFont="1" applyFill="1" applyBorder="1" applyAlignment="1" applyProtection="1">
      <alignment horizontal="left" vertical="center"/>
    </xf>
    <xf numFmtId="0" fontId="53" fillId="6" borderId="15" xfId="0" applyFont="1" applyFill="1" applyBorder="1" applyAlignment="1" applyProtection="1">
      <alignment horizontal="center" vertical="center"/>
    </xf>
    <xf numFmtId="0" fontId="53" fillId="6" borderId="4" xfId="0" applyFont="1" applyFill="1" applyBorder="1" applyAlignment="1" applyProtection="1">
      <alignment horizontal="right" vertical="center"/>
    </xf>
    <xf numFmtId="0" fontId="53" fillId="6" borderId="71" xfId="0" applyFont="1" applyFill="1" applyBorder="1" applyAlignment="1" applyProtection="1">
      <alignment horizontal="center" vertical="center"/>
    </xf>
    <xf numFmtId="49" fontId="53" fillId="6" borderId="35" xfId="0" applyNumberFormat="1" applyFont="1" applyFill="1" applyBorder="1" applyAlignment="1" applyProtection="1">
      <alignment horizontal="left" vertical="center"/>
    </xf>
    <xf numFmtId="0" fontId="58" fillId="6" borderId="22"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3" fillId="6" borderId="3" xfId="0" applyFont="1" applyFill="1" applyBorder="1" applyAlignment="1" applyProtection="1">
      <alignment horizontal="left" vertical="center"/>
    </xf>
    <xf numFmtId="49" fontId="58" fillId="6" borderId="69" xfId="0" applyNumberFormat="1" applyFont="1" applyFill="1" applyBorder="1" applyAlignment="1" applyProtection="1">
      <alignment vertical="center"/>
    </xf>
    <xf numFmtId="10" fontId="53" fillId="6" borderId="61" xfId="0" applyNumberFormat="1" applyFont="1" applyFill="1" applyBorder="1" applyAlignment="1" applyProtection="1">
      <alignment horizontal="center" vertical="center"/>
    </xf>
    <xf numFmtId="0" fontId="22" fillId="0" borderId="1" xfId="0" applyFont="1" applyFill="1" applyBorder="1" applyAlignment="1">
      <alignment horizontal="center" vertical="center"/>
    </xf>
    <xf numFmtId="178" fontId="22" fillId="0" borderId="24" xfId="0" applyNumberFormat="1" applyFont="1" applyFill="1" applyBorder="1" applyAlignment="1">
      <alignment horizontal="center" vertical="center"/>
    </xf>
    <xf numFmtId="0" fontId="133" fillId="0" borderId="1" xfId="0" applyFont="1" applyFill="1" applyBorder="1" applyAlignment="1">
      <alignment horizontal="center" vertical="center"/>
    </xf>
    <xf numFmtId="9" fontId="22" fillId="0" borderId="1" xfId="0" applyNumberFormat="1" applyFont="1" applyFill="1" applyBorder="1" applyAlignment="1">
      <alignment horizontal="center" vertical="center"/>
    </xf>
    <xf numFmtId="178" fontId="22" fillId="0" borderId="1" xfId="0" applyNumberFormat="1" applyFont="1" applyFill="1" applyBorder="1" applyAlignment="1">
      <alignment horizontal="center" vertical="center"/>
    </xf>
    <xf numFmtId="0" fontId="22" fillId="0" borderId="24" xfId="0" applyFont="1" applyFill="1" applyBorder="1" applyAlignment="1">
      <alignment horizontal="center" vertical="center"/>
    </xf>
    <xf numFmtId="0" fontId="148" fillId="0" borderId="1" xfId="0" applyFont="1" applyFill="1" applyBorder="1" applyAlignment="1">
      <alignment horizontal="center" vertical="center"/>
    </xf>
    <xf numFmtId="9" fontId="87" fillId="0" borderId="1" xfId="0" applyNumberFormat="1" applyFont="1" applyFill="1" applyBorder="1" applyAlignment="1">
      <alignment horizontal="center" vertical="center"/>
    </xf>
    <xf numFmtId="178" fontId="87" fillId="0" borderId="1" xfId="0" applyNumberFormat="1" applyFont="1" applyFill="1" applyBorder="1" applyAlignment="1">
      <alignment horizontal="center" vertical="center"/>
    </xf>
    <xf numFmtId="0" fontId="87" fillId="0" borderId="24" xfId="0" applyFont="1" applyFill="1" applyBorder="1" applyAlignment="1">
      <alignment horizontal="center" vertical="center"/>
    </xf>
    <xf numFmtId="0" fontId="40" fillId="0" borderId="1" xfId="0" applyFont="1" applyFill="1" applyBorder="1" applyAlignment="1">
      <alignment horizontal="center" vertical="center"/>
    </xf>
    <xf numFmtId="0" fontId="0" fillId="0" borderId="1" xfId="0" applyFill="1" applyBorder="1" applyAlignment="1">
      <alignment vertical="center"/>
    </xf>
    <xf numFmtId="0" fontId="148" fillId="0" borderId="24" xfId="0" applyFont="1" applyFill="1" applyBorder="1" applyAlignment="1">
      <alignment horizontal="center" vertical="center"/>
    </xf>
    <xf numFmtId="0" fontId="133" fillId="0" borderId="1" xfId="0" applyFont="1" applyFill="1" applyBorder="1" applyAlignment="1">
      <alignment horizontal="center" vertical="center" wrapText="1"/>
    </xf>
    <xf numFmtId="0" fontId="40" fillId="0" borderId="1" xfId="0" applyFont="1" applyFill="1" applyBorder="1" applyAlignment="1">
      <alignment vertical="center"/>
    </xf>
    <xf numFmtId="0" fontId="133" fillId="0" borderId="24" xfId="0" applyFont="1" applyFill="1" applyBorder="1" applyAlignment="1">
      <alignment horizontal="center" vertical="center"/>
    </xf>
    <xf numFmtId="0" fontId="133" fillId="0" borderId="1" xfId="0" applyFont="1" applyBorder="1" applyAlignment="1">
      <alignment horizontal="center" vertical="center"/>
    </xf>
    <xf numFmtId="9" fontId="133" fillId="0" borderId="1" xfId="0" applyNumberFormat="1" applyFont="1" applyBorder="1" applyAlignment="1">
      <alignment horizontal="center" vertical="center"/>
    </xf>
    <xf numFmtId="0" fontId="148" fillId="0" borderId="32" xfId="0" applyFont="1" applyFill="1" applyBorder="1" applyAlignment="1">
      <alignment horizontal="center" vertical="center"/>
    </xf>
    <xf numFmtId="9" fontId="148" fillId="0" borderId="32" xfId="0" applyNumberFormat="1" applyFont="1" applyFill="1" applyBorder="1" applyAlignment="1">
      <alignment horizontal="center" vertical="center"/>
    </xf>
    <xf numFmtId="178" fontId="148" fillId="0" borderId="32" xfId="0" applyNumberFormat="1" applyFont="1" applyFill="1" applyBorder="1" applyAlignment="1">
      <alignment horizontal="center" vertical="center"/>
    </xf>
    <xf numFmtId="0" fontId="87" fillId="0" borderId="49" xfId="0" applyFont="1" applyFill="1" applyBorder="1" applyAlignment="1">
      <alignment horizontal="center" vertical="center"/>
    </xf>
    <xf numFmtId="0" fontId="148" fillId="11" borderId="1" xfId="0" applyFont="1" applyFill="1" applyBorder="1" applyAlignment="1">
      <alignment vertical="center"/>
    </xf>
    <xf numFmtId="0" fontId="22" fillId="0" borderId="1" xfId="0" applyFont="1" applyBorder="1" applyAlignment="1">
      <alignment horizontal="center"/>
    </xf>
    <xf numFmtId="0" fontId="22" fillId="0" borderId="1" xfId="0" applyFont="1" applyBorder="1" applyAlignment="1"/>
    <xf numFmtId="49" fontId="22" fillId="0" borderId="1" xfId="0" applyNumberFormat="1" applyFont="1" applyBorder="1" applyAlignment="1">
      <alignment horizontal="center"/>
    </xf>
    <xf numFmtId="9" fontId="22" fillId="0" borderId="1" xfId="0" applyNumberFormat="1" applyFont="1" applyBorder="1" applyAlignment="1"/>
    <xf numFmtId="0" fontId="22" fillId="0" borderId="1" xfId="0" applyFont="1" applyFill="1" applyBorder="1" applyAlignment="1">
      <alignment horizontal="center"/>
    </xf>
    <xf numFmtId="49" fontId="58" fillId="6" borderId="41" xfId="0" applyNumberFormat="1" applyFont="1" applyFill="1" applyBorder="1" applyAlignment="1" applyProtection="1">
      <alignment horizontal="left" vertical="center"/>
    </xf>
    <xf numFmtId="0" fontId="58" fillId="6" borderId="2" xfId="0" applyFont="1" applyFill="1" applyBorder="1" applyAlignment="1" applyProtection="1">
      <alignment horizontal="left" vertical="center"/>
    </xf>
    <xf numFmtId="0" fontId="53" fillId="6" borderId="15" xfId="0" applyFont="1" applyFill="1" applyBorder="1" applyAlignment="1" applyProtection="1">
      <alignment horizontal="left" vertical="center"/>
    </xf>
    <xf numFmtId="182" fontId="53" fillId="6" borderId="53" xfId="0" applyNumberFormat="1" applyFont="1" applyFill="1" applyBorder="1" applyAlignment="1" applyProtection="1">
      <alignment horizontal="center" vertical="center"/>
    </xf>
    <xf numFmtId="49" fontId="53" fillId="6" borderId="91" xfId="0" applyNumberFormat="1" applyFont="1" applyFill="1" applyBorder="1" applyAlignment="1" applyProtection="1">
      <alignment vertical="center"/>
    </xf>
    <xf numFmtId="0" fontId="58" fillId="0" borderId="78" xfId="0" applyFont="1" applyFill="1" applyBorder="1" applyAlignment="1" applyProtection="1">
      <alignment horizontal="center" vertical="center"/>
      <protection locked="0"/>
    </xf>
    <xf numFmtId="0" fontId="53" fillId="6" borderId="78" xfId="0" applyFont="1" applyFill="1" applyBorder="1" applyAlignment="1" applyProtection="1">
      <alignment vertical="center"/>
    </xf>
    <xf numFmtId="182" fontId="58" fillId="6" borderId="79" xfId="0" applyNumberFormat="1" applyFont="1" applyFill="1" applyBorder="1" applyAlignment="1" applyProtection="1">
      <alignment horizontal="center" vertical="center"/>
    </xf>
    <xf numFmtId="0" fontId="53" fillId="6" borderId="4" xfId="0" applyFont="1" applyFill="1" applyBorder="1" applyAlignment="1" applyProtection="1">
      <alignment horizontal="left" vertical="center"/>
    </xf>
    <xf numFmtId="0" fontId="53" fillId="6" borderId="60" xfId="0" applyFont="1" applyFill="1" applyBorder="1" applyAlignment="1" applyProtection="1">
      <alignment horizontal="center" vertical="center"/>
    </xf>
    <xf numFmtId="49" fontId="53" fillId="6" borderId="91" xfId="0" applyNumberFormat="1" applyFont="1" applyFill="1" applyBorder="1" applyAlignment="1" applyProtection="1">
      <alignment horizontal="left" vertical="center"/>
    </xf>
    <xf numFmtId="0" fontId="53" fillId="6" borderId="78" xfId="0" applyFont="1" applyFill="1" applyBorder="1" applyAlignment="1" applyProtection="1">
      <alignment horizontal="left" vertical="center"/>
    </xf>
    <xf numFmtId="0" fontId="53" fillId="6" borderId="78" xfId="0" applyFont="1" applyFill="1" applyBorder="1" applyAlignment="1" applyProtection="1">
      <alignment horizontal="center" vertical="center"/>
    </xf>
    <xf numFmtId="0" fontId="53" fillId="6" borderId="78" xfId="0" applyFont="1" applyFill="1" applyBorder="1" applyAlignment="1" applyProtection="1">
      <alignment horizontal="left" vertical="center" wrapText="1"/>
    </xf>
    <xf numFmtId="182" fontId="53" fillId="6" borderId="79" xfId="0" applyNumberFormat="1" applyFont="1" applyFill="1" applyBorder="1" applyAlignment="1" applyProtection="1">
      <alignment horizontal="center" vertical="center"/>
    </xf>
    <xf numFmtId="0" fontId="58"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wrapText="1"/>
    </xf>
    <xf numFmtId="0" fontId="53" fillId="6" borderId="71" xfId="0" applyFont="1" applyFill="1" applyBorder="1" applyAlignment="1" applyProtection="1">
      <alignment horizontal="center" vertical="center" wrapText="1"/>
    </xf>
    <xf numFmtId="0" fontId="53" fillId="6" borderId="85" xfId="0" applyFont="1" applyFill="1" applyBorder="1" applyAlignment="1" applyProtection="1">
      <alignment vertical="center"/>
    </xf>
    <xf numFmtId="182" fontId="58" fillId="6" borderId="78" xfId="0" applyNumberFormat="1" applyFont="1" applyFill="1" applyBorder="1" applyAlignment="1" applyProtection="1">
      <alignment horizontal="center" vertical="center"/>
    </xf>
    <xf numFmtId="0" fontId="53" fillId="6" borderId="85" xfId="0" applyFont="1" applyFill="1" applyBorder="1" applyAlignment="1" applyProtection="1">
      <alignment horizontal="left" vertical="center"/>
    </xf>
    <xf numFmtId="0" fontId="53" fillId="6" borderId="7" xfId="0"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49" fontId="53" fillId="6" borderId="7" xfId="0" applyNumberFormat="1" applyFont="1" applyFill="1" applyBorder="1" applyAlignment="1" applyProtection="1">
      <alignment vertical="center"/>
    </xf>
    <xf numFmtId="179" fontId="60" fillId="6" borderId="1" xfId="0" applyNumberFormat="1" applyFont="1" applyFill="1" applyBorder="1" applyAlignment="1" applyProtection="1">
      <alignment horizontal="center" vertical="center"/>
    </xf>
    <xf numFmtId="179" fontId="59" fillId="6" borderId="1" xfId="0" applyNumberFormat="1" applyFont="1" applyFill="1" applyBorder="1" applyAlignment="1" applyProtection="1">
      <alignment horizontal="center" vertical="center"/>
    </xf>
    <xf numFmtId="178" fontId="52" fillId="6" borderId="0" xfId="0" applyNumberFormat="1" applyFont="1" applyFill="1" applyBorder="1" applyAlignment="1" applyProtection="1">
      <alignment horizontal="center" vertical="center"/>
    </xf>
    <xf numFmtId="188" fontId="53" fillId="6" borderId="3" xfId="0" applyNumberFormat="1" applyFont="1" applyFill="1" applyBorder="1" applyAlignment="1" applyProtection="1">
      <alignment horizontal="center" vertical="center"/>
    </xf>
    <xf numFmtId="178" fontId="53" fillId="6" borderId="0"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vertical="center"/>
    </xf>
    <xf numFmtId="49" fontId="53" fillId="6" borderId="18" xfId="0" applyNumberFormat="1" applyFont="1" applyFill="1" applyBorder="1" applyAlignment="1" applyProtection="1">
      <alignment horizontal="center" vertical="center"/>
      <protection locked="0"/>
    </xf>
    <xf numFmtId="49" fontId="58" fillId="6" borderId="37" xfId="0" applyNumberFormat="1" applyFont="1" applyFill="1" applyBorder="1" applyAlignment="1" applyProtection="1">
      <alignment horizontal="left" vertical="center"/>
      <protection locked="0"/>
    </xf>
    <xf numFmtId="0" fontId="53" fillId="6" borderId="5" xfId="0" applyFont="1" applyFill="1" applyBorder="1" applyAlignment="1" applyProtection="1">
      <alignment horizontal="center" vertical="center"/>
      <protection locked="0"/>
    </xf>
    <xf numFmtId="0" fontId="53" fillId="6" borderId="5" xfId="0" applyFont="1" applyFill="1" applyBorder="1" applyAlignment="1" applyProtection="1">
      <alignment horizontal="right" vertical="center"/>
      <protection locked="0"/>
    </xf>
    <xf numFmtId="0" fontId="58" fillId="6" borderId="46" xfId="0" applyFont="1" applyFill="1" applyBorder="1" applyAlignment="1" applyProtection="1">
      <alignment horizontal="center" vertical="center"/>
    </xf>
    <xf numFmtId="0" fontId="63" fillId="6" borderId="0" xfId="0" applyFont="1" applyFill="1" applyBorder="1" applyAlignment="1" applyProtection="1">
      <alignment vertical="center"/>
    </xf>
    <xf numFmtId="182" fontId="58" fillId="5" borderId="61" xfId="0" applyNumberFormat="1" applyFont="1" applyFill="1" applyBorder="1" applyAlignment="1" applyProtection="1">
      <alignment horizontal="center" vertical="center"/>
      <protection locked="0"/>
    </xf>
    <xf numFmtId="0" fontId="53" fillId="6" borderId="17" xfId="0" applyFont="1" applyFill="1" applyBorder="1" applyAlignment="1" applyProtection="1">
      <alignment horizontal="center" vertical="center"/>
    </xf>
    <xf numFmtId="0" fontId="58" fillId="6" borderId="58" xfId="0" applyFont="1" applyFill="1" applyBorder="1" applyAlignment="1" applyProtection="1">
      <alignment horizontal="center" vertical="center"/>
    </xf>
    <xf numFmtId="9" fontId="59" fillId="6" borderId="24"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protection locked="0"/>
    </xf>
    <xf numFmtId="0" fontId="59" fillId="7" borderId="0" xfId="0" applyFont="1" applyFill="1" applyAlignment="1" applyProtection="1">
      <alignment horizontal="center" vertical="center" wrapText="1"/>
      <protection locked="0"/>
    </xf>
    <xf numFmtId="0" fontId="59" fillId="7" borderId="0" xfId="0" applyFont="1" applyFill="1" applyAlignment="1" applyProtection="1">
      <alignment horizontal="center" vertical="center" wrapText="1"/>
    </xf>
    <xf numFmtId="10" fontId="59" fillId="6" borderId="49" xfId="0" applyNumberFormat="1" applyFont="1" applyFill="1" applyBorder="1" applyAlignment="1" applyProtection="1">
      <alignment horizontal="center" vertical="center" wrapText="1"/>
    </xf>
    <xf numFmtId="0" fontId="59" fillId="7" borderId="0" xfId="0" applyNumberFormat="1" applyFont="1" applyFill="1" applyAlignment="1" applyProtection="1">
      <alignment horizontal="center" vertical="center" wrapText="1"/>
      <protection locked="0"/>
    </xf>
    <xf numFmtId="14" fontId="59" fillId="7" borderId="0" xfId="0" applyNumberFormat="1" applyFont="1" applyFill="1" applyAlignment="1" applyProtection="1">
      <alignment horizontal="center" vertical="center" wrapText="1"/>
      <protection locked="0"/>
    </xf>
    <xf numFmtId="10" fontId="59"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vertical="center" wrapText="1"/>
      <protection locked="0"/>
    </xf>
    <xf numFmtId="0" fontId="57" fillId="7" borderId="0" xfId="0" applyFont="1" applyFill="1" applyAlignment="1" applyProtection="1">
      <alignment vertical="center" wrapText="1"/>
    </xf>
    <xf numFmtId="49" fontId="63" fillId="6" borderId="0" xfId="1" applyNumberFormat="1" applyFont="1" applyFill="1" applyBorder="1" applyAlignment="1" applyProtection="1">
      <alignment horizontal="right" vertical="center"/>
    </xf>
    <xf numFmtId="0" fontId="60" fillId="6" borderId="1" xfId="0" applyNumberFormat="1"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xf>
    <xf numFmtId="0" fontId="57" fillId="6" borderId="45" xfId="0" applyNumberFormat="1" applyFont="1" applyFill="1" applyBorder="1" applyAlignment="1" applyProtection="1">
      <alignment horizontal="center" vertical="center" wrapText="1"/>
    </xf>
    <xf numFmtId="0" fontId="64" fillId="6" borderId="14" xfId="0" applyNumberFormat="1"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50" fillId="0" borderId="5" xfId="0"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protection locked="0"/>
    </xf>
    <xf numFmtId="0" fontId="55" fillId="0" borderId="33" xfId="0" applyFont="1" applyFill="1" applyBorder="1" applyAlignment="1" applyProtection="1">
      <alignment horizontal="center" vertical="center"/>
      <protection locked="0"/>
    </xf>
    <xf numFmtId="0" fontId="57" fillId="6" borderId="37" xfId="0" applyNumberFormat="1" applyFont="1" applyFill="1" applyBorder="1" applyAlignment="1" applyProtection="1">
      <alignment horizontal="center" vertical="center" wrapText="1"/>
    </xf>
    <xf numFmtId="0" fontId="151" fillId="3" borderId="3" xfId="0" applyFont="1" applyFill="1" applyBorder="1" applyAlignment="1" applyProtection="1">
      <alignment vertical="center"/>
      <protection locked="0"/>
    </xf>
    <xf numFmtId="0" fontId="50" fillId="6" borderId="23" xfId="0" applyFont="1" applyFill="1" applyBorder="1" applyProtection="1">
      <alignment vertical="center"/>
    </xf>
    <xf numFmtId="0" fontId="50" fillId="6" borderId="0" xfId="0" applyFont="1" applyFill="1" applyProtection="1">
      <alignment vertical="center"/>
      <protection locked="0"/>
    </xf>
    <xf numFmtId="177" fontId="52" fillId="6" borderId="1" xfId="0" applyNumberFormat="1" applyFont="1" applyFill="1" applyBorder="1" applyAlignment="1" applyProtection="1">
      <alignment vertical="center"/>
    </xf>
    <xf numFmtId="177" fontId="52" fillId="6" borderId="1" xfId="0" applyNumberFormat="1" applyFont="1" applyFill="1" applyBorder="1" applyAlignment="1" applyProtection="1">
      <alignment horizontal="center" vertical="center"/>
    </xf>
    <xf numFmtId="177" fontId="52" fillId="6" borderId="24" xfId="0" applyNumberFormat="1" applyFont="1" applyFill="1" applyBorder="1" applyAlignment="1" applyProtection="1">
      <alignment vertical="center"/>
    </xf>
    <xf numFmtId="177" fontId="52" fillId="6" borderId="25" xfId="0" applyNumberFormat="1" applyFont="1" applyFill="1" applyBorder="1" applyAlignment="1" applyProtection="1">
      <alignment vertical="center"/>
    </xf>
    <xf numFmtId="177" fontId="52" fillId="6" borderId="76" xfId="0" applyNumberFormat="1" applyFont="1" applyFill="1" applyBorder="1" applyAlignment="1" applyProtection="1">
      <alignment vertical="center"/>
    </xf>
    <xf numFmtId="0" fontId="50" fillId="6" borderId="11" xfId="0" applyFont="1" applyFill="1" applyBorder="1" applyProtection="1">
      <alignment vertical="center"/>
    </xf>
    <xf numFmtId="0" fontId="50" fillId="6" borderId="13" xfId="0" applyFont="1" applyFill="1" applyBorder="1" applyProtection="1">
      <alignment vertical="center"/>
    </xf>
    <xf numFmtId="0" fontId="52" fillId="6" borderId="25" xfId="0" applyFont="1" applyFill="1" applyBorder="1" applyProtection="1">
      <alignment vertical="center"/>
    </xf>
    <xf numFmtId="0" fontId="52" fillId="6" borderId="32" xfId="0" applyFont="1" applyFill="1" applyBorder="1" applyProtection="1">
      <alignment vertical="center"/>
    </xf>
    <xf numFmtId="0" fontId="50" fillId="6" borderId="49" xfId="0" applyFont="1" applyFill="1" applyBorder="1" applyProtection="1">
      <alignment vertical="center"/>
    </xf>
    <xf numFmtId="0" fontId="50" fillId="6" borderId="24" xfId="0" applyFont="1" applyFill="1" applyBorder="1" applyProtection="1">
      <alignment vertical="center"/>
    </xf>
    <xf numFmtId="0" fontId="52" fillId="6" borderId="49" xfId="0" applyFont="1" applyFill="1" applyBorder="1" applyProtection="1">
      <alignment vertical="center"/>
    </xf>
    <xf numFmtId="49" fontId="58" fillId="6" borderId="22" xfId="0" applyNumberFormat="1" applyFont="1" applyFill="1" applyBorder="1" applyAlignment="1" applyProtection="1">
      <alignment horizontal="left" vertical="center"/>
      <protection locked="0"/>
    </xf>
    <xf numFmtId="49" fontId="58" fillId="6" borderId="41" xfId="0" applyNumberFormat="1" applyFont="1" applyFill="1" applyBorder="1" applyAlignment="1" applyProtection="1">
      <alignment horizontal="left" vertical="center"/>
      <protection locked="0"/>
    </xf>
    <xf numFmtId="0" fontId="56" fillId="6" borderId="51" xfId="0" applyNumberFormat="1" applyFont="1" applyFill="1" applyBorder="1" applyAlignment="1" applyProtection="1">
      <alignment horizontal="right" vertical="center" wrapText="1"/>
    </xf>
    <xf numFmtId="0" fontId="56" fillId="6" borderId="21" xfId="0" applyNumberFormat="1" applyFont="1" applyFill="1" applyBorder="1" applyAlignment="1" applyProtection="1">
      <alignment vertical="center" wrapText="1"/>
    </xf>
    <xf numFmtId="0" fontId="76" fillId="3" borderId="20" xfId="0" applyNumberFormat="1" applyFont="1" applyFill="1" applyBorder="1" applyAlignment="1" applyProtection="1">
      <alignment vertical="center" wrapText="1"/>
      <protection locked="0"/>
    </xf>
    <xf numFmtId="0" fontId="76" fillId="6" borderId="20" xfId="0" applyNumberFormat="1" applyFont="1" applyFill="1" applyBorder="1" applyAlignment="1" applyProtection="1">
      <alignment vertical="center" wrapText="1"/>
    </xf>
    <xf numFmtId="0" fontId="76" fillId="3" borderId="51" xfId="0" applyNumberFormat="1" applyFont="1" applyFill="1" applyBorder="1" applyAlignment="1" applyProtection="1">
      <alignment vertical="center" wrapText="1"/>
      <protection locked="0"/>
    </xf>
    <xf numFmtId="0" fontId="76" fillId="6" borderId="21" xfId="0" applyNumberFormat="1" applyFont="1" applyFill="1" applyBorder="1" applyAlignment="1" applyProtection="1">
      <alignment vertical="center" wrapText="1"/>
    </xf>
    <xf numFmtId="0" fontId="56" fillId="6" borderId="38"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6" fillId="6" borderId="52"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protection locked="0"/>
    </xf>
    <xf numFmtId="0" fontId="56" fillId="6" borderId="47" xfId="0" applyNumberFormat="1" applyFont="1" applyFill="1" applyBorder="1" applyAlignment="1" applyProtection="1">
      <alignment vertical="center" wrapText="1"/>
    </xf>
    <xf numFmtId="0" fontId="63" fillId="6" borderId="2" xfId="0" applyFont="1" applyFill="1" applyBorder="1" applyAlignment="1" applyProtection="1">
      <alignment horizontal="right" vertical="center"/>
    </xf>
    <xf numFmtId="0" fontId="68" fillId="6" borderId="58" xfId="0" applyFont="1" applyFill="1" applyBorder="1" applyAlignment="1" applyProtection="1">
      <alignment horizontal="center" vertical="center"/>
    </xf>
    <xf numFmtId="0" fontId="57" fillId="6" borderId="58" xfId="0" applyFont="1" applyFill="1" applyBorder="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0" fontId="57" fillId="6" borderId="58" xfId="0" applyFont="1" applyFill="1" applyBorder="1" applyAlignment="1" applyProtection="1">
      <protection locked="0"/>
    </xf>
    <xf numFmtId="9" fontId="50" fillId="6" borderId="0" xfId="0" applyNumberFormat="1" applyFont="1" applyFill="1" applyBorder="1" applyAlignment="1" applyProtection="1">
      <alignment horizontal="center" vertical="center" wrapText="1"/>
      <protection locked="0"/>
    </xf>
    <xf numFmtId="0" fontId="62" fillId="6" borderId="0" xfId="0" applyFont="1" applyFill="1" applyBorder="1" applyAlignment="1" applyProtection="1">
      <protection locked="0"/>
    </xf>
    <xf numFmtId="0" fontId="57" fillId="6" borderId="0" xfId="0" applyFont="1" applyFill="1" applyBorder="1" applyAlignment="1" applyProtection="1">
      <alignment horizontal="center"/>
      <protection locked="0"/>
    </xf>
    <xf numFmtId="0" fontId="107" fillId="6" borderId="58" xfId="0" applyFont="1" applyFill="1" applyBorder="1" applyAlignment="1" applyProtection="1">
      <alignment vertical="center"/>
      <protection locked="0"/>
    </xf>
    <xf numFmtId="0" fontId="50" fillId="6" borderId="0" xfId="0" applyFont="1" applyFill="1" applyAlignment="1" applyProtection="1">
      <alignment horizontal="center" vertical="center"/>
      <protection locked="0"/>
    </xf>
    <xf numFmtId="9" fontId="50" fillId="6" borderId="58" xfId="0" applyNumberFormat="1" applyFont="1" applyFill="1" applyBorder="1" applyAlignment="1" applyProtection="1">
      <alignment horizontal="center" vertical="center" wrapText="1"/>
      <protection locked="0"/>
    </xf>
    <xf numFmtId="0" fontId="50" fillId="6" borderId="58" xfId="0" applyFont="1" applyFill="1" applyBorder="1" applyAlignment="1" applyProtection="1">
      <alignment horizontal="center"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0" fontId="55" fillId="6" borderId="0" xfId="0" applyFont="1" applyFill="1" applyAlignment="1" applyProtection="1">
      <alignment horizontal="center" vertical="center"/>
      <protection locked="0"/>
    </xf>
    <xf numFmtId="0" fontId="55" fillId="6" borderId="58" xfId="0" applyFont="1" applyFill="1" applyBorder="1" applyAlignment="1" applyProtection="1">
      <alignment horizontal="center" vertical="center"/>
      <protection locked="0"/>
    </xf>
    <xf numFmtId="9" fontId="55" fillId="6" borderId="0" xfId="0" applyNumberFormat="1" applyFont="1" applyFill="1" applyBorder="1" applyAlignment="1" applyProtection="1">
      <alignment horizontal="center" vertical="center"/>
      <protection locked="0"/>
    </xf>
    <xf numFmtId="0" fontId="50"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wrapText="1"/>
      <protection locked="0"/>
    </xf>
    <xf numFmtId="9" fontId="57" fillId="6" borderId="0"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protection locked="0"/>
    </xf>
    <xf numFmtId="49" fontId="50" fillId="6" borderId="0" xfId="0" applyNumberFormat="1" applyFont="1" applyFill="1" applyAlignment="1" applyProtection="1">
      <alignment horizontal="center" vertical="center"/>
      <protection locked="0"/>
    </xf>
    <xf numFmtId="0" fontId="63" fillId="6" borderId="5" xfId="1" applyFont="1" applyFill="1" applyBorder="1" applyAlignment="1" applyProtection="1">
      <alignment horizontal="right" vertical="center"/>
    </xf>
    <xf numFmtId="0" fontId="52" fillId="6" borderId="33" xfId="0" applyFont="1" applyFill="1" applyBorder="1" applyAlignment="1" applyProtection="1">
      <alignment horizontal="center" vertical="center"/>
    </xf>
    <xf numFmtId="182" fontId="50" fillId="6" borderId="49" xfId="0" applyNumberFormat="1" applyFont="1" applyFill="1" applyBorder="1" applyProtection="1">
      <alignment vertical="center"/>
    </xf>
    <xf numFmtId="0" fontId="50" fillId="6" borderId="24" xfId="1" applyNumberFormat="1" applyFont="1" applyFill="1" applyBorder="1" applyAlignment="1" applyProtection="1">
      <alignment horizontal="center" vertical="center"/>
    </xf>
    <xf numFmtId="0" fontId="67" fillId="6" borderId="78" xfId="0" applyFont="1" applyFill="1" applyBorder="1" applyAlignment="1" applyProtection="1">
      <alignment horizontal="center" vertical="center" wrapText="1"/>
    </xf>
    <xf numFmtId="0" fontId="111" fillId="0" borderId="0" xfId="9" applyFont="1">
      <alignment vertical="center"/>
    </xf>
    <xf numFmtId="0" fontId="111" fillId="0" borderId="0" xfId="9" applyFont="1" applyAlignment="1">
      <alignment horizontal="center" vertical="center"/>
    </xf>
    <xf numFmtId="0" fontId="111" fillId="0" borderId="120" xfId="9" applyFont="1" applyBorder="1">
      <alignment vertical="center"/>
    </xf>
    <xf numFmtId="0" fontId="10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11" fillId="0" borderId="121" xfId="9" applyFont="1" applyBorder="1" applyAlignment="1">
      <alignment vertical="center"/>
    </xf>
    <xf numFmtId="0" fontId="111" fillId="0" borderId="120" xfId="9" applyFont="1" applyBorder="1" applyAlignment="1">
      <alignment vertical="center"/>
    </xf>
    <xf numFmtId="0" fontId="111" fillId="0" borderId="120" xfId="9" applyFont="1" applyBorder="1" applyAlignment="1">
      <alignment horizontal="center" vertical="center"/>
    </xf>
    <xf numFmtId="0" fontId="111" fillId="0" borderId="0" xfId="9" applyFont="1" applyFill="1">
      <alignment vertical="center"/>
    </xf>
    <xf numFmtId="0" fontId="10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11" fillId="0" borderId="122" xfId="9" applyFont="1" applyFill="1" applyBorder="1" applyAlignment="1">
      <alignment horizontal="center" vertical="center"/>
    </xf>
    <xf numFmtId="0" fontId="111" fillId="0" borderId="0" xfId="9" applyFont="1" applyFill="1" applyBorder="1" applyAlignment="1">
      <alignment horizontal="center" vertical="center"/>
    </xf>
    <xf numFmtId="0" fontId="111" fillId="0" borderId="0" xfId="9" applyFont="1" applyFill="1" applyAlignment="1">
      <alignment horizontal="center" vertical="center"/>
    </xf>
    <xf numFmtId="0" fontId="108" fillId="0" borderId="0" xfId="9" applyFont="1" applyAlignment="1">
      <alignment horizontal="center" vertical="center"/>
    </xf>
    <xf numFmtId="10" fontId="108" fillId="0" borderId="0" xfId="9" applyNumberFormat="1" applyFont="1" applyAlignment="1">
      <alignment horizontal="center" vertical="center"/>
    </xf>
    <xf numFmtId="49" fontId="59" fillId="6" borderId="1" xfId="9" applyNumberFormat="1" applyFont="1" applyFill="1" applyBorder="1" applyAlignment="1" applyProtection="1">
      <alignment horizontal="center" vertical="center" wrapText="1"/>
    </xf>
    <xf numFmtId="0" fontId="155" fillId="12" borderId="124" xfId="9" applyFont="1" applyFill="1" applyBorder="1" applyAlignment="1" applyProtection="1">
      <alignment horizontal="center" vertical="center" wrapText="1"/>
    </xf>
    <xf numFmtId="0" fontId="155" fillId="12" borderId="125" xfId="9" applyFont="1" applyFill="1" applyBorder="1" applyAlignment="1" applyProtection="1">
      <alignment horizontal="center" vertical="center" wrapText="1"/>
    </xf>
    <xf numFmtId="0" fontId="155" fillId="13" borderId="127" xfId="9" applyFont="1" applyFill="1" applyBorder="1" applyAlignment="1" applyProtection="1">
      <alignment horizontal="center" vertical="center" wrapText="1"/>
    </xf>
    <xf numFmtId="0" fontId="155" fillId="12" borderId="127" xfId="9" applyFont="1" applyFill="1" applyBorder="1" applyAlignment="1" applyProtection="1">
      <alignment horizontal="center" vertical="center" wrapText="1"/>
    </xf>
    <xf numFmtId="0" fontId="156" fillId="14" borderId="0" xfId="9" applyFont="1" applyFill="1">
      <alignment vertical="center"/>
    </xf>
    <xf numFmtId="10" fontId="156" fillId="14" borderId="129" xfId="9" applyNumberFormat="1" applyFont="1" applyFill="1" applyBorder="1" applyAlignment="1">
      <alignment vertical="center"/>
    </xf>
    <xf numFmtId="10" fontId="108" fillId="14" borderId="0" xfId="9" applyNumberFormat="1" applyFont="1" applyFill="1" applyAlignment="1">
      <alignment horizontal="center" vertical="center"/>
    </xf>
    <xf numFmtId="187" fontId="111" fillId="12" borderId="124" xfId="9" applyNumberFormat="1" applyFont="1" applyFill="1" applyBorder="1" applyAlignment="1">
      <alignment horizontal="center" vertical="center" wrapText="1"/>
    </xf>
    <xf numFmtId="187" fontId="111" fillId="12" borderId="130" xfId="9" applyNumberFormat="1" applyFont="1" applyFill="1" applyBorder="1" applyAlignment="1">
      <alignment horizontal="center" vertical="center" wrapText="1"/>
    </xf>
    <xf numFmtId="0" fontId="108" fillId="0" borderId="0" xfId="9" applyFont="1">
      <alignment vertical="center"/>
    </xf>
    <xf numFmtId="10" fontId="108" fillId="0" borderId="122" xfId="9" applyNumberFormat="1" applyFont="1" applyBorder="1">
      <alignment vertical="center"/>
    </xf>
    <xf numFmtId="10" fontId="108" fillId="0" borderId="0" xfId="9" applyNumberFormat="1" applyFont="1">
      <alignment vertical="center"/>
    </xf>
    <xf numFmtId="178" fontId="108" fillId="0" borderId="0" xfId="9" applyNumberFormat="1" applyFont="1">
      <alignment vertical="center"/>
    </xf>
    <xf numFmtId="182" fontId="108" fillId="0" borderId="122" xfId="9" applyNumberFormat="1" applyFont="1" applyBorder="1">
      <alignment vertical="center"/>
    </xf>
    <xf numFmtId="182" fontId="108" fillId="0" borderId="0" xfId="9" applyNumberFormat="1" applyFont="1">
      <alignment vertical="center"/>
    </xf>
    <xf numFmtId="187" fontId="108" fillId="0" borderId="0" xfId="9" applyNumberFormat="1" applyFont="1" applyAlignment="1">
      <alignment horizontal="center" vertical="center"/>
    </xf>
    <xf numFmtId="0" fontId="155" fillId="13" borderId="131" xfId="9" applyFont="1" applyFill="1" applyBorder="1" applyAlignment="1" applyProtection="1">
      <alignment horizontal="center" vertical="center" wrapText="1"/>
    </xf>
    <xf numFmtId="0" fontId="155" fillId="12" borderId="131" xfId="9" applyFont="1" applyFill="1" applyBorder="1" applyAlignment="1" applyProtection="1">
      <alignment horizontal="center" vertical="center" wrapText="1"/>
    </xf>
    <xf numFmtId="10" fontId="108" fillId="0" borderId="129" xfId="9" applyNumberFormat="1" applyFont="1" applyBorder="1">
      <alignment vertical="center"/>
    </xf>
    <xf numFmtId="10" fontId="108" fillId="0" borderId="60" xfId="9" applyNumberFormat="1" applyFont="1" applyBorder="1">
      <alignment vertical="center"/>
    </xf>
    <xf numFmtId="0" fontId="155" fillId="12" borderId="133" xfId="9" applyFont="1" applyFill="1" applyBorder="1" applyAlignment="1" applyProtection="1">
      <alignment horizontal="center" vertical="center" wrapText="1"/>
    </xf>
    <xf numFmtId="0" fontId="155" fillId="12" borderId="134" xfId="9" applyFont="1" applyFill="1" applyBorder="1" applyAlignment="1" applyProtection="1">
      <alignment horizontal="center" vertical="center" wrapText="1"/>
    </xf>
    <xf numFmtId="10" fontId="108" fillId="0" borderId="135" xfId="9" applyNumberFormat="1" applyFont="1" applyBorder="1">
      <alignment vertical="center"/>
    </xf>
    <xf numFmtId="10" fontId="108" fillId="0" borderId="36" xfId="9" applyNumberFormat="1" applyFont="1" applyBorder="1">
      <alignment vertical="center"/>
    </xf>
    <xf numFmtId="0" fontId="108" fillId="0" borderId="122" xfId="9" applyFont="1" applyBorder="1">
      <alignment vertical="center"/>
    </xf>
    <xf numFmtId="0" fontId="155" fillId="13" borderId="124" xfId="9" applyFont="1" applyFill="1" applyBorder="1" applyAlignment="1" applyProtection="1">
      <alignment horizontal="center" vertical="center" wrapText="1"/>
    </xf>
    <xf numFmtId="0" fontId="155" fillId="13" borderId="125" xfId="9" applyFont="1" applyFill="1" applyBorder="1" applyAlignment="1" applyProtection="1">
      <alignment horizontal="center" vertical="center" wrapText="1"/>
    </xf>
    <xf numFmtId="10" fontId="108" fillId="0" borderId="0" xfId="9" applyNumberFormat="1" applyFont="1" applyBorder="1">
      <alignment vertical="center"/>
    </xf>
    <xf numFmtId="187" fontId="111" fillId="12" borderId="127" xfId="9" applyNumberFormat="1" applyFont="1" applyFill="1" applyBorder="1" applyAlignment="1">
      <alignment horizontal="center" vertical="center" wrapText="1"/>
    </xf>
    <xf numFmtId="187" fontId="111" fillId="12" borderId="136" xfId="9" applyNumberFormat="1" applyFont="1" applyFill="1" applyBorder="1" applyAlignment="1">
      <alignment horizontal="center" vertical="center" wrapText="1"/>
    </xf>
    <xf numFmtId="0" fontId="108" fillId="13" borderId="124" xfId="9" applyFont="1" applyFill="1" applyBorder="1" applyAlignment="1" applyProtection="1">
      <alignment horizontal="center" vertical="center" wrapText="1"/>
    </xf>
    <xf numFmtId="0" fontId="108" fillId="13" borderId="125" xfId="9" applyFont="1" applyFill="1" applyBorder="1" applyAlignment="1" applyProtection="1">
      <alignment horizontal="center" vertical="center" wrapText="1"/>
    </xf>
    <xf numFmtId="49" fontId="59" fillId="5" borderId="1" xfId="9" applyNumberFormat="1" applyFont="1" applyFill="1" applyBorder="1" applyAlignment="1" applyProtection="1">
      <alignment horizontal="center" vertical="center" wrapText="1"/>
    </xf>
    <xf numFmtId="187" fontId="108" fillId="5" borderId="0" xfId="9" applyNumberFormat="1" applyFont="1" applyFill="1" applyAlignment="1">
      <alignment horizontal="center" vertical="center"/>
    </xf>
    <xf numFmtId="0" fontId="108" fillId="5" borderId="127" xfId="9" applyFont="1" applyFill="1" applyBorder="1" applyAlignment="1" applyProtection="1">
      <alignment horizontal="center" vertical="center" wrapText="1"/>
    </xf>
    <xf numFmtId="0" fontId="108" fillId="5" borderId="131" xfId="9" applyFont="1" applyFill="1" applyBorder="1" applyAlignment="1" applyProtection="1">
      <alignment horizontal="center" vertical="center" wrapText="1"/>
    </xf>
    <xf numFmtId="0" fontId="108" fillId="5" borderId="0" xfId="9" applyFont="1" applyFill="1">
      <alignment vertical="center"/>
    </xf>
    <xf numFmtId="10" fontId="108" fillId="5" borderId="122" xfId="9" applyNumberFormat="1" applyFont="1" applyFill="1" applyBorder="1">
      <alignment vertical="center"/>
    </xf>
    <xf numFmtId="10" fontId="108" fillId="5" borderId="0" xfId="9" applyNumberFormat="1" applyFont="1" applyFill="1">
      <alignment vertical="center"/>
    </xf>
    <xf numFmtId="178" fontId="108" fillId="5" borderId="0" xfId="9" applyNumberFormat="1" applyFont="1" applyFill="1">
      <alignment vertical="center"/>
    </xf>
    <xf numFmtId="10" fontId="108" fillId="5" borderId="129" xfId="9" applyNumberFormat="1" applyFont="1" applyFill="1" applyBorder="1">
      <alignment vertical="center"/>
    </xf>
    <xf numFmtId="10" fontId="108" fillId="5" borderId="60" xfId="9" applyNumberFormat="1" applyFont="1" applyFill="1" applyBorder="1">
      <alignment vertical="center"/>
    </xf>
    <xf numFmtId="0" fontId="133" fillId="5" borderId="0" xfId="9" applyFont="1" applyFill="1">
      <alignment vertical="center"/>
    </xf>
    <xf numFmtId="0" fontId="108" fillId="5" borderId="0" xfId="9" applyNumberFormat="1" applyFont="1" applyFill="1" applyAlignment="1">
      <alignment horizontal="center" vertical="center"/>
    </xf>
    <xf numFmtId="0" fontId="108" fillId="12" borderId="133" xfId="9" applyFont="1" applyFill="1" applyBorder="1" applyAlignment="1" applyProtection="1">
      <alignment horizontal="center" vertical="center" wrapText="1"/>
    </xf>
    <xf numFmtId="0" fontId="108" fillId="12" borderId="134" xfId="9" applyFont="1" applyFill="1" applyBorder="1" applyAlignment="1" applyProtection="1">
      <alignment horizontal="center" vertical="center" wrapText="1"/>
    </xf>
    <xf numFmtId="14" fontId="108" fillId="0" borderId="0" xfId="9" applyNumberFormat="1" applyFont="1">
      <alignment vertical="center"/>
    </xf>
    <xf numFmtId="0" fontId="133" fillId="0" borderId="0" xfId="9" applyFont="1">
      <alignment vertical="center"/>
    </xf>
    <xf numFmtId="0" fontId="108" fillId="0" borderId="0" xfId="9" applyNumberFormat="1" applyFont="1" applyAlignment="1">
      <alignment horizontal="center" vertical="center"/>
    </xf>
    <xf numFmtId="187" fontId="111" fillId="12" borderId="133" xfId="9" applyNumberFormat="1" applyFont="1" applyFill="1" applyBorder="1" applyAlignment="1">
      <alignment horizontal="center" vertical="center" wrapText="1"/>
    </xf>
    <xf numFmtId="187" fontId="111" fillId="12" borderId="137" xfId="9" applyNumberFormat="1" applyFont="1" applyFill="1" applyBorder="1" applyAlignment="1">
      <alignment horizontal="center" vertical="center" wrapText="1"/>
    </xf>
    <xf numFmtId="187" fontId="108" fillId="14" borderId="0" xfId="9" applyNumberFormat="1" applyFont="1" applyFill="1" applyAlignment="1">
      <alignment horizontal="center" vertical="center"/>
    </xf>
    <xf numFmtId="187" fontId="108" fillId="0" borderId="47" xfId="9" applyNumberFormat="1" applyFont="1" applyBorder="1" applyAlignment="1">
      <alignment horizontal="center" vertical="center"/>
    </xf>
    <xf numFmtId="0" fontId="155" fillId="13" borderId="138" xfId="9" applyFont="1" applyFill="1" applyBorder="1" applyAlignment="1" applyProtection="1">
      <alignment horizontal="center" vertical="center" wrapText="1"/>
    </xf>
    <xf numFmtId="0" fontId="155" fillId="13" borderId="139" xfId="9" applyFont="1" applyFill="1" applyBorder="1" applyAlignment="1" applyProtection="1">
      <alignment horizontal="center" vertical="center" wrapText="1"/>
    </xf>
    <xf numFmtId="0" fontId="108" fillId="0" borderId="47" xfId="9" applyFont="1" applyBorder="1">
      <alignment vertical="center"/>
    </xf>
    <xf numFmtId="10" fontId="108" fillId="0" borderId="140" xfId="9" applyNumberFormat="1" applyFont="1" applyBorder="1">
      <alignment vertical="center"/>
    </xf>
    <xf numFmtId="10" fontId="108" fillId="0" borderId="47" xfId="9" applyNumberFormat="1" applyFont="1" applyBorder="1">
      <alignment vertical="center"/>
    </xf>
    <xf numFmtId="178" fontId="108" fillId="0" borderId="47" xfId="9" applyNumberFormat="1" applyFont="1" applyBorder="1">
      <alignment vertical="center"/>
    </xf>
    <xf numFmtId="10" fontId="108" fillId="0" borderId="47" xfId="9" applyNumberFormat="1" applyFont="1" applyBorder="1" applyAlignment="1">
      <alignment horizontal="center" vertical="center"/>
    </xf>
    <xf numFmtId="0" fontId="155" fillId="12" borderId="141" xfId="9" applyFont="1" applyFill="1" applyBorder="1" applyAlignment="1" applyProtection="1">
      <alignment horizontal="center" vertical="center" wrapText="1"/>
    </xf>
    <xf numFmtId="0" fontId="155" fillId="12" borderId="142" xfId="9" applyFont="1" applyFill="1" applyBorder="1" applyAlignment="1" applyProtection="1">
      <alignment horizontal="center" vertical="center" wrapText="1"/>
    </xf>
    <xf numFmtId="10" fontId="108" fillId="15" borderId="122" xfId="9" applyNumberFormat="1" applyFont="1" applyFill="1" applyBorder="1">
      <alignment vertical="center"/>
    </xf>
    <xf numFmtId="10" fontId="108" fillId="15" borderId="0" xfId="9" applyNumberFormat="1" applyFont="1" applyFill="1">
      <alignment vertical="center"/>
    </xf>
    <xf numFmtId="179" fontId="108" fillId="0" borderId="0" xfId="9" applyNumberFormat="1" applyFont="1" applyAlignment="1">
      <alignment horizontal="center" vertical="center"/>
    </xf>
    <xf numFmtId="10" fontId="108" fillId="15" borderId="129" xfId="9" applyNumberFormat="1" applyFont="1" applyFill="1" applyBorder="1">
      <alignment vertical="center"/>
    </xf>
    <xf numFmtId="10" fontId="108" fillId="15" borderId="60" xfId="9" applyNumberFormat="1" applyFont="1" applyFill="1" applyBorder="1">
      <alignment vertical="center"/>
    </xf>
    <xf numFmtId="10" fontId="108" fillId="15" borderId="140" xfId="9" applyNumberFormat="1" applyFont="1" applyFill="1" applyBorder="1">
      <alignment vertical="center"/>
    </xf>
    <xf numFmtId="10" fontId="108" fillId="15" borderId="47" xfId="9" applyNumberFormat="1" applyFont="1" applyFill="1" applyBorder="1">
      <alignment vertical="center"/>
    </xf>
    <xf numFmtId="179" fontId="108" fillId="0" borderId="47" xfId="9" applyNumberFormat="1" applyFont="1" applyBorder="1" applyAlignment="1">
      <alignment horizontal="center" vertical="center"/>
    </xf>
    <xf numFmtId="0" fontId="111" fillId="13" borderId="143" xfId="9" applyFont="1" applyFill="1" applyBorder="1" applyAlignment="1">
      <alignment horizontal="center" vertical="center" wrapText="1"/>
    </xf>
    <xf numFmtId="0" fontId="111" fillId="13" borderId="144" xfId="9" applyFont="1" applyFill="1" applyBorder="1" applyAlignment="1">
      <alignment horizontal="center" vertical="center" wrapText="1"/>
    </xf>
    <xf numFmtId="181" fontId="108" fillId="0" borderId="0" xfId="9" applyNumberFormat="1" applyFont="1" applyAlignment="1">
      <alignment horizontal="center" vertical="center"/>
    </xf>
    <xf numFmtId="181" fontId="108" fillId="0" borderId="122" xfId="9" applyNumberFormat="1" applyFont="1" applyBorder="1" applyAlignment="1">
      <alignment horizontal="center" vertical="center"/>
    </xf>
    <xf numFmtId="178" fontId="108" fillId="15" borderId="0" xfId="9" applyNumberFormat="1" applyFont="1" applyFill="1" applyAlignment="1">
      <alignment horizontal="center" vertical="center"/>
    </xf>
    <xf numFmtId="0" fontId="155" fillId="13" borderId="133" xfId="9" applyFont="1" applyFill="1" applyBorder="1" applyAlignment="1" applyProtection="1">
      <alignment horizontal="center" vertical="center" wrapText="1"/>
    </xf>
    <xf numFmtId="0" fontId="111" fillId="12" borderId="133" xfId="9" applyFont="1" applyFill="1" applyBorder="1" applyAlignment="1">
      <alignment horizontal="center" vertical="center" wrapText="1"/>
    </xf>
    <xf numFmtId="0" fontId="111" fillId="12" borderId="137" xfId="9" applyFont="1" applyFill="1" applyBorder="1" applyAlignment="1">
      <alignment horizontal="center" vertical="center" wrapText="1"/>
    </xf>
    <xf numFmtId="178" fontId="108" fillId="5" borderId="0" xfId="9" applyNumberFormat="1" applyFont="1" applyFill="1" applyAlignment="1">
      <alignment horizontal="center" vertical="center"/>
    </xf>
    <xf numFmtId="0" fontId="155" fillId="5" borderId="127" xfId="9" applyFont="1" applyFill="1" applyBorder="1" applyAlignment="1" applyProtection="1">
      <alignment horizontal="center" vertical="center" wrapText="1"/>
    </xf>
    <xf numFmtId="181" fontId="108" fillId="5" borderId="0" xfId="9" applyNumberFormat="1" applyFont="1" applyFill="1" applyAlignment="1">
      <alignment horizontal="center" vertical="center"/>
    </xf>
    <xf numFmtId="0" fontId="108" fillId="5" borderId="122" xfId="9" applyFont="1" applyFill="1" applyBorder="1">
      <alignment vertical="center"/>
    </xf>
    <xf numFmtId="179" fontId="108" fillId="5" borderId="0" xfId="9" applyNumberFormat="1" applyFont="1" applyFill="1" applyAlignment="1">
      <alignment horizontal="center" vertical="center"/>
    </xf>
    <xf numFmtId="0" fontId="111" fillId="12" borderId="145" xfId="9" applyFont="1" applyFill="1" applyBorder="1" applyAlignment="1">
      <alignment horizontal="center" vertical="center" wrapText="1"/>
    </xf>
    <xf numFmtId="0" fontId="111" fillId="12" borderId="146" xfId="9" applyFont="1" applyFill="1" applyBorder="1" applyAlignment="1">
      <alignment horizontal="center" vertical="center" wrapText="1"/>
    </xf>
    <xf numFmtId="0" fontId="111" fillId="12" borderId="147" xfId="9" applyFont="1" applyFill="1" applyBorder="1" applyAlignment="1">
      <alignment horizontal="center" vertical="center" wrapText="1"/>
    </xf>
    <xf numFmtId="0" fontId="141" fillId="0" borderId="0" xfId="9" applyFont="1">
      <alignment vertical="center"/>
    </xf>
    <xf numFmtId="0" fontId="123" fillId="0" borderId="0" xfId="9" applyFont="1">
      <alignment vertical="center"/>
    </xf>
    <xf numFmtId="0" fontId="123" fillId="0" borderId="122" xfId="9" applyFont="1" applyBorder="1">
      <alignment vertical="center"/>
    </xf>
    <xf numFmtId="181" fontId="123" fillId="0" borderId="0" xfId="9" applyNumberFormat="1" applyFont="1" applyAlignment="1">
      <alignment horizontal="center" vertical="center"/>
    </xf>
    <xf numFmtId="181" fontId="123" fillId="0" borderId="122" xfId="9" applyNumberFormat="1" applyFont="1" applyBorder="1" applyAlignment="1">
      <alignment horizontal="center" vertical="center"/>
    </xf>
    <xf numFmtId="0" fontId="155" fillId="13" borderId="148" xfId="9" applyFont="1" applyFill="1" applyBorder="1" applyAlignment="1">
      <alignment horizontal="center" vertical="center" wrapText="1"/>
    </xf>
    <xf numFmtId="0" fontId="155" fillId="13" borderId="124" xfId="9" applyFont="1" applyFill="1" applyBorder="1" applyAlignment="1">
      <alignment horizontal="center" vertical="center" wrapText="1"/>
    </xf>
    <xf numFmtId="0" fontId="155" fillId="12" borderId="149" xfId="9" applyFont="1" applyFill="1" applyBorder="1" applyAlignment="1">
      <alignment horizontal="center" vertical="center" wrapText="1"/>
    </xf>
    <xf numFmtId="0" fontId="155" fillId="12" borderId="127" xfId="9" applyFont="1" applyFill="1" applyBorder="1" applyAlignment="1">
      <alignment horizontal="center" vertical="center" wrapText="1"/>
    </xf>
    <xf numFmtId="0" fontId="155" fillId="13" borderId="149" xfId="9" applyFont="1" applyFill="1" applyBorder="1" applyAlignment="1">
      <alignment horizontal="center" vertical="center" wrapText="1"/>
    </xf>
    <xf numFmtId="0" fontId="155" fillId="13" borderId="127" xfId="9" applyFont="1" applyFill="1" applyBorder="1" applyAlignment="1">
      <alignment horizontal="center" vertical="center" wrapText="1"/>
    </xf>
    <xf numFmtId="0" fontId="155" fillId="12" borderId="150" xfId="9" applyFont="1" applyFill="1" applyBorder="1" applyAlignment="1">
      <alignment horizontal="center" vertical="center" wrapText="1"/>
    </xf>
    <xf numFmtId="0" fontId="155" fillId="12" borderId="133" xfId="9" applyFont="1" applyFill="1" applyBorder="1" applyAlignment="1">
      <alignment horizontal="center" vertical="center" wrapText="1"/>
    </xf>
    <xf numFmtId="10" fontId="57" fillId="0" borderId="3" xfId="8" applyNumberFormat="1" applyFont="1" applyFill="1" applyBorder="1" applyAlignment="1" applyProtection="1">
      <alignment horizontal="center" vertical="center" wrapText="1"/>
      <protection locked="0"/>
    </xf>
    <xf numFmtId="10" fontId="59" fillId="6" borderId="24" xfId="8" applyNumberFormat="1" applyFont="1" applyFill="1" applyBorder="1" applyAlignment="1" applyProtection="1">
      <alignment horizontal="center" vertical="center" wrapText="1"/>
    </xf>
    <xf numFmtId="10" fontId="57" fillId="0" borderId="66" xfId="8" applyNumberFormat="1" applyFont="1" applyFill="1" applyBorder="1" applyAlignment="1" applyProtection="1">
      <alignment horizontal="center" vertical="center" wrapText="1"/>
      <protection locked="0"/>
    </xf>
    <xf numFmtId="10" fontId="59" fillId="6" borderId="49" xfId="8" applyNumberFormat="1" applyFont="1" applyFill="1" applyBorder="1" applyAlignment="1" applyProtection="1">
      <alignment horizontal="center" vertical="center" wrapText="1"/>
    </xf>
    <xf numFmtId="0" fontId="57" fillId="6" borderId="47" xfId="8" applyFont="1" applyFill="1" applyBorder="1" applyAlignment="1" applyProtection="1">
      <alignment vertical="center" wrapText="1"/>
      <protection locked="0"/>
    </xf>
    <xf numFmtId="0" fontId="50" fillId="6" borderId="22" xfId="0" applyNumberFormat="1" applyFont="1" applyFill="1" applyBorder="1" applyAlignment="1" applyProtection="1">
      <alignment horizontal="center" vertical="center" wrapText="1"/>
      <protection locked="0"/>
    </xf>
    <xf numFmtId="0" fontId="50" fillId="0" borderId="5" xfId="0" applyNumberFormat="1" applyFont="1" applyFill="1" applyBorder="1" applyAlignment="1" applyProtection="1">
      <alignment horizontal="center" vertical="center" wrapText="1"/>
      <protection locked="0"/>
    </xf>
    <xf numFmtId="0" fontId="50" fillId="0" borderId="48" xfId="0" applyNumberFormat="1" applyFont="1" applyFill="1" applyBorder="1" applyAlignment="1" applyProtection="1">
      <alignment horizontal="center" vertical="center" wrapText="1"/>
      <protection locked="0"/>
    </xf>
    <xf numFmtId="0" fontId="50" fillId="0" borderId="24"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protection locked="0"/>
    </xf>
    <xf numFmtId="49" fontId="50" fillId="0" borderId="58" xfId="0" applyNumberFormat="1" applyFont="1" applyFill="1" applyBorder="1" applyAlignment="1" applyProtection="1">
      <alignment horizontal="center" vertical="center"/>
      <protection locked="0"/>
    </xf>
    <xf numFmtId="0" fontId="50" fillId="6" borderId="30"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protection locked="0"/>
    </xf>
    <xf numFmtId="191" fontId="50" fillId="6" borderId="30" xfId="0" applyNumberFormat="1" applyFont="1" applyFill="1" applyBorder="1" applyAlignment="1" applyProtection="1">
      <alignment horizontal="center" vertical="center" wrapText="1"/>
    </xf>
    <xf numFmtId="191" fontId="50" fillId="6" borderId="9" xfId="0" applyNumberFormat="1" applyFont="1" applyFill="1" applyBorder="1" applyAlignment="1" applyProtection="1">
      <alignment horizontal="center" vertical="center" wrapText="1"/>
    </xf>
    <xf numFmtId="191" fontId="50" fillId="6" borderId="39" xfId="0" applyNumberFormat="1" applyFont="1" applyFill="1" applyBorder="1" applyAlignment="1" applyProtection="1">
      <alignment horizontal="center" vertical="center" wrapText="1"/>
    </xf>
    <xf numFmtId="0" fontId="53" fillId="0" borderId="54" xfId="0" applyFont="1" applyFill="1" applyBorder="1" applyAlignment="1" applyProtection="1">
      <alignment vertical="center"/>
      <protection locked="0"/>
    </xf>
    <xf numFmtId="0" fontId="53" fillId="6" borderId="36" xfId="0" applyFont="1" applyFill="1" applyBorder="1" applyAlignment="1" applyProtection="1">
      <alignment vertical="center"/>
    </xf>
    <xf numFmtId="0" fontId="53" fillId="6" borderId="60" xfId="0" applyFont="1" applyFill="1" applyBorder="1" applyAlignment="1" applyProtection="1">
      <alignment horizontal="left" vertical="center"/>
    </xf>
    <xf numFmtId="0" fontId="51" fillId="5" borderId="3" xfId="1" applyFont="1" applyFill="1" applyBorder="1" applyAlignment="1" applyProtection="1">
      <alignment vertical="center"/>
    </xf>
    <xf numFmtId="0" fontId="53" fillId="6" borderId="0" xfId="0" applyFont="1" applyFill="1" applyAlignment="1" applyProtection="1">
      <alignment vertical="center"/>
      <protection locked="0"/>
    </xf>
    <xf numFmtId="0" fontId="51" fillId="5" borderId="5" xfId="1" applyFont="1" applyFill="1" applyBorder="1" applyAlignment="1" applyProtection="1">
      <alignment horizontal="left" vertical="center"/>
      <protection locked="0"/>
    </xf>
    <xf numFmtId="0" fontId="68" fillId="0" borderId="32" xfId="0" applyFont="1" applyFill="1" applyBorder="1" applyAlignment="1" applyProtection="1">
      <alignment vertical="center"/>
      <protection locked="0"/>
    </xf>
    <xf numFmtId="0" fontId="159" fillId="0" borderId="0" xfId="11" applyFont="1" applyBorder="1" applyAlignment="1" applyProtection="1">
      <alignment vertical="center" wrapText="1"/>
    </xf>
    <xf numFmtId="0" fontId="135" fillId="0" borderId="78" xfId="0" applyFont="1" applyBorder="1" applyAlignment="1" applyProtection="1">
      <alignment horizontal="left" vertical="center"/>
    </xf>
    <xf numFmtId="0" fontId="159" fillId="0" borderId="78" xfId="11" applyFont="1" applyBorder="1" applyAlignment="1" applyProtection="1">
      <alignment horizontal="left" vertical="center" wrapText="1"/>
    </xf>
    <xf numFmtId="0" fontId="159" fillId="0" borderId="87" xfId="0" applyFont="1" applyBorder="1" applyProtection="1">
      <alignment vertical="center"/>
    </xf>
    <xf numFmtId="0" fontId="159" fillId="0" borderId="44" xfId="11" applyFont="1" applyBorder="1" applyAlignment="1" applyProtection="1">
      <alignment vertical="center" wrapText="1"/>
    </xf>
    <xf numFmtId="0" fontId="159" fillId="0" borderId="44" xfId="0" applyFont="1" applyBorder="1" applyAlignment="1" applyProtection="1">
      <alignment horizontal="left" vertical="center"/>
    </xf>
    <xf numFmtId="0" fontId="159" fillId="0" borderId="83" xfId="0" applyFont="1" applyBorder="1" applyProtection="1">
      <alignment vertical="center"/>
    </xf>
    <xf numFmtId="0" fontId="159" fillId="0" borderId="1" xfId="11" applyFont="1" applyBorder="1" applyAlignment="1" applyProtection="1">
      <alignment vertical="center" wrapText="1"/>
    </xf>
    <xf numFmtId="0" fontId="159" fillId="0" borderId="1" xfId="0" applyFont="1" applyBorder="1" applyAlignment="1" applyProtection="1">
      <alignment horizontal="left" vertical="center"/>
    </xf>
    <xf numFmtId="0" fontId="159" fillId="0" borderId="0" xfId="0" applyFont="1" applyBorder="1" applyProtection="1">
      <alignment vertical="center"/>
    </xf>
    <xf numFmtId="0" fontId="159" fillId="0" borderId="78" xfId="11" applyFont="1" applyBorder="1" applyAlignment="1" applyProtection="1">
      <alignment vertical="center" wrapText="1"/>
    </xf>
    <xf numFmtId="0" fontId="159" fillId="0" borderId="78" xfId="0" applyFont="1" applyBorder="1" applyAlignment="1" applyProtection="1">
      <alignment horizontal="left" vertical="center"/>
    </xf>
    <xf numFmtId="195" fontId="159" fillId="0" borderId="78" xfId="0" applyNumberFormat="1" applyFont="1" applyBorder="1" applyAlignment="1" applyProtection="1">
      <alignment horizontal="left" vertical="center"/>
    </xf>
    <xf numFmtId="0" fontId="159" fillId="0" borderId="2" xfId="11" applyFont="1" applyBorder="1" applyAlignment="1" applyProtection="1">
      <alignment vertical="center" wrapText="1"/>
    </xf>
    <xf numFmtId="14" fontId="159" fillId="0" borderId="2" xfId="0" applyNumberFormat="1" applyFont="1" applyBorder="1" applyAlignment="1" applyProtection="1">
      <alignment horizontal="left" vertical="center"/>
    </xf>
    <xf numFmtId="0" fontId="159" fillId="0" borderId="0" xfId="0" applyFont="1" applyProtection="1">
      <alignment vertical="center"/>
    </xf>
    <xf numFmtId="14" fontId="159" fillId="0" borderId="1" xfId="0" applyNumberFormat="1" applyFont="1" applyBorder="1" applyAlignment="1" applyProtection="1">
      <alignment horizontal="left" vertical="center"/>
    </xf>
    <xf numFmtId="0" fontId="159" fillId="0" borderId="0" xfId="0" applyFont="1" applyAlignment="1" applyProtection="1">
      <alignment horizontal="left" vertical="center"/>
    </xf>
    <xf numFmtId="0" fontId="64" fillId="6" borderId="1" xfId="8" applyFont="1" applyFill="1" applyBorder="1" applyAlignment="1" applyProtection="1">
      <alignment horizontal="center" vertical="center" wrapText="1"/>
    </xf>
    <xf numFmtId="0" fontId="64" fillId="0" borderId="1" xfId="8" applyFont="1" applyFill="1" applyBorder="1" applyAlignment="1" applyProtection="1">
      <alignment horizontal="center" vertical="center" wrapText="1"/>
      <protection locked="0"/>
    </xf>
    <xf numFmtId="0" fontId="59" fillId="6" borderId="1" xfId="8" applyFont="1" applyFill="1" applyBorder="1" applyAlignment="1" applyProtection="1">
      <alignment horizontal="center" vertical="center" wrapText="1"/>
      <protection locked="0"/>
    </xf>
    <xf numFmtId="180" fontId="59" fillId="6" borderId="1" xfId="8" applyNumberFormat="1" applyFont="1" applyFill="1" applyBorder="1" applyAlignment="1" applyProtection="1">
      <alignment horizontal="center" vertical="center" wrapText="1"/>
      <protection locked="0"/>
    </xf>
    <xf numFmtId="0" fontId="59" fillId="6" borderId="0" xfId="8" applyFont="1" applyFill="1" applyAlignment="1" applyProtection="1">
      <alignment vertical="center" wrapText="1"/>
      <protection locked="0"/>
    </xf>
    <xf numFmtId="0" fontId="59" fillId="6" borderId="0" xfId="8" applyFont="1" applyFill="1" applyAlignment="1" applyProtection="1">
      <alignment horizontal="center" vertical="center" wrapText="1"/>
      <protection locked="0"/>
    </xf>
    <xf numFmtId="0" fontId="59" fillId="7" borderId="0" xfId="8" applyFont="1" applyFill="1" applyAlignment="1" applyProtection="1">
      <alignment horizontal="center" vertical="center" wrapText="1"/>
    </xf>
    <xf numFmtId="0" fontId="59" fillId="0" borderId="0" xfId="8" applyFont="1" applyAlignment="1" applyProtection="1">
      <alignment horizontal="center" vertical="center" wrapText="1"/>
    </xf>
    <xf numFmtId="0" fontId="108" fillId="6" borderId="1" xfId="8" applyFont="1" applyFill="1" applyBorder="1" applyAlignment="1" applyProtection="1">
      <alignment horizontal="center" vertical="center"/>
    </xf>
    <xf numFmtId="187" fontId="108" fillId="6" borderId="1" xfId="8" applyNumberFormat="1" applyFont="1" applyFill="1" applyBorder="1" applyAlignment="1" applyProtection="1">
      <alignment horizontal="center" vertical="center"/>
    </xf>
    <xf numFmtId="178" fontId="123" fillId="6" borderId="1" xfId="8" applyNumberFormat="1" applyFont="1" applyFill="1" applyBorder="1" applyAlignment="1" applyProtection="1">
      <alignment horizontal="center" vertical="center"/>
    </xf>
    <xf numFmtId="188" fontId="123" fillId="6" borderId="1" xfId="8" applyNumberFormat="1" applyFont="1" applyFill="1" applyBorder="1" applyAlignment="1" applyProtection="1">
      <alignment horizontal="center" vertical="center" wrapText="1"/>
    </xf>
    <xf numFmtId="0" fontId="59" fillId="6" borderId="1" xfId="8" applyFont="1" applyFill="1" applyBorder="1" applyAlignment="1" applyProtection="1">
      <alignment horizontal="center" vertical="center" wrapText="1"/>
    </xf>
    <xf numFmtId="0" fontId="59" fillId="6" borderId="1" xfId="8" applyNumberFormat="1" applyFont="1" applyFill="1" applyBorder="1" applyAlignment="1" applyProtection="1">
      <alignment horizontal="center" vertical="center" wrapText="1"/>
    </xf>
    <xf numFmtId="0" fontId="108" fillId="6" borderId="1" xfId="8" applyFont="1" applyFill="1" applyBorder="1" applyAlignment="1" applyProtection="1">
      <alignment vertical="center" wrapText="1"/>
    </xf>
    <xf numFmtId="0" fontId="63" fillId="6" borderId="2" xfId="1" applyFont="1" applyFill="1" applyBorder="1" applyAlignment="1" applyProtection="1">
      <alignment vertical="center"/>
    </xf>
    <xf numFmtId="0" fontId="110" fillId="6" borderId="85" xfId="0" applyFont="1" applyFill="1" applyBorder="1" applyAlignment="1" applyProtection="1">
      <alignment vertical="center"/>
    </xf>
    <xf numFmtId="0" fontId="68" fillId="2" borderId="88" xfId="0" applyFont="1" applyFill="1" applyBorder="1" applyAlignment="1" applyProtection="1">
      <alignment horizontal="right" vertical="center"/>
      <protection locked="0"/>
    </xf>
    <xf numFmtId="0" fontId="68" fillId="6" borderId="87" xfId="0" applyFont="1" applyFill="1" applyBorder="1" applyAlignment="1" applyProtection="1">
      <alignment horizontal="center" vertical="center"/>
    </xf>
    <xf numFmtId="0" fontId="68" fillId="2"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0" fontId="71" fillId="6" borderId="88" xfId="0" applyFont="1" applyFill="1" applyBorder="1" applyAlignment="1" applyProtection="1">
      <alignment vertical="center"/>
      <protection locked="0"/>
    </xf>
    <xf numFmtId="190" fontId="68" fillId="6" borderId="88" xfId="0" applyNumberFormat="1" applyFont="1" applyFill="1" applyBorder="1" applyAlignment="1" applyProtection="1">
      <alignment horizontal="center" vertical="center"/>
      <protection locked="0"/>
    </xf>
    <xf numFmtId="182" fontId="68" fillId="6" borderId="88" xfId="0" applyNumberFormat="1" applyFont="1" applyFill="1" applyBorder="1" applyAlignment="1" applyProtection="1">
      <alignment vertical="center"/>
      <protection locked="0"/>
    </xf>
    <xf numFmtId="0" fontId="68" fillId="6" borderId="88" xfId="0" applyFont="1" applyFill="1" applyBorder="1" applyAlignment="1" applyProtection="1">
      <alignment horizontal="center" vertical="center"/>
      <protection locked="0"/>
    </xf>
    <xf numFmtId="0" fontId="68" fillId="6" borderId="104" xfId="0" applyFont="1" applyFill="1" applyBorder="1" applyAlignment="1" applyProtection="1">
      <alignment horizontal="center" vertical="center"/>
    </xf>
    <xf numFmtId="0" fontId="69" fillId="6" borderId="87" xfId="0" applyFont="1" applyFill="1" applyBorder="1" applyAlignment="1" applyProtection="1">
      <alignment horizontal="center" vertical="center"/>
    </xf>
    <xf numFmtId="0" fontId="69" fillId="0" borderId="87" xfId="0" applyFont="1" applyFill="1" applyBorder="1" applyAlignment="1" applyProtection="1">
      <alignment horizontal="center" vertical="center"/>
      <protection locked="0"/>
    </xf>
    <xf numFmtId="0" fontId="68" fillId="6" borderId="88" xfId="0" applyFont="1" applyFill="1" applyBorder="1" applyAlignment="1" applyProtection="1">
      <alignment vertical="center"/>
    </xf>
    <xf numFmtId="0" fontId="71" fillId="6" borderId="88" xfId="0" applyFont="1" applyFill="1" applyBorder="1" applyAlignment="1" applyProtection="1">
      <alignment vertical="center"/>
    </xf>
    <xf numFmtId="190" fontId="68" fillId="6" borderId="88" xfId="0" applyNumberFormat="1" applyFont="1" applyFill="1" applyBorder="1" applyAlignment="1" applyProtection="1">
      <alignment horizontal="center" vertical="center"/>
    </xf>
    <xf numFmtId="182" fontId="68" fillId="6" borderId="88" xfId="0" applyNumberFormat="1" applyFont="1" applyFill="1" applyBorder="1" applyAlignment="1" applyProtection="1">
      <alignment vertical="center"/>
    </xf>
    <xf numFmtId="0" fontId="68" fillId="6" borderId="88" xfId="0" applyFont="1" applyFill="1" applyBorder="1" applyAlignment="1" applyProtection="1">
      <alignment horizontal="center" vertical="center"/>
    </xf>
    <xf numFmtId="0" fontId="0" fillId="0" borderId="0" xfId="0" applyAlignment="1"/>
    <xf numFmtId="0" fontId="103" fillId="6" borderId="0" xfId="0" applyFont="1" applyFill="1" applyAlignment="1"/>
    <xf numFmtId="0" fontId="87" fillId="6" borderId="0" xfId="2" applyFont="1" applyFill="1"/>
    <xf numFmtId="0" fontId="22" fillId="6" borderId="0" xfId="2" applyFont="1" applyFill="1"/>
    <xf numFmtId="0" fontId="22" fillId="6" borderId="6" xfId="2" applyFont="1" applyFill="1" applyBorder="1"/>
    <xf numFmtId="0" fontId="133" fillId="6" borderId="9" xfId="2" applyFont="1" applyFill="1" applyBorder="1" applyAlignment="1">
      <alignment horizontal="center" vertical="center" wrapText="1"/>
    </xf>
    <xf numFmtId="0" fontId="22" fillId="6" borderId="10" xfId="2" applyFont="1" applyFill="1" applyBorder="1" applyAlignment="1">
      <alignment horizontal="center"/>
    </xf>
    <xf numFmtId="0" fontId="133" fillId="6" borderId="6" xfId="2" applyFont="1" applyFill="1" applyBorder="1" applyAlignment="1">
      <alignment horizontal="center" vertical="center" wrapText="1"/>
    </xf>
    <xf numFmtId="0" fontId="22" fillId="6" borderId="9" xfId="2" applyNumberFormat="1" applyFont="1" applyFill="1" applyBorder="1" applyAlignment="1">
      <alignment horizontal="center"/>
    </xf>
    <xf numFmtId="0" fontId="22" fillId="0" borderId="0" xfId="2" applyFont="1"/>
    <xf numFmtId="0" fontId="22" fillId="6" borderId="23" xfId="2" applyFont="1" applyFill="1" applyBorder="1"/>
    <xf numFmtId="0" fontId="133" fillId="6" borderId="1" xfId="2" applyFont="1" applyFill="1" applyBorder="1" applyAlignment="1">
      <alignment horizontal="center" vertical="center" wrapText="1"/>
    </xf>
    <xf numFmtId="0" fontId="22" fillId="6" borderId="24" xfId="2" applyFont="1" applyFill="1" applyBorder="1" applyAlignment="1">
      <alignment horizontal="center"/>
    </xf>
    <xf numFmtId="0" fontId="133" fillId="6" borderId="23" xfId="2" applyFont="1" applyFill="1" applyBorder="1" applyAlignment="1">
      <alignment horizontal="center" vertical="center" wrapText="1"/>
    </xf>
    <xf numFmtId="0" fontId="22" fillId="6" borderId="1" xfId="2" applyNumberFormat="1" applyFont="1" applyFill="1" applyBorder="1" applyAlignment="1">
      <alignment horizontal="center"/>
    </xf>
    <xf numFmtId="0" fontId="22" fillId="6" borderId="25" xfId="2" applyFont="1" applyFill="1" applyBorder="1"/>
    <xf numFmtId="0" fontId="133" fillId="6" borderId="32" xfId="2" applyFont="1" applyFill="1" applyBorder="1" applyAlignment="1">
      <alignment horizontal="center" vertical="center" wrapText="1"/>
    </xf>
    <xf numFmtId="0" fontId="22" fillId="6" borderId="49" xfId="2" applyFont="1" applyFill="1" applyBorder="1" applyAlignment="1">
      <alignment horizontal="center"/>
    </xf>
    <xf numFmtId="0" fontId="133" fillId="6" borderId="25" xfId="2" applyFont="1" applyFill="1" applyBorder="1" applyAlignment="1">
      <alignment horizontal="center" vertical="center" wrapText="1"/>
    </xf>
    <xf numFmtId="0" fontId="22" fillId="6" borderId="32" xfId="2" applyNumberFormat="1" applyFont="1" applyFill="1" applyBorder="1" applyAlignment="1">
      <alignment horizontal="center"/>
    </xf>
    <xf numFmtId="0" fontId="22" fillId="6" borderId="0" xfId="2" applyNumberFormat="1" applyFont="1" applyFill="1" applyAlignment="1">
      <alignment horizontal="center"/>
    </xf>
    <xf numFmtId="0" fontId="22" fillId="6" borderId="0" xfId="2" applyFont="1" applyFill="1" applyAlignment="1">
      <alignment horizontal="right"/>
    </xf>
    <xf numFmtId="14" fontId="22" fillId="6" borderId="0" xfId="2" applyNumberFormat="1" applyFont="1" applyFill="1" applyAlignment="1">
      <alignment horizontal="center"/>
    </xf>
    <xf numFmtId="0" fontId="164" fillId="6" borderId="0" xfId="2" applyNumberFormat="1" applyFont="1" applyFill="1" applyAlignment="1">
      <alignment horizontal="center"/>
    </xf>
    <xf numFmtId="0" fontId="165" fillId="6" borderId="0" xfId="2" applyFont="1" applyFill="1" applyAlignment="1">
      <alignment horizontal="left"/>
    </xf>
    <xf numFmtId="14" fontId="164" fillId="6" borderId="0" xfId="2" applyNumberFormat="1" applyFont="1" applyFill="1" applyAlignment="1">
      <alignment horizontal="center"/>
    </xf>
    <xf numFmtId="0" fontId="164" fillId="6" borderId="0" xfId="2" applyFont="1" applyFill="1"/>
    <xf numFmtId="0" fontId="164" fillId="0" borderId="0" xfId="2" applyFont="1"/>
    <xf numFmtId="0" fontId="164" fillId="0" borderId="0" xfId="0" applyFont="1" applyAlignment="1"/>
    <xf numFmtId="0" fontId="166" fillId="6" borderId="0" xfId="2" applyFont="1" applyFill="1"/>
    <xf numFmtId="0" fontId="167" fillId="6" borderId="0" xfId="2" applyFont="1" applyFill="1"/>
    <xf numFmtId="0" fontId="166" fillId="0" borderId="0" xfId="2" applyFont="1"/>
    <xf numFmtId="0" fontId="133" fillId="6" borderId="0" xfId="2" applyFont="1" applyFill="1" applyAlignment="1"/>
    <xf numFmtId="0" fontId="148" fillId="6" borderId="13" xfId="2" applyFont="1" applyFill="1" applyBorder="1" applyAlignment="1">
      <alignment horizontal="center" vertical="center"/>
    </xf>
    <xf numFmtId="0" fontId="148" fillId="6" borderId="13" xfId="2" applyFont="1" applyFill="1" applyBorder="1" applyAlignment="1">
      <alignment vertical="center"/>
    </xf>
    <xf numFmtId="0" fontId="148" fillId="6" borderId="5" xfId="2" applyFont="1" applyFill="1" applyBorder="1" applyAlignment="1">
      <alignment vertical="center"/>
    </xf>
    <xf numFmtId="0" fontId="148" fillId="6" borderId="3" xfId="2" applyFont="1" applyFill="1" applyBorder="1" applyAlignment="1">
      <alignment vertical="center"/>
    </xf>
    <xf numFmtId="0" fontId="148" fillId="6" borderId="54" xfId="2" applyFont="1" applyFill="1" applyBorder="1" applyAlignment="1">
      <alignment vertical="center"/>
    </xf>
    <xf numFmtId="0" fontId="133" fillId="0" borderId="0" xfId="2" applyFont="1" applyAlignment="1"/>
    <xf numFmtId="0" fontId="133" fillId="6" borderId="0" xfId="2" applyFont="1" applyFill="1"/>
    <xf numFmtId="0" fontId="148" fillId="6" borderId="2" xfId="2" applyFont="1" applyFill="1" applyBorder="1" applyAlignment="1">
      <alignment horizontal="center" vertical="center" wrapText="1"/>
    </xf>
    <xf numFmtId="0" fontId="148" fillId="6" borderId="2" xfId="2" applyFont="1" applyFill="1" applyBorder="1" applyAlignment="1">
      <alignment vertical="center" wrapText="1"/>
    </xf>
    <xf numFmtId="0" fontId="22" fillId="6" borderId="1" xfId="2" applyFont="1" applyFill="1" applyBorder="1"/>
    <xf numFmtId="0" fontId="148" fillId="6" borderId="1" xfId="2" applyFont="1" applyFill="1" applyBorder="1" applyAlignment="1">
      <alignment horizontal="center" vertical="center" wrapText="1"/>
    </xf>
    <xf numFmtId="0" fontId="133" fillId="0" borderId="0" xfId="2" applyFont="1"/>
    <xf numFmtId="0" fontId="169" fillId="6" borderId="0" xfId="2" applyFont="1" applyFill="1" applyAlignment="1">
      <alignment vertical="center"/>
    </xf>
    <xf numFmtId="0" fontId="169" fillId="6" borderId="1" xfId="2" applyFont="1" applyFill="1" applyBorder="1" applyAlignment="1">
      <alignment horizontal="left" vertical="center" wrapText="1"/>
    </xf>
    <xf numFmtId="197" fontId="169" fillId="6" borderId="1" xfId="2" applyNumberFormat="1" applyFont="1" applyFill="1" applyBorder="1" applyAlignment="1">
      <alignment horizontal="center" vertical="center" wrapText="1"/>
    </xf>
    <xf numFmtId="0" fontId="169" fillId="6" borderId="1" xfId="2" applyFont="1" applyFill="1" applyBorder="1" applyAlignment="1">
      <alignment horizontal="center" vertical="center" wrapText="1"/>
    </xf>
    <xf numFmtId="14" fontId="169" fillId="6" borderId="1" xfId="2" applyNumberFormat="1" applyFont="1" applyFill="1" applyBorder="1" applyAlignment="1">
      <alignment horizontal="center" vertical="center" wrapText="1"/>
    </xf>
    <xf numFmtId="0" fontId="169" fillId="5" borderId="0" xfId="2" applyFont="1" applyFill="1" applyAlignment="1">
      <alignment vertical="center"/>
    </xf>
    <xf numFmtId="0" fontId="170" fillId="0" borderId="0" xfId="0" applyFont="1" applyAlignment="1"/>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80" fontId="171" fillId="6" borderId="1" xfId="2" applyNumberFormat="1" applyFont="1" applyFill="1" applyBorder="1" applyAlignment="1">
      <alignment horizontal="center"/>
    </xf>
    <xf numFmtId="14" fontId="141" fillId="6" borderId="1" xfId="2" applyNumberFormat="1" applyFont="1" applyFill="1" applyBorder="1" applyAlignment="1">
      <alignment horizontal="center" wrapText="1"/>
    </xf>
    <xf numFmtId="0"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0" fontId="150" fillId="6" borderId="87" xfId="2" applyFont="1" applyFill="1" applyBorder="1"/>
    <xf numFmtId="14" fontId="150" fillId="6" borderId="78" xfId="2" applyNumberFormat="1" applyFont="1" applyFill="1" applyBorder="1" applyAlignment="1" applyProtection="1">
      <alignment horizontal="center"/>
    </xf>
    <xf numFmtId="0" fontId="150" fillId="6" borderId="78" xfId="2" applyFont="1" applyFill="1" applyBorder="1" applyAlignment="1" applyProtection="1">
      <alignment horizontal="center"/>
    </xf>
    <xf numFmtId="10" fontId="150" fillId="6" borderId="78" xfId="2" applyNumberFormat="1" applyFont="1" applyFill="1" applyBorder="1" applyAlignment="1">
      <alignment horizontal="center"/>
    </xf>
    <xf numFmtId="0" fontId="150" fillId="0" borderId="87" xfId="2" applyFont="1" applyBorder="1"/>
    <xf numFmtId="0" fontId="117" fillId="0" borderId="87" xfId="0" applyFont="1" applyBorder="1" applyAlignment="1"/>
    <xf numFmtId="0" fontId="117" fillId="0" borderId="0" xfId="0" applyFont="1" applyAlignment="1"/>
    <xf numFmtId="0" fontId="148" fillId="6" borderId="78" xfId="2" applyFont="1" applyFill="1" applyBorder="1" applyAlignment="1">
      <alignment horizontal="center"/>
    </xf>
    <xf numFmtId="178" fontId="148" fillId="6" borderId="87" xfId="2" applyNumberFormat="1" applyFont="1" applyFill="1" applyBorder="1" applyAlignment="1">
      <alignment horizontal="center"/>
    </xf>
    <xf numFmtId="0" fontId="129" fillId="0" borderId="1" xfId="5" applyFont="1" applyFill="1" applyBorder="1">
      <alignment vertical="center"/>
    </xf>
    <xf numFmtId="0" fontId="129" fillId="0" borderId="1" xfId="5" applyFont="1" applyFill="1" applyBorder="1" applyAlignment="1">
      <alignment horizontal="left" vertical="center"/>
    </xf>
    <xf numFmtId="0" fontId="108" fillId="0" borderId="1"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left" vertical="center" wrapText="1"/>
      <protection locked="0"/>
    </xf>
    <xf numFmtId="0" fontId="108" fillId="0" borderId="5" xfId="0" applyNumberFormat="1" applyFont="1" applyFill="1" applyBorder="1" applyAlignment="1" applyProtection="1">
      <alignment horizontal="center" vertical="center" wrapText="1"/>
      <protection locked="0"/>
    </xf>
    <xf numFmtId="0" fontId="108" fillId="0" borderId="48" xfId="0" applyNumberFormat="1" applyFont="1" applyFill="1" applyBorder="1" applyAlignment="1" applyProtection="1">
      <alignment horizontal="center" vertical="center" wrapText="1"/>
      <protection locked="0"/>
    </xf>
    <xf numFmtId="0" fontId="108" fillId="0" borderId="13" xfId="0" applyNumberFormat="1" applyFont="1" applyFill="1" applyBorder="1" applyAlignment="1" applyProtection="1">
      <alignment horizontal="center" vertical="center" wrapText="1"/>
      <protection locked="0"/>
    </xf>
    <xf numFmtId="0" fontId="108" fillId="0" borderId="46" xfId="0" applyNumberFormat="1" applyFont="1" applyFill="1" applyBorder="1" applyAlignment="1" applyProtection="1">
      <alignment horizontal="center" vertical="center" wrapText="1"/>
      <protection locked="0"/>
    </xf>
    <xf numFmtId="0" fontId="108" fillId="0" borderId="59"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left" vertical="center" wrapText="1"/>
      <protection locked="0"/>
    </xf>
    <xf numFmtId="0" fontId="108" fillId="0" borderId="112" xfId="0" applyNumberFormat="1" applyFont="1" applyFill="1" applyBorder="1" applyAlignment="1" applyProtection="1">
      <alignment horizontal="center" vertical="center" wrapText="1"/>
      <protection locked="0"/>
    </xf>
    <xf numFmtId="0" fontId="108" fillId="0" borderId="113" xfId="0" applyNumberFormat="1" applyFont="1" applyFill="1" applyBorder="1" applyAlignment="1" applyProtection="1">
      <alignment horizontal="center" vertical="center" wrapText="1"/>
      <protection locked="0"/>
    </xf>
    <xf numFmtId="0" fontId="108" fillId="6" borderId="99" xfId="0" applyNumberFormat="1" applyFont="1" applyFill="1" applyBorder="1" applyAlignment="1" applyProtection="1">
      <alignment horizontal="center" vertical="center" wrapText="1"/>
    </xf>
    <xf numFmtId="0" fontId="108" fillId="0" borderId="2"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108" fillId="0" borderId="58" xfId="0" applyFont="1" applyFill="1" applyBorder="1" applyAlignment="1" applyProtection="1">
      <alignment horizontal="center" vertical="center"/>
      <protection locked="0"/>
    </xf>
    <xf numFmtId="0"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wrapText="1"/>
      <protection locked="0"/>
    </xf>
    <xf numFmtId="9"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protection locked="0"/>
    </xf>
    <xf numFmtId="0" fontId="108" fillId="0" borderId="56" xfId="0" applyFont="1" applyFill="1" applyBorder="1" applyAlignment="1" applyProtection="1">
      <alignment horizontal="center" vertical="center"/>
      <protection locked="0"/>
    </xf>
    <xf numFmtId="0" fontId="108" fillId="0" borderId="2" xfId="0" applyNumberFormat="1" applyFont="1" applyFill="1" applyBorder="1" applyAlignment="1" applyProtection="1">
      <alignment horizontal="left" vertical="center" wrapText="1"/>
      <protection locked="0"/>
    </xf>
    <xf numFmtId="0" fontId="108" fillId="6" borderId="13" xfId="0" applyNumberFormat="1" applyFont="1" applyFill="1" applyBorder="1" applyAlignment="1" applyProtection="1">
      <alignment horizontal="center" vertical="center" wrapText="1"/>
    </xf>
    <xf numFmtId="0" fontId="108" fillId="14" borderId="0" xfId="9" applyFont="1" applyFill="1" applyAlignment="1">
      <alignment horizontal="center" vertical="center"/>
    </xf>
    <xf numFmtId="10" fontId="108" fillId="5" borderId="0" xfId="9" applyNumberFormat="1" applyFont="1" applyFill="1" applyAlignment="1">
      <alignment horizontal="center" vertical="center"/>
    </xf>
    <xf numFmtId="0" fontId="60" fillId="6" borderId="1" xfId="0" applyNumberFormat="1" applyFont="1" applyFill="1" applyBorder="1" applyAlignment="1" applyProtection="1">
      <alignment horizontal="right" vertical="center"/>
    </xf>
    <xf numFmtId="49" fontId="59" fillId="14" borderId="1" xfId="9" applyNumberFormat="1" applyFont="1" applyFill="1" applyBorder="1" applyAlignment="1" applyProtection="1">
      <alignment horizontal="center" vertical="center" wrapText="1"/>
    </xf>
    <xf numFmtId="0" fontId="155" fillId="14" borderId="127" xfId="9" applyFont="1" applyFill="1" applyBorder="1" applyAlignment="1" applyProtection="1">
      <alignment horizontal="center" vertical="center" wrapText="1"/>
    </xf>
    <xf numFmtId="0" fontId="111" fillId="14" borderId="0" xfId="9" applyFont="1" applyFill="1">
      <alignment vertical="center"/>
    </xf>
    <xf numFmtId="0" fontId="111" fillId="14" borderId="0" xfId="9" applyFont="1" applyFill="1" applyAlignment="1">
      <alignment horizontal="center" vertical="center"/>
    </xf>
    <xf numFmtId="0" fontId="111" fillId="14" borderId="122" xfId="9" applyFont="1" applyFill="1" applyBorder="1" applyAlignment="1">
      <alignment horizontal="center" vertical="center"/>
    </xf>
    <xf numFmtId="0" fontId="64" fillId="6" borderId="10" xfId="0" applyFont="1" applyFill="1" applyBorder="1" applyAlignment="1" applyProtection="1">
      <alignment horizontal="center" vertical="center" wrapText="1"/>
    </xf>
    <xf numFmtId="0" fontId="64" fillId="6" borderId="49" xfId="0" applyFont="1" applyFill="1" applyBorder="1" applyAlignment="1" applyProtection="1">
      <alignment horizontal="center" vertical="center" wrapText="1"/>
    </xf>
    <xf numFmtId="0" fontId="53" fillId="0" borderId="24" xfId="0" applyFont="1" applyBorder="1" applyProtection="1">
      <alignment vertical="center"/>
      <protection locked="0"/>
    </xf>
    <xf numFmtId="0" fontId="172" fillId="0" borderId="0" xfId="0" applyFont="1">
      <alignment vertical="center"/>
    </xf>
    <xf numFmtId="0" fontId="173" fillId="0" borderId="0" xfId="12"/>
    <xf numFmtId="0" fontId="102" fillId="6" borderId="1" xfId="12" applyFont="1" applyFill="1" applyBorder="1"/>
    <xf numFmtId="0" fontId="173" fillId="0" borderId="0" xfId="12" applyBorder="1"/>
    <xf numFmtId="0" fontId="174" fillId="6" borderId="13" xfId="12" applyFont="1" applyFill="1" applyBorder="1" applyAlignment="1">
      <alignment horizontal="center" vertical="center" wrapText="1"/>
    </xf>
    <xf numFmtId="0" fontId="174" fillId="0" borderId="0" xfId="12" applyFont="1" applyBorder="1" applyAlignment="1">
      <alignment horizontal="left" vertical="center" wrapText="1"/>
    </xf>
    <xf numFmtId="0" fontId="174" fillId="6" borderId="1" xfId="12" applyFont="1" applyFill="1" applyBorder="1" applyAlignment="1">
      <alignment horizontal="center" vertical="center" wrapText="1"/>
    </xf>
    <xf numFmtId="14" fontId="174" fillId="6" borderId="1" xfId="12" applyNumberFormat="1" applyFont="1" applyFill="1" applyBorder="1" applyAlignment="1">
      <alignment horizontal="center" vertical="center" wrapText="1"/>
    </xf>
    <xf numFmtId="0" fontId="174" fillId="13" borderId="1" xfId="12" applyFont="1" applyFill="1" applyBorder="1" applyAlignment="1" applyProtection="1">
      <alignment horizontal="center" vertical="center" wrapText="1"/>
      <protection locked="0"/>
    </xf>
    <xf numFmtId="0" fontId="173" fillId="0" borderId="1" xfId="12" applyBorder="1" applyProtection="1">
      <protection locked="0"/>
    </xf>
    <xf numFmtId="0" fontId="174" fillId="0" borderId="1" xfId="12" applyFont="1" applyBorder="1" applyAlignment="1" applyProtection="1">
      <alignment horizontal="left" vertical="center" wrapText="1"/>
      <protection locked="0"/>
    </xf>
    <xf numFmtId="0" fontId="173" fillId="6" borderId="1" xfId="12" applyFill="1" applyBorder="1" applyAlignment="1">
      <alignment vertical="center"/>
    </xf>
    <xf numFmtId="0" fontId="178" fillId="6" borderId="1" xfId="0" applyFont="1" applyFill="1" applyBorder="1" applyAlignment="1">
      <alignment horizontal="left" vertical="center" wrapText="1"/>
    </xf>
    <xf numFmtId="182" fontId="53" fillId="6" borderId="0" xfId="0" applyNumberFormat="1" applyFont="1" applyFill="1" applyProtection="1">
      <alignment vertical="center"/>
    </xf>
    <xf numFmtId="0" fontId="115" fillId="6" borderId="1" xfId="0" applyFont="1" applyFill="1" applyBorder="1" applyAlignment="1" applyProtection="1">
      <alignment horizontal="center" vertical="center" wrapText="1"/>
    </xf>
    <xf numFmtId="10" fontId="115" fillId="6" borderId="1" xfId="0" applyNumberFormat="1" applyFont="1" applyFill="1" applyBorder="1" applyAlignment="1" applyProtection="1">
      <alignment horizontal="center" vertical="center"/>
    </xf>
    <xf numFmtId="9" fontId="115" fillId="6" borderId="1" xfId="0" applyNumberFormat="1" applyFont="1" applyFill="1" applyBorder="1" applyAlignment="1" applyProtection="1">
      <alignment horizontal="center" vertical="center"/>
    </xf>
    <xf numFmtId="0" fontId="115" fillId="6" borderId="13" xfId="0" applyFont="1" applyFill="1" applyBorder="1" applyAlignment="1" applyProtection="1">
      <alignment horizontal="center" vertical="center" wrapText="1"/>
    </xf>
    <xf numFmtId="9" fontId="115" fillId="6" borderId="13" xfId="0" applyNumberFormat="1" applyFont="1" applyFill="1" applyBorder="1" applyAlignment="1" applyProtection="1">
      <alignment horizontal="center" vertical="center"/>
    </xf>
    <xf numFmtId="0" fontId="115" fillId="6" borderId="46" xfId="0" applyFont="1" applyFill="1" applyBorder="1" applyAlignment="1" applyProtection="1">
      <alignment vertical="center" wrapText="1"/>
    </xf>
    <xf numFmtId="0" fontId="115" fillId="6" borderId="36" xfId="0" applyFont="1" applyFill="1" applyBorder="1" applyAlignment="1" applyProtection="1">
      <alignment horizontal="center" vertical="center" wrapText="1"/>
    </xf>
    <xf numFmtId="0" fontId="115" fillId="6" borderId="5" xfId="0" applyFont="1" applyFill="1" applyBorder="1" applyAlignment="1" applyProtection="1">
      <alignment vertical="center" wrapText="1"/>
    </xf>
    <xf numFmtId="0" fontId="115" fillId="6" borderId="58" xfId="0" applyFont="1" applyFill="1" applyBorder="1" applyAlignment="1" applyProtection="1">
      <alignment vertical="center" wrapText="1"/>
    </xf>
    <xf numFmtId="0" fontId="115" fillId="6" borderId="0" xfId="0" applyFont="1" applyFill="1" applyBorder="1" applyAlignment="1" applyProtection="1">
      <alignment horizontal="center" vertical="center" wrapText="1"/>
    </xf>
    <xf numFmtId="0" fontId="115" fillId="6" borderId="4" xfId="0" applyFont="1" applyFill="1" applyBorder="1" applyAlignment="1" applyProtection="1">
      <alignment vertical="center" wrapText="1"/>
    </xf>
    <xf numFmtId="0" fontId="115" fillId="6" borderId="60" xfId="0" applyFont="1" applyFill="1" applyBorder="1" applyAlignment="1" applyProtection="1">
      <alignment horizontal="center" vertical="center" wrapText="1"/>
    </xf>
    <xf numFmtId="0" fontId="108" fillId="6" borderId="0" xfId="0" applyFont="1" applyFill="1" applyAlignment="1" applyProtection="1">
      <alignment vertical="center"/>
      <protection locked="0"/>
    </xf>
    <xf numFmtId="0" fontId="107" fillId="6" borderId="0" xfId="0" applyFont="1" applyFill="1" applyAlignment="1" applyProtection="1">
      <alignment horizontal="left" vertical="center"/>
      <protection locked="0"/>
    </xf>
    <xf numFmtId="9" fontId="180" fillId="0" borderId="1" xfId="0" applyNumberFormat="1" applyFont="1" applyFill="1" applyBorder="1" applyAlignment="1">
      <alignment horizontal="center" vertical="center"/>
    </xf>
    <xf numFmtId="0" fontId="107" fillId="6" borderId="9" xfId="0" applyNumberFormat="1" applyFont="1" applyFill="1" applyBorder="1" applyAlignment="1" applyProtection="1">
      <alignment horizontal="center" vertical="center" wrapText="1"/>
    </xf>
    <xf numFmtId="0" fontId="107" fillId="6" borderId="10" xfId="0" applyNumberFormat="1" applyFont="1" applyFill="1" applyBorder="1" applyAlignment="1" applyProtection="1">
      <alignment horizontal="center" vertical="center" wrapText="1"/>
    </xf>
    <xf numFmtId="10" fontId="59" fillId="6" borderId="17" xfId="0" applyNumberFormat="1" applyFont="1" applyFill="1" applyBorder="1" applyAlignment="1" applyProtection="1">
      <alignment horizontal="center" vertical="center" wrapText="1"/>
    </xf>
    <xf numFmtId="0" fontId="183" fillId="0" borderId="109" xfId="0" applyNumberFormat="1" applyFont="1" applyFill="1" applyBorder="1" applyAlignment="1" applyProtection="1">
      <alignment horizontal="center" vertical="center" wrapText="1"/>
      <protection locked="0"/>
    </xf>
    <xf numFmtId="0" fontId="183" fillId="0" borderId="18" xfId="0" applyNumberFormat="1" applyFont="1" applyFill="1" applyBorder="1" applyAlignment="1" applyProtection="1">
      <alignment horizontal="center" vertical="center" wrapText="1"/>
      <protection locked="0"/>
    </xf>
    <xf numFmtId="0" fontId="50" fillId="6" borderId="0" xfId="0" applyFont="1" applyFill="1" applyAlignment="1" applyProtection="1">
      <alignment horizontal="left" vertical="center"/>
      <protection locked="0"/>
    </xf>
    <xf numFmtId="178" fontId="123" fillId="0" borderId="1" xfId="8" applyNumberFormat="1" applyFont="1" applyFill="1" applyBorder="1" applyAlignment="1" applyProtection="1">
      <alignment horizontal="center" vertical="center"/>
      <protection locked="0"/>
    </xf>
    <xf numFmtId="0" fontId="123" fillId="6" borderId="24" xfId="0" applyFont="1" applyFill="1" applyBorder="1" applyAlignment="1" applyProtection="1">
      <alignment horizontal="left" vertical="center"/>
    </xf>
    <xf numFmtId="0" fontId="187" fillId="0" borderId="1" xfId="0" applyFont="1" applyBorder="1" applyAlignment="1">
      <alignment horizontal="right" vertical="center"/>
    </xf>
    <xf numFmtId="0" fontId="187" fillId="0" borderId="1" xfId="0" applyFont="1" applyBorder="1" applyAlignment="1">
      <alignment horizontal="left" vertical="center" wrapText="1"/>
    </xf>
    <xf numFmtId="0" fontId="187" fillId="0" borderId="1" xfId="0" applyFont="1" applyBorder="1" applyAlignment="1">
      <alignment vertical="center"/>
    </xf>
    <xf numFmtId="0" fontId="187" fillId="0" borderId="1" xfId="0" applyFont="1" applyBorder="1" applyAlignment="1">
      <alignment horizontal="center" vertical="center"/>
    </xf>
    <xf numFmtId="0" fontId="187" fillId="0" borderId="1" xfId="0" applyFont="1" applyBorder="1" applyAlignment="1">
      <alignment vertical="center" wrapText="1"/>
    </xf>
    <xf numFmtId="0" fontId="187" fillId="0" borderId="5" xfId="0" applyFont="1" applyBorder="1" applyAlignment="1">
      <alignment vertical="center"/>
    </xf>
    <xf numFmtId="0" fontId="187" fillId="0" borderId="54" xfId="0" applyFont="1" applyBorder="1" applyAlignment="1">
      <alignment vertical="center"/>
    </xf>
    <xf numFmtId="0" fontId="187" fillId="0" borderId="3" xfId="0" applyFont="1" applyBorder="1" applyAlignment="1">
      <alignment vertical="center"/>
    </xf>
    <xf numFmtId="0" fontId="184" fillId="0" borderId="0" xfId="0" applyFont="1" applyAlignment="1">
      <alignment vertical="center"/>
    </xf>
    <xf numFmtId="0" fontId="185" fillId="0" borderId="0" xfId="0" applyFont="1" applyAlignment="1">
      <alignment vertical="center"/>
    </xf>
    <xf numFmtId="0" fontId="186" fillId="0" borderId="0" xfId="0" applyFont="1" applyAlignment="1">
      <alignment vertical="center"/>
    </xf>
    <xf numFmtId="0" fontId="178" fillId="0" borderId="1" xfId="0" applyFont="1" applyBorder="1" applyAlignment="1">
      <alignment horizontal="right" vertical="center" wrapText="1"/>
    </xf>
    <xf numFmtId="0" fontId="108" fillId="0" borderId="1" xfId="0" applyFont="1" applyBorder="1" applyAlignment="1">
      <alignment horizontal="right" vertical="center"/>
    </xf>
    <xf numFmtId="0" fontId="188" fillId="6" borderId="32" xfId="0" applyFont="1" applyFill="1" applyBorder="1" applyAlignment="1" applyProtection="1">
      <alignment horizontal="center" vertical="center"/>
    </xf>
    <xf numFmtId="0" fontId="108" fillId="0" borderId="0" xfId="9" applyFont="1" applyFill="1" applyAlignment="1">
      <alignment horizontal="center" vertical="center"/>
    </xf>
    <xf numFmtId="10" fontId="108" fillId="0" borderId="0" xfId="9" applyNumberFormat="1" applyFont="1" applyFill="1" applyAlignment="1">
      <alignment horizontal="center" vertical="center"/>
    </xf>
    <xf numFmtId="0" fontId="108" fillId="0" borderId="0" xfId="9" applyFont="1" applyFill="1">
      <alignment vertical="center"/>
    </xf>
    <xf numFmtId="187" fontId="156" fillId="14" borderId="0" xfId="9" applyNumberFormat="1" applyFont="1" applyFill="1" applyAlignment="1">
      <alignment horizontal="center" vertical="center"/>
    </xf>
    <xf numFmtId="0" fontId="53" fillId="6" borderId="19" xfId="0" applyFont="1" applyFill="1" applyBorder="1" applyAlignment="1" applyProtection="1">
      <alignment horizontal="center" vertical="center"/>
      <protection locked="0"/>
    </xf>
    <xf numFmtId="0" fontId="53" fillId="5" borderId="66" xfId="0" applyFont="1" applyFill="1" applyBorder="1" applyAlignment="1" applyProtection="1">
      <alignment horizontal="center" vertical="center"/>
      <protection locked="0"/>
    </xf>
    <xf numFmtId="0" fontId="53"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0" fillId="0" borderId="1" xfId="0" applyFont="1" applyBorder="1" applyAlignment="1" applyProtection="1">
      <alignment horizontal="center" vertical="center"/>
      <protection locked="0"/>
    </xf>
    <xf numFmtId="0" fontId="53" fillId="6" borderId="48" xfId="0" applyFont="1" applyFill="1" applyBorder="1" applyAlignment="1" applyProtection="1">
      <alignment horizontal="left" vertical="center" wrapText="1"/>
    </xf>
    <xf numFmtId="0" fontId="53" fillId="6" borderId="3"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5"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9" fillId="6" borderId="3" xfId="8" applyFont="1" applyFill="1" applyBorder="1" applyAlignment="1" applyProtection="1">
      <alignment horizontal="center" vertical="center" wrapText="1"/>
      <protection locked="0"/>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3" xfId="0" applyFont="1" applyFill="1" applyBorder="1" applyAlignment="1" applyProtection="1">
      <alignment horizontal="center" vertical="center"/>
    </xf>
    <xf numFmtId="0" fontId="64" fillId="5" borderId="0" xfId="0" applyFont="1" applyFill="1" applyAlignment="1" applyProtection="1">
      <alignment horizontal="right" vertical="center"/>
      <protection locked="0"/>
    </xf>
    <xf numFmtId="49" fontId="64" fillId="6" borderId="0" xfId="0" applyNumberFormat="1" applyFont="1" applyFill="1" applyBorder="1" applyAlignment="1" applyProtection="1">
      <alignment horizontal="center"/>
    </xf>
    <xf numFmtId="0" fontId="59" fillId="6" borderId="13" xfId="0" applyFont="1" applyFill="1" applyBorder="1" applyAlignment="1" applyProtection="1">
      <alignment vertical="center"/>
    </xf>
    <xf numFmtId="0" fontId="53" fillId="6" borderId="22" xfId="0" applyFont="1" applyFill="1" applyBorder="1" applyAlignment="1" applyProtection="1">
      <alignment vertical="center" wrapText="1"/>
    </xf>
    <xf numFmtId="0" fontId="53" fillId="6" borderId="22" xfId="0" applyFont="1" applyFill="1" applyBorder="1" applyAlignment="1" applyProtection="1">
      <alignment vertical="center"/>
    </xf>
    <xf numFmtId="0" fontId="190" fillId="6" borderId="1" xfId="0" applyFont="1" applyFill="1" applyBorder="1" applyAlignment="1" applyProtection="1">
      <alignment horizontal="right" vertical="center" wrapText="1"/>
    </xf>
    <xf numFmtId="0" fontId="123" fillId="6" borderId="15" xfId="0" applyFont="1" applyFill="1" applyBorder="1" applyAlignment="1" applyProtection="1">
      <alignment vertical="center"/>
    </xf>
    <xf numFmtId="0" fontId="53" fillId="6" borderId="119" xfId="0" applyFont="1" applyFill="1" applyBorder="1" applyAlignment="1" applyProtection="1">
      <alignment vertical="center" wrapText="1"/>
    </xf>
    <xf numFmtId="0" fontId="53" fillId="2" borderId="1" xfId="0" applyFont="1" applyFill="1" applyBorder="1" applyAlignment="1" applyProtection="1">
      <alignment horizontal="left" vertical="center" wrapText="1"/>
      <protection locked="0"/>
    </xf>
    <xf numFmtId="0" fontId="58" fillId="6" borderId="46" xfId="0" applyFont="1" applyFill="1" applyBorder="1" applyAlignment="1" applyProtection="1">
      <alignment vertical="center" wrapText="1"/>
      <protection locked="0"/>
    </xf>
    <xf numFmtId="0" fontId="53" fillId="6" borderId="1" xfId="0" applyFont="1" applyFill="1" applyBorder="1" applyAlignment="1" applyProtection="1">
      <protection locked="0"/>
    </xf>
    <xf numFmtId="0" fontId="53" fillId="6" borderId="3" xfId="0" applyFont="1" applyFill="1" applyBorder="1" applyAlignment="1" applyProtection="1">
      <alignment vertical="center" wrapText="1"/>
    </xf>
    <xf numFmtId="0" fontId="53" fillId="6" borderId="36" xfId="0" applyFont="1" applyFill="1" applyBorder="1" applyAlignment="1" applyProtection="1">
      <alignment horizontal="left" vertical="center"/>
    </xf>
    <xf numFmtId="49" fontId="70" fillId="6" borderId="60" xfId="0" applyNumberFormat="1" applyFont="1" applyFill="1" applyBorder="1" applyAlignment="1" applyProtection="1"/>
    <xf numFmtId="0" fontId="83" fillId="6" borderId="13" xfId="0" applyFont="1" applyFill="1" applyBorder="1" applyAlignment="1" applyProtection="1">
      <alignment vertical="center"/>
    </xf>
    <xf numFmtId="0" fontId="83" fillId="6" borderId="22" xfId="0" applyFont="1" applyFill="1" applyBorder="1" applyAlignment="1" applyProtection="1">
      <alignment vertical="center"/>
    </xf>
    <xf numFmtId="178" fontId="63" fillId="6" borderId="60" xfId="0" applyNumberFormat="1" applyFont="1" applyFill="1" applyBorder="1" applyAlignment="1" applyProtection="1"/>
    <xf numFmtId="49" fontId="63" fillId="2" borderId="27" xfId="0" applyNumberFormat="1" applyFont="1" applyFill="1" applyBorder="1" applyAlignment="1" applyProtection="1">
      <alignment horizontal="right"/>
      <protection locked="0"/>
    </xf>
    <xf numFmtId="0" fontId="59" fillId="6" borderId="0" xfId="0" applyFont="1" applyFill="1" applyAlignment="1" applyProtection="1">
      <alignment horizontal="center" vertical="center"/>
    </xf>
    <xf numFmtId="0" fontId="59"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xf>
    <xf numFmtId="0" fontId="59" fillId="7" borderId="0" xfId="0" applyFont="1" applyFill="1" applyAlignment="1" applyProtection="1">
      <alignment vertical="center"/>
      <protection locked="0"/>
    </xf>
    <xf numFmtId="0" fontId="60" fillId="6" borderId="1" xfId="1" applyFont="1" applyFill="1" applyBorder="1" applyAlignment="1" applyProtection="1">
      <alignment vertical="center"/>
    </xf>
    <xf numFmtId="0" fontId="58" fillId="6" borderId="1" xfId="0" applyFont="1" applyFill="1" applyBorder="1" applyAlignment="1" applyProtection="1">
      <alignment horizontal="right" vertical="center"/>
    </xf>
    <xf numFmtId="0" fontId="59" fillId="6" borderId="0" xfId="0" applyFont="1" applyFill="1" applyBorder="1" applyAlignment="1" applyProtection="1">
      <alignment vertical="center"/>
    </xf>
    <xf numFmtId="49" fontId="59" fillId="6" borderId="0" xfId="0" applyNumberFormat="1" applyFont="1" applyFill="1" applyBorder="1" applyAlignment="1" applyProtection="1"/>
    <xf numFmtId="49" fontId="60" fillId="6" borderId="0" xfId="0" applyNumberFormat="1" applyFont="1" applyFill="1" applyBorder="1" applyAlignment="1" applyProtection="1"/>
    <xf numFmtId="178" fontId="60" fillId="7" borderId="0" xfId="0" applyNumberFormat="1" applyFont="1" applyFill="1" applyBorder="1" applyAlignment="1" applyProtection="1"/>
    <xf numFmtId="0" fontId="60" fillId="6" borderId="32" xfId="1" applyFont="1" applyFill="1" applyBorder="1" applyAlignment="1" applyProtection="1">
      <alignment vertical="center"/>
    </xf>
    <xf numFmtId="0" fontId="58" fillId="6" borderId="32" xfId="0" applyFont="1" applyFill="1" applyBorder="1" applyAlignment="1" applyProtection="1">
      <alignment horizontal="right" vertical="center"/>
    </xf>
    <xf numFmtId="0" fontId="59" fillId="7" borderId="0" xfId="0" applyFont="1" applyFill="1" applyAlignment="1" applyProtection="1">
      <alignment vertical="center"/>
    </xf>
    <xf numFmtId="0" fontId="53" fillId="6" borderId="60" xfId="0" applyFont="1" applyFill="1" applyBorder="1" applyAlignment="1" applyProtection="1">
      <alignment vertical="center"/>
    </xf>
    <xf numFmtId="0" fontId="53" fillId="6" borderId="71" xfId="0" applyFont="1" applyFill="1" applyBorder="1" applyAlignment="1" applyProtection="1">
      <alignment vertical="center"/>
    </xf>
    <xf numFmtId="0" fontId="54" fillId="7" borderId="0" xfId="0" applyFont="1" applyFill="1" applyAlignment="1" applyProtection="1">
      <alignment vertical="center"/>
    </xf>
    <xf numFmtId="0" fontId="53" fillId="6" borderId="88" xfId="0" applyFont="1" applyFill="1" applyBorder="1" applyAlignment="1" applyProtection="1">
      <alignment vertical="center"/>
    </xf>
    <xf numFmtId="0" fontId="53" fillId="6" borderId="90" xfId="0" applyFont="1" applyFill="1" applyBorder="1" applyAlignment="1" applyProtection="1">
      <alignment vertical="center"/>
    </xf>
    <xf numFmtId="0" fontId="54" fillId="7"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108" fillId="6" borderId="0" xfId="0" applyFont="1" applyFill="1" applyAlignment="1" applyProtection="1"/>
    <xf numFmtId="0" fontId="60" fillId="6" borderId="0" xfId="0" applyFont="1" applyFill="1" applyBorder="1" applyAlignment="1" applyProtection="1">
      <alignment horizontal="left" vertical="center"/>
      <protection locked="0"/>
    </xf>
    <xf numFmtId="0" fontId="66" fillId="6" borderId="0" xfId="0" applyFont="1" applyFill="1" applyBorder="1" applyAlignment="1" applyProtection="1">
      <alignment horizontal="center" vertical="center"/>
      <protection locked="0"/>
    </xf>
    <xf numFmtId="0" fontId="108" fillId="6" borderId="0" xfId="0" applyFont="1" applyFill="1" applyAlignment="1" applyProtection="1">
      <alignment horizontal="left"/>
    </xf>
    <xf numFmtId="0" fontId="58" fillId="6" borderId="0" xfId="0" applyFont="1" applyFill="1" applyAlignment="1" applyProtection="1">
      <alignment horizontal="left"/>
    </xf>
    <xf numFmtId="0" fontId="58" fillId="6" borderId="0" xfId="0" applyFont="1" applyFill="1" applyAlignment="1" applyProtection="1"/>
    <xf numFmtId="0" fontId="59" fillId="6" borderId="0" xfId="0" applyFont="1" applyFill="1" applyAlignment="1" applyProtection="1">
      <alignment horizontal="left" vertical="center"/>
    </xf>
    <xf numFmtId="0" fontId="53" fillId="7" borderId="0" xfId="0" applyFont="1" applyFill="1" applyAlignment="1" applyProtection="1">
      <protection locked="0"/>
    </xf>
    <xf numFmtId="0" fontId="53" fillId="7" borderId="0" xfId="0" applyFont="1" applyFill="1" applyAlignment="1" applyProtection="1">
      <alignment horizontal="center"/>
      <protection locked="0"/>
    </xf>
    <xf numFmtId="0" fontId="59" fillId="7" borderId="0" xfId="0" applyFont="1" applyFill="1" applyAlignment="1" applyProtection="1">
      <alignment horizontal="left" vertical="center"/>
      <protection locked="0"/>
    </xf>
    <xf numFmtId="0" fontId="151" fillId="6" borderId="0" xfId="0" applyFont="1" applyFill="1" applyAlignment="1" applyProtection="1">
      <alignment vertical="center"/>
    </xf>
    <xf numFmtId="0" fontId="151" fillId="7" borderId="0" xfId="0" applyFont="1" applyFill="1" applyAlignment="1" applyProtection="1">
      <protection locked="0"/>
    </xf>
    <xf numFmtId="0" fontId="59" fillId="6" borderId="16" xfId="0" applyFont="1" applyFill="1" applyBorder="1" applyAlignment="1" applyProtection="1">
      <alignment horizontal="center" vertical="center"/>
    </xf>
    <xf numFmtId="0" fontId="53" fillId="6" borderId="31" xfId="0" applyFont="1" applyFill="1" applyBorder="1" applyAlignment="1" applyProtection="1"/>
    <xf numFmtId="0" fontId="151" fillId="7" borderId="63" xfId="0" applyFont="1" applyFill="1" applyBorder="1" applyAlignment="1" applyProtection="1">
      <alignment vertical="center"/>
      <protection locked="0"/>
    </xf>
    <xf numFmtId="0" fontId="59" fillId="7" borderId="64" xfId="0" applyFont="1" applyFill="1" applyBorder="1" applyAlignment="1" applyProtection="1">
      <alignment vertical="center"/>
      <protection locked="0"/>
    </xf>
    <xf numFmtId="0" fontId="59" fillId="7" borderId="65" xfId="0" applyFont="1" applyFill="1" applyBorder="1" applyAlignment="1" applyProtection="1">
      <alignment horizontal="left" vertical="center"/>
      <protection locked="0"/>
    </xf>
    <xf numFmtId="0" fontId="111" fillId="6" borderId="82" xfId="0" applyFont="1" applyFill="1" applyBorder="1" applyAlignment="1" applyProtection="1">
      <alignment horizontal="center" vertical="center"/>
    </xf>
    <xf numFmtId="0" fontId="108" fillId="6" borderId="82" xfId="0" applyFont="1" applyFill="1" applyBorder="1" applyAlignment="1" applyProtection="1">
      <alignment vertical="center" wrapText="1"/>
    </xf>
    <xf numFmtId="0" fontId="108" fillId="6" borderId="65" xfId="0" applyFont="1" applyFill="1" applyBorder="1" applyAlignment="1" applyProtection="1">
      <alignment vertical="center"/>
    </xf>
    <xf numFmtId="0" fontId="108" fillId="6" borderId="65" xfId="0" applyFont="1" applyFill="1" applyBorder="1" applyAlignment="1" applyProtection="1">
      <alignment vertical="center" wrapText="1"/>
    </xf>
    <xf numFmtId="0" fontId="59" fillId="6" borderId="6" xfId="0" applyFont="1" applyFill="1" applyBorder="1" applyAlignment="1" applyProtection="1">
      <alignment vertical="center"/>
    </xf>
    <xf numFmtId="0" fontId="59" fillId="5" borderId="10" xfId="0" applyFont="1" applyFill="1" applyBorder="1" applyAlignment="1" applyProtection="1">
      <alignment horizontal="center" vertical="center"/>
      <protection locked="0"/>
    </xf>
    <xf numFmtId="0" fontId="59" fillId="6" borderId="6" xfId="0" applyFont="1" applyFill="1" applyBorder="1" applyAlignment="1" applyProtection="1">
      <alignment horizontal="left" vertical="center"/>
      <protection locked="0"/>
    </xf>
    <xf numFmtId="0" fontId="59" fillId="6" borderId="10" xfId="0" applyFont="1" applyFill="1" applyBorder="1" applyAlignment="1" applyProtection="1">
      <alignment horizontal="center" vertical="center"/>
    </xf>
    <xf numFmtId="0" fontId="108" fillId="6" borderId="81" xfId="0" applyFont="1" applyFill="1" applyBorder="1" applyAlignment="1" applyProtection="1">
      <alignment vertical="center" wrapText="1"/>
    </xf>
    <xf numFmtId="0" fontId="108" fillId="6" borderId="43" xfId="0" applyFont="1" applyFill="1" applyBorder="1" applyAlignment="1" applyProtection="1">
      <alignment vertical="center"/>
    </xf>
    <xf numFmtId="0" fontId="108" fillId="6" borderId="43" xfId="0" applyFont="1" applyFill="1" applyBorder="1" applyAlignment="1" applyProtection="1">
      <alignment vertical="center" wrapText="1"/>
    </xf>
    <xf numFmtId="0" fontId="59" fillId="6" borderId="23" xfId="0" applyFont="1" applyFill="1" applyBorder="1" applyAlignment="1" applyProtection="1">
      <alignment vertical="center"/>
    </xf>
    <xf numFmtId="0" fontId="108" fillId="5" borderId="24" xfId="0" applyFont="1" applyFill="1" applyBorder="1" applyAlignment="1" applyProtection="1">
      <alignment horizontal="center"/>
      <protection locked="0"/>
    </xf>
    <xf numFmtId="0" fontId="108" fillId="6" borderId="23" xfId="0" applyFont="1" applyFill="1" applyBorder="1" applyAlignment="1" applyProtection="1">
      <alignment horizontal="left"/>
      <protection locked="0"/>
    </xf>
    <xf numFmtId="0" fontId="59" fillId="6" borderId="24" xfId="0" applyFont="1" applyFill="1" applyBorder="1" applyAlignment="1" applyProtection="1">
      <alignment horizontal="center" vertical="center"/>
    </xf>
    <xf numFmtId="0" fontId="59" fillId="7" borderId="0" xfId="0" applyFont="1" applyFill="1" applyBorder="1" applyAlignment="1" applyProtection="1">
      <alignment vertical="center"/>
      <protection locked="0"/>
    </xf>
    <xf numFmtId="0" fontId="59" fillId="7" borderId="24"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protection locked="0"/>
    </xf>
    <xf numFmtId="0" fontId="108" fillId="6" borderId="81" xfId="0" applyFont="1" applyFill="1" applyBorder="1" applyAlignment="1" applyProtection="1">
      <alignment horizontal="right" vertical="center" wrapText="1"/>
    </xf>
    <xf numFmtId="0" fontId="108" fillId="6" borderId="24" xfId="0" applyFont="1" applyFill="1" applyBorder="1" applyAlignment="1" applyProtection="1">
      <alignment horizontal="center"/>
    </xf>
    <xf numFmtId="0" fontId="59" fillId="7" borderId="35" xfId="0" applyFont="1" applyFill="1" applyBorder="1" applyAlignment="1" applyProtection="1">
      <alignment vertical="center" wrapText="1"/>
      <protection locked="0"/>
    </xf>
    <xf numFmtId="10" fontId="108" fillId="6" borderId="43" xfId="0" applyNumberFormat="1" applyFont="1" applyFill="1" applyBorder="1" applyAlignment="1" applyProtection="1">
      <alignment vertical="center" wrapText="1"/>
    </xf>
    <xf numFmtId="49" fontId="59" fillId="6" borderId="23" xfId="0" applyNumberFormat="1" applyFont="1" applyFill="1" applyBorder="1" applyAlignment="1" applyProtection="1">
      <alignment horizontal="left" vertical="center"/>
    </xf>
    <xf numFmtId="0" fontId="59" fillId="6" borderId="24" xfId="0" applyNumberFormat="1" applyFont="1" applyFill="1" applyBorder="1" applyAlignment="1" applyProtection="1">
      <alignment horizontal="center" vertical="center"/>
    </xf>
    <xf numFmtId="0" fontId="59" fillId="6" borderId="23" xfId="0" applyFont="1" applyFill="1" applyBorder="1" applyAlignment="1" applyProtection="1">
      <alignment vertical="center"/>
      <protection locked="0"/>
    </xf>
    <xf numFmtId="196" fontId="59" fillId="6" borderId="24" xfId="0" applyNumberFormat="1" applyFont="1" applyFill="1" applyBorder="1" applyAlignment="1" applyProtection="1">
      <alignment horizontal="center" vertical="center"/>
    </xf>
    <xf numFmtId="0" fontId="59" fillId="7" borderId="7" xfId="0" applyFont="1" applyFill="1" applyBorder="1" applyAlignment="1" applyProtection="1">
      <alignment vertical="center" wrapText="1"/>
      <protection locked="0"/>
    </xf>
    <xf numFmtId="0" fontId="59" fillId="6" borderId="25" xfId="0" applyFont="1" applyFill="1" applyBorder="1" applyAlignment="1" applyProtection="1">
      <alignment vertical="center"/>
    </xf>
    <xf numFmtId="10" fontId="59" fillId="0" borderId="49" xfId="0" applyNumberFormat="1" applyFont="1" applyFill="1" applyBorder="1" applyAlignment="1" applyProtection="1">
      <alignment horizontal="center" vertical="center"/>
      <protection locked="0"/>
    </xf>
    <xf numFmtId="0" fontId="59" fillId="6" borderId="26" xfId="0" applyFont="1" applyFill="1" applyBorder="1" applyAlignment="1" applyProtection="1">
      <alignment vertical="center" wrapText="1"/>
    </xf>
    <xf numFmtId="0" fontId="59" fillId="6" borderId="84" xfId="0" applyFont="1" applyFill="1" applyBorder="1" applyAlignment="1" applyProtection="1">
      <alignment horizontal="center" vertical="center"/>
    </xf>
    <xf numFmtId="0" fontId="59" fillId="6" borderId="48" xfId="0" applyFont="1" applyFill="1" applyBorder="1" applyAlignment="1" applyProtection="1">
      <alignment vertical="center"/>
      <protection locked="0"/>
    </xf>
    <xf numFmtId="0" fontId="123" fillId="6" borderId="0" xfId="0" applyFont="1" applyFill="1" applyAlignment="1" applyProtection="1">
      <alignment vertical="center"/>
      <protection locked="0"/>
    </xf>
    <xf numFmtId="0" fontId="123" fillId="6" borderId="47" xfId="0" applyFont="1" applyFill="1" applyBorder="1" applyAlignment="1" applyProtection="1">
      <alignment vertical="center" wrapText="1"/>
    </xf>
    <xf numFmtId="0" fontId="60" fillId="6" borderId="51" xfId="0" applyFont="1" applyFill="1" applyBorder="1" applyAlignment="1" applyProtection="1">
      <alignment horizontal="left" vertical="center" wrapText="1"/>
    </xf>
    <xf numFmtId="182" fontId="59" fillId="6" borderId="9" xfId="0" applyNumberFormat="1" applyFont="1" applyFill="1" applyBorder="1" applyAlignment="1" applyProtection="1">
      <alignment horizontal="center" vertical="center"/>
    </xf>
    <xf numFmtId="0" fontId="60" fillId="6" borderId="16" xfId="0" applyFont="1" applyFill="1" applyBorder="1" applyAlignment="1" applyProtection="1">
      <alignment horizontal="center" vertical="center"/>
    </xf>
    <xf numFmtId="0" fontId="59" fillId="5" borderId="21" xfId="0" applyFont="1" applyFill="1" applyBorder="1" applyAlignment="1" applyProtection="1">
      <alignment horizontal="center" vertical="center"/>
      <protection locked="0"/>
    </xf>
    <xf numFmtId="0" fontId="59" fillId="6" borderId="1" xfId="0" applyFont="1" applyFill="1" applyBorder="1" applyAlignment="1" applyProtection="1">
      <alignment vertical="center"/>
      <protection locked="0"/>
    </xf>
    <xf numFmtId="0" fontId="59" fillId="6" borderId="54" xfId="0" applyFont="1" applyFill="1" applyBorder="1" applyAlignment="1" applyProtection="1">
      <alignment vertical="center"/>
      <protection locked="0"/>
    </xf>
    <xf numFmtId="0" fontId="59" fillId="6" borderId="41" xfId="0" applyFont="1" applyFill="1" applyBorder="1" applyAlignment="1" applyProtection="1">
      <alignment vertical="center" wrapText="1"/>
    </xf>
    <xf numFmtId="0" fontId="59" fillId="5" borderId="0" xfId="0" applyFont="1" applyFill="1" applyBorder="1" applyAlignment="1" applyProtection="1">
      <alignment horizontal="center" vertical="center"/>
      <protection locked="0"/>
    </xf>
    <xf numFmtId="0" fontId="59" fillId="6" borderId="18" xfId="0" applyFont="1" applyFill="1" applyBorder="1" applyAlignment="1" applyProtection="1">
      <alignment vertical="center"/>
      <protection locked="0"/>
    </xf>
    <xf numFmtId="0" fontId="59" fillId="6" borderId="4" xfId="0" applyFont="1" applyFill="1" applyBorder="1" applyAlignment="1" applyProtection="1">
      <alignment vertical="center"/>
      <protection locked="0"/>
    </xf>
    <xf numFmtId="0" fontId="59" fillId="6" borderId="60" xfId="0" applyFont="1" applyFill="1" applyBorder="1" applyAlignment="1" applyProtection="1">
      <alignment vertical="center"/>
      <protection locked="0"/>
    </xf>
    <xf numFmtId="0" fontId="59" fillId="6" borderId="71" xfId="0" applyFont="1" applyFill="1" applyBorder="1" applyAlignment="1" applyProtection="1">
      <alignment vertical="center"/>
      <protection locked="0"/>
    </xf>
    <xf numFmtId="0" fontId="59" fillId="6" borderId="23" xfId="0" applyFont="1" applyFill="1" applyBorder="1" applyAlignment="1" applyProtection="1">
      <alignment vertical="center" wrapText="1"/>
    </xf>
    <xf numFmtId="0" fontId="59" fillId="6" borderId="5" xfId="0" applyFont="1" applyFill="1" applyBorder="1" applyAlignment="1" applyProtection="1">
      <alignment horizontal="center" vertical="center"/>
    </xf>
    <xf numFmtId="182" fontId="59" fillId="6" borderId="5" xfId="0" applyNumberFormat="1" applyFont="1" applyFill="1" applyBorder="1" applyAlignment="1" applyProtection="1">
      <alignment horizontal="center" vertical="center"/>
    </xf>
    <xf numFmtId="49" fontId="60" fillId="6" borderId="25" xfId="0" applyNumberFormat="1" applyFont="1" applyFill="1" applyBorder="1" applyAlignment="1" applyProtection="1">
      <alignment horizontal="left" vertical="center"/>
    </xf>
    <xf numFmtId="0" fontId="59" fillId="6" borderId="49" xfId="0" applyFont="1" applyFill="1" applyBorder="1" applyAlignment="1" applyProtection="1">
      <alignment horizontal="center" vertical="center"/>
    </xf>
    <xf numFmtId="0" fontId="60" fillId="6" borderId="25" xfId="0" applyFont="1" applyFill="1" applyBorder="1" applyAlignment="1" applyProtection="1">
      <alignment horizontal="center" vertical="center"/>
    </xf>
    <xf numFmtId="0" fontId="59" fillId="6" borderId="0" xfId="0" applyFont="1" applyFill="1" applyAlignment="1" applyProtection="1">
      <alignment vertical="center"/>
      <protection locked="0"/>
    </xf>
    <xf numFmtId="0" fontId="59" fillId="6" borderId="1" xfId="0" applyFont="1" applyFill="1" applyBorder="1" applyAlignment="1"/>
    <xf numFmtId="0" fontId="59" fillId="6" borderId="1" xfId="0" applyFont="1" applyFill="1" applyBorder="1" applyAlignment="1">
      <alignment horizontal="center"/>
    </xf>
    <xf numFmtId="0" fontId="59" fillId="6" borderId="1" xfId="0" applyFont="1" applyFill="1" applyBorder="1" applyAlignment="1" applyProtection="1">
      <alignment horizontal="center" vertical="center"/>
      <protection locked="0"/>
    </xf>
    <xf numFmtId="9" fontId="59" fillId="6" borderId="1" xfId="0" applyNumberFormat="1" applyFont="1" applyFill="1" applyBorder="1" applyAlignment="1" applyProtection="1">
      <alignment horizontal="center" vertical="center"/>
      <protection locked="0"/>
    </xf>
    <xf numFmtId="196" fontId="108" fillId="6" borderId="43" xfId="0" applyNumberFormat="1" applyFont="1" applyFill="1" applyBorder="1" applyAlignment="1" applyProtection="1">
      <alignment vertical="center" wrapText="1"/>
    </xf>
    <xf numFmtId="0" fontId="178" fillId="6" borderId="43" xfId="0" applyFont="1" applyFill="1" applyBorder="1" applyAlignment="1" applyProtection="1">
      <alignment vertical="center"/>
    </xf>
    <xf numFmtId="0" fontId="59" fillId="0" borderId="0" xfId="0" applyFont="1" applyFill="1" applyAlignment="1" applyProtection="1">
      <alignment horizontal="left" vertical="center"/>
      <protection locked="0"/>
    </xf>
    <xf numFmtId="0" fontId="53" fillId="6" borderId="1" xfId="0" applyFont="1" applyFill="1" applyBorder="1" applyAlignment="1" applyProtection="1">
      <alignment horizontal="center"/>
    </xf>
    <xf numFmtId="49" fontId="68" fillId="2" borderId="27" xfId="0" applyNumberFormat="1" applyFont="1" applyFill="1" applyBorder="1" applyAlignment="1" applyProtection="1">
      <alignment horizontal="right"/>
      <protection locked="0"/>
    </xf>
    <xf numFmtId="0" fontId="60" fillId="6" borderId="0" xfId="0" applyFont="1" applyFill="1" applyBorder="1" applyAlignment="1" applyProtection="1">
      <alignment vertical="center"/>
    </xf>
    <xf numFmtId="0" fontId="53" fillId="6" borderId="0" xfId="0" applyFont="1" applyFill="1" applyAlignment="1" applyProtection="1"/>
    <xf numFmtId="0" fontId="53" fillId="6" borderId="0" xfId="0" applyFont="1" applyFill="1" applyAlignment="1" applyProtection="1">
      <protection locked="0"/>
    </xf>
    <xf numFmtId="0" fontId="190" fillId="6" borderId="3" xfId="0" applyFont="1" applyFill="1" applyBorder="1" applyAlignment="1" applyProtection="1">
      <alignment horizontal="right" vertical="center" wrapText="1"/>
    </xf>
    <xf numFmtId="0" fontId="206" fillId="0" borderId="0" xfId="5" applyFont="1">
      <alignment vertical="center"/>
    </xf>
    <xf numFmtId="0" fontId="102" fillId="0" borderId="0" xfId="0" applyFont="1" applyProtection="1">
      <alignment vertical="center"/>
      <protection locked="0"/>
    </xf>
    <xf numFmtId="0" fontId="215" fillId="0" borderId="0" xfId="0" applyFont="1" applyBorder="1" applyAlignment="1">
      <alignment horizontal="center" vertical="center"/>
    </xf>
    <xf numFmtId="0" fontId="107" fillId="0" borderId="0" xfId="0" applyFont="1">
      <alignment vertical="center"/>
    </xf>
    <xf numFmtId="0" fontId="107" fillId="0" borderId="0" xfId="0" applyFont="1" applyBorder="1">
      <alignment vertical="center"/>
    </xf>
    <xf numFmtId="0" fontId="216" fillId="0" borderId="0" xfId="0" applyFont="1" applyAlignment="1">
      <alignment vertical="center"/>
    </xf>
    <xf numFmtId="0" fontId="142" fillId="0" borderId="0" xfId="0" applyFont="1" applyAlignment="1">
      <alignment vertical="center" wrapText="1"/>
    </xf>
    <xf numFmtId="0" fontId="217" fillId="0" borderId="0" xfId="0" applyFont="1">
      <alignment vertical="center"/>
    </xf>
    <xf numFmtId="0" fontId="218" fillId="0" borderId="0" xfId="0" applyFont="1">
      <alignment vertical="center"/>
    </xf>
    <xf numFmtId="0" fontId="219" fillId="0" borderId="0" xfId="0" applyFont="1" applyAlignment="1" applyProtection="1">
      <alignment vertical="center" wrapText="1"/>
      <protection locked="0"/>
    </xf>
    <xf numFmtId="0" fontId="142" fillId="0" borderId="0" xfId="0" applyFont="1" applyFill="1" applyAlignment="1">
      <alignment vertical="center" wrapText="1"/>
    </xf>
    <xf numFmtId="0" fontId="216" fillId="0" borderId="0" xfId="0" applyFont="1">
      <alignment vertical="center"/>
    </xf>
    <xf numFmtId="185" fontId="142" fillId="0" borderId="0" xfId="0" applyNumberFormat="1" applyFont="1" applyAlignment="1">
      <alignment horizontal="left" vertical="center"/>
    </xf>
    <xf numFmtId="0" fontId="142" fillId="0" borderId="0" xfId="0" applyFont="1">
      <alignment vertical="center"/>
    </xf>
    <xf numFmtId="0" fontId="220" fillId="5" borderId="0" xfId="0" applyFont="1" applyFill="1" applyProtection="1">
      <alignment vertical="center"/>
      <protection locked="0"/>
    </xf>
    <xf numFmtId="0" fontId="107" fillId="0" borderId="0" xfId="0" applyFont="1" applyProtection="1">
      <alignment vertical="center"/>
      <protection locked="0"/>
    </xf>
    <xf numFmtId="0" fontId="216" fillId="0" borderId="0" xfId="7" applyFont="1" applyProtection="1">
      <alignment vertical="center"/>
    </xf>
    <xf numFmtId="0" fontId="107" fillId="0" borderId="0" xfId="7" applyFont="1" applyProtection="1">
      <alignment vertical="center"/>
    </xf>
    <xf numFmtId="0" fontId="107" fillId="0" borderId="0" xfId="7" applyFont="1">
      <alignment vertical="center"/>
    </xf>
    <xf numFmtId="0" fontId="216" fillId="0" borderId="0" xfId="7" applyFont="1" applyAlignment="1" applyProtection="1">
      <alignment horizontal="center" vertical="center"/>
    </xf>
    <xf numFmtId="0" fontId="135" fillId="0" borderId="2" xfId="7" applyFont="1" applyFill="1" applyBorder="1" applyAlignment="1" applyProtection="1">
      <alignment horizontal="left" vertical="center" wrapText="1"/>
    </xf>
    <xf numFmtId="0" fontId="136" fillId="0" borderId="1" xfId="7" applyFont="1" applyFill="1" applyBorder="1" applyAlignment="1" applyProtection="1">
      <alignment horizontal="left" vertical="center" wrapText="1"/>
    </xf>
    <xf numFmtId="0" fontId="223" fillId="0" borderId="1" xfId="7" applyFont="1" applyFill="1" applyBorder="1" applyAlignment="1" applyProtection="1">
      <alignment horizontal="left" vertical="center" wrapText="1"/>
    </xf>
    <xf numFmtId="0" fontId="67" fillId="0" borderId="5" xfId="7" applyFont="1" applyFill="1" applyBorder="1" applyAlignment="1" applyProtection="1">
      <alignment vertical="center" wrapText="1"/>
    </xf>
    <xf numFmtId="0" fontId="113" fillId="0" borderId="1"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4"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108" fillId="0" borderId="0" xfId="7" applyFont="1" applyProtection="1">
      <alignment vertical="center"/>
    </xf>
    <xf numFmtId="0" fontId="107" fillId="0" borderId="0" xfId="7" applyFont="1" applyProtection="1">
      <alignment vertical="center"/>
      <protection locked="0"/>
    </xf>
    <xf numFmtId="0" fontId="142" fillId="0" borderId="0" xfId="7" applyFont="1" applyProtection="1">
      <alignment vertical="center"/>
      <protection locked="0"/>
    </xf>
    <xf numFmtId="0" fontId="67" fillId="0" borderId="1" xfId="0" applyFont="1" applyFill="1" applyBorder="1" applyAlignment="1" applyProtection="1">
      <alignment horizontal="left" vertical="center" wrapText="1"/>
    </xf>
    <xf numFmtId="0" fontId="142" fillId="0" borderId="0" xfId="0" applyFont="1" applyProtection="1">
      <alignment vertical="center"/>
      <protection locked="0"/>
    </xf>
    <xf numFmtId="0" fontId="102" fillId="0" borderId="0" xfId="0" applyFont="1" applyProtection="1">
      <alignment vertical="center"/>
    </xf>
    <xf numFmtId="0" fontId="213" fillId="0" borderId="0" xfId="0" applyFont="1" applyBorder="1" applyAlignment="1" applyProtection="1">
      <alignment horizontal="left" vertical="center"/>
    </xf>
    <xf numFmtId="0" fontId="23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231" fillId="0" borderId="60" xfId="0" applyFont="1" applyBorder="1" applyAlignment="1" applyProtection="1">
      <alignment horizontal="justify" vertical="center" wrapText="1"/>
    </xf>
    <xf numFmtId="0" fontId="231" fillId="0" borderId="0" xfId="0" applyFont="1" applyBorder="1" applyAlignment="1" applyProtection="1">
      <alignment horizontal="right" vertical="center" wrapText="1"/>
    </xf>
    <xf numFmtId="0" fontId="231" fillId="0" borderId="54" xfId="0" applyFont="1" applyBorder="1" applyAlignment="1" applyProtection="1">
      <alignment horizontal="justify" vertical="center" wrapText="1"/>
    </xf>
    <xf numFmtId="0" fontId="232" fillId="0" borderId="0" xfId="0" applyFont="1" applyBorder="1" applyAlignment="1" applyProtection="1">
      <alignment horizontal="center" vertical="center" wrapText="1"/>
      <protection locked="0"/>
    </xf>
    <xf numFmtId="0" fontId="216" fillId="0" borderId="0" xfId="0" applyFont="1" applyBorder="1" applyAlignment="1" applyProtection="1">
      <alignment horizontal="left" vertical="center"/>
    </xf>
    <xf numFmtId="0" fontId="107" fillId="0" borderId="0" xfId="0" applyFont="1" applyAlignment="1" applyProtection="1">
      <alignment vertical="center" wrapText="1"/>
      <protection locked="0"/>
    </xf>
    <xf numFmtId="0" fontId="142" fillId="0" borderId="0" xfId="0" applyFont="1" applyAlignment="1">
      <alignment horizontal="right" vertical="center"/>
    </xf>
    <xf numFmtId="0" fontId="102" fillId="0" borderId="0" xfId="0" applyFont="1" applyBorder="1" applyProtection="1">
      <alignment vertical="center"/>
      <protection locked="0"/>
    </xf>
    <xf numFmtId="0" fontId="214" fillId="0" borderId="0" xfId="0" applyFont="1" applyBorder="1" applyProtection="1">
      <alignment vertical="center"/>
      <protection locked="0"/>
    </xf>
    <xf numFmtId="0" fontId="235" fillId="0" borderId="0" xfId="0" applyFont="1" applyProtection="1">
      <alignment vertical="center"/>
    </xf>
    <xf numFmtId="0" fontId="214" fillId="0" borderId="0" xfId="0" applyFont="1" applyProtection="1">
      <alignment vertical="center"/>
    </xf>
    <xf numFmtId="0" fontId="222"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222" fillId="0" borderId="0" xfId="0" applyFont="1" applyProtection="1">
      <alignment vertical="center"/>
    </xf>
    <xf numFmtId="0" fontId="222" fillId="2" borderId="1" xfId="0" applyFont="1" applyFill="1" applyBorder="1" applyAlignment="1" applyProtection="1">
      <alignment horizontal="center" vertical="center" wrapText="1"/>
    </xf>
    <xf numFmtId="0" fontId="222" fillId="6" borderId="1" xfId="0" applyFont="1" applyFill="1" applyBorder="1" applyAlignment="1" applyProtection="1">
      <alignment horizontal="center" vertical="center" wrapText="1"/>
    </xf>
    <xf numFmtId="0" fontId="238" fillId="4" borderId="1" xfId="0" applyFont="1" applyFill="1" applyBorder="1" applyAlignment="1" applyProtection="1">
      <alignment horizontal="center" vertical="center"/>
    </xf>
    <xf numFmtId="0" fontId="239" fillId="0" borderId="1" xfId="0" applyFont="1" applyFill="1" applyBorder="1" applyAlignment="1" applyProtection="1">
      <alignment horizontal="center" vertical="center"/>
    </xf>
    <xf numFmtId="0" fontId="237" fillId="0" borderId="0" xfId="0" applyFont="1" applyProtection="1">
      <alignment vertical="center"/>
    </xf>
    <xf numFmtId="0" fontId="127"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8" borderId="5" xfId="0" applyFont="1" applyFill="1" applyBorder="1" applyAlignment="1" applyProtection="1">
      <alignment vertical="center"/>
    </xf>
    <xf numFmtId="0" fontId="102" fillId="7" borderId="54" xfId="0" applyFont="1" applyFill="1" applyBorder="1" applyAlignment="1" applyProtection="1">
      <alignment vertical="center"/>
    </xf>
    <xf numFmtId="0" fontId="102" fillId="7" borderId="3" xfId="0" applyFont="1" applyFill="1" applyBorder="1" applyAlignment="1" applyProtection="1">
      <alignment vertical="center"/>
    </xf>
    <xf numFmtId="0" fontId="240" fillId="0" borderId="0" xfId="0" applyFont="1" applyProtection="1">
      <alignment vertical="center"/>
    </xf>
    <xf numFmtId="0" fontId="237" fillId="0" borderId="0" xfId="0" applyFont="1" applyAlignment="1" applyProtection="1">
      <alignment horizontal="left" vertical="center"/>
    </xf>
    <xf numFmtId="177" fontId="237" fillId="0" borderId="0" xfId="0" applyNumberFormat="1" applyFont="1" applyAlignment="1" applyProtection="1">
      <alignment horizontal="left" vertical="center"/>
    </xf>
    <xf numFmtId="0" fontId="237" fillId="6" borderId="35" xfId="0" applyFont="1" applyFill="1" applyBorder="1" applyAlignment="1" applyProtection="1">
      <alignment horizontal="center" vertical="center" wrapText="1"/>
    </xf>
    <xf numFmtId="0" fontId="102" fillId="6" borderId="15" xfId="0" applyFont="1" applyFill="1" applyBorder="1" applyAlignment="1" applyProtection="1">
      <alignment horizontal="center" vertical="center" wrapText="1"/>
    </xf>
    <xf numFmtId="0" fontId="102" fillId="6" borderId="0" xfId="0" applyFont="1" applyFill="1" applyBorder="1" applyAlignment="1" applyProtection="1">
      <alignment horizontal="center" vertical="center" wrapText="1"/>
    </xf>
    <xf numFmtId="0" fontId="102" fillId="6" borderId="0" xfId="0" applyFont="1" applyFill="1" applyAlignment="1" applyProtection="1">
      <alignment horizontal="center" vertical="center" wrapText="1"/>
    </xf>
    <xf numFmtId="0" fontId="237" fillId="6" borderId="0" xfId="0" applyFont="1" applyFill="1" applyAlignment="1" applyProtection="1">
      <alignment horizontal="center" vertical="center" wrapText="1"/>
    </xf>
    <xf numFmtId="0" fontId="237" fillId="6" borderId="0" xfId="0" applyNumberFormat="1" applyFont="1" applyFill="1" applyBorder="1" applyAlignment="1" applyProtection="1">
      <alignment horizontal="center" vertical="center" wrapText="1"/>
    </xf>
    <xf numFmtId="0" fontId="102" fillId="0" borderId="0" xfId="0" applyFont="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6" borderId="0" xfId="0" applyFont="1" applyFill="1" applyBorder="1" applyAlignment="1" applyProtection="1">
      <alignment horizontal="center" vertical="center"/>
      <protection locked="0"/>
    </xf>
    <xf numFmtId="0" fontId="102" fillId="6" borderId="0" xfId="0" applyFont="1" applyFill="1" applyAlignment="1" applyProtection="1">
      <alignment horizontal="center" vertical="center"/>
    </xf>
    <xf numFmtId="0" fontId="237" fillId="0" borderId="1" xfId="0" applyFont="1" applyBorder="1" applyAlignment="1" applyProtection="1">
      <alignment horizontal="left" vertical="center"/>
      <protection locked="0"/>
    </xf>
    <xf numFmtId="0" fontId="102" fillId="6" borderId="0" xfId="0" applyFont="1" applyFill="1" applyAlignment="1" applyProtection="1">
      <alignment horizontal="center" vertical="center"/>
      <protection locked="0"/>
    </xf>
    <xf numFmtId="0" fontId="102" fillId="6" borderId="0" xfId="0" applyFont="1" applyFill="1" applyProtection="1">
      <alignment vertical="center"/>
    </xf>
    <xf numFmtId="0" fontId="237" fillId="6" borderId="0" xfId="0" applyFont="1" applyFill="1" applyBorder="1" applyAlignment="1" applyProtection="1">
      <alignment horizontal="center" vertical="center"/>
      <protection locked="0"/>
    </xf>
    <xf numFmtId="0" fontId="102" fillId="6" borderId="0" xfId="0" applyFont="1" applyFill="1" applyBorder="1" applyAlignment="1" applyProtection="1">
      <alignment horizontal="left" vertical="center"/>
    </xf>
    <xf numFmtId="0" fontId="102" fillId="6" borderId="0" xfId="0" applyFont="1" applyFill="1" applyAlignment="1" applyProtection="1">
      <alignment horizontal="left" vertical="center"/>
    </xf>
    <xf numFmtId="0" fontId="102" fillId="6" borderId="0" xfId="0" applyFont="1" applyFill="1" applyBorder="1" applyAlignment="1" applyProtection="1">
      <alignment horizontal="center" vertical="center"/>
    </xf>
    <xf numFmtId="0" fontId="102" fillId="0" borderId="0" xfId="0" applyFont="1" applyBorder="1" applyAlignment="1" applyProtection="1">
      <alignment horizontal="center" vertical="center"/>
    </xf>
    <xf numFmtId="0" fontId="67" fillId="6" borderId="26" xfId="0" applyFont="1" applyFill="1" applyBorder="1" applyAlignment="1" applyProtection="1">
      <alignment vertical="center" wrapText="1"/>
    </xf>
    <xf numFmtId="0" fontId="67" fillId="6" borderId="0" xfId="0" applyFont="1" applyFill="1" applyBorder="1" applyAlignment="1" applyProtection="1">
      <alignment vertical="center" wrapText="1"/>
    </xf>
    <xf numFmtId="0" fontId="67"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6" borderId="0" xfId="0" applyFont="1" applyFill="1" applyAlignment="1" applyProtection="1">
      <alignment horizontal="center"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67" fillId="0" borderId="0" xfId="0" applyFont="1" applyFill="1" applyBorder="1" applyAlignment="1" applyProtection="1">
      <alignment vertical="center" wrapText="1"/>
    </xf>
    <xf numFmtId="0" fontId="67" fillId="6" borderId="0" xfId="0" applyFont="1" applyFill="1" applyBorder="1" applyAlignment="1" applyProtection="1">
      <alignment horizontal="center" vertical="center" wrapText="1"/>
    </xf>
    <xf numFmtId="0" fontId="67" fillId="6" borderId="1" xfId="0" applyFont="1" applyFill="1" applyBorder="1" applyAlignment="1" applyProtection="1">
      <alignment horizontal="left" vertical="center"/>
    </xf>
    <xf numFmtId="14" fontId="67" fillId="0" borderId="13" xfId="0" applyNumberFormat="1" applyFont="1" applyFill="1" applyBorder="1" applyAlignment="1" applyProtection="1">
      <alignment horizontal="left" vertical="center"/>
      <protection locked="0"/>
    </xf>
    <xf numFmtId="0" fontId="67" fillId="6" borderId="1" xfId="0" applyFont="1" applyFill="1" applyBorder="1" applyAlignment="1" applyProtection="1">
      <alignment vertical="center" wrapText="1"/>
    </xf>
    <xf numFmtId="0" fontId="67" fillId="6" borderId="78" xfId="0" applyFont="1" applyFill="1" applyBorder="1" applyAlignment="1" applyProtection="1">
      <alignment horizontal="left" vertical="center"/>
    </xf>
    <xf numFmtId="14" fontId="67" fillId="5" borderId="78" xfId="0" applyNumberFormat="1" applyFont="1" applyFill="1" applyBorder="1" applyAlignment="1" applyProtection="1">
      <alignment horizontal="center" vertical="center"/>
      <protection locked="0"/>
    </xf>
    <xf numFmtId="0" fontId="67" fillId="6" borderId="85" xfId="0" applyFont="1" applyFill="1" applyBorder="1" applyAlignment="1" applyProtection="1">
      <alignment vertical="center" wrapText="1"/>
    </xf>
    <xf numFmtId="0" fontId="67" fillId="6" borderId="119" xfId="0" applyFont="1" applyFill="1" applyBorder="1" applyAlignment="1" applyProtection="1">
      <alignment vertical="center" wrapText="1"/>
    </xf>
    <xf numFmtId="0" fontId="67" fillId="6" borderId="0" xfId="0" applyFont="1" applyFill="1" applyAlignment="1" applyProtection="1">
      <alignment vertical="center" wrapText="1"/>
    </xf>
    <xf numFmtId="0" fontId="67" fillId="6" borderId="58" xfId="0" applyNumberFormat="1" applyFont="1" applyFill="1" applyBorder="1" applyAlignment="1" applyProtection="1">
      <alignment horizontal="left" vertical="center"/>
    </xf>
    <xf numFmtId="0" fontId="67" fillId="6" borderId="4" xfId="0" applyFont="1" applyFill="1" applyBorder="1" applyAlignment="1" applyProtection="1">
      <alignment vertical="center" wrapText="1"/>
    </xf>
    <xf numFmtId="0" fontId="67" fillId="7" borderId="151" xfId="0" applyFont="1" applyFill="1" applyBorder="1" applyAlignment="1" applyProtection="1">
      <alignment vertical="center" wrapText="1"/>
      <protection locked="0"/>
    </xf>
    <xf numFmtId="0" fontId="67" fillId="7" borderId="60" xfId="0" applyFont="1" applyFill="1" applyBorder="1" applyAlignment="1" applyProtection="1">
      <alignment vertical="center" wrapText="1"/>
    </xf>
    <xf numFmtId="0" fontId="67" fillId="7" borderId="7" xfId="0" applyFont="1" applyFill="1" applyBorder="1" applyAlignment="1" applyProtection="1">
      <alignment vertical="center" wrapText="1"/>
    </xf>
    <xf numFmtId="0" fontId="67" fillId="6" borderId="46" xfId="0" applyFont="1" applyFill="1" applyBorder="1" applyAlignment="1" applyProtection="1">
      <alignment vertical="center" wrapText="1"/>
    </xf>
    <xf numFmtId="0" fontId="67" fillId="7" borderId="54" xfId="0" applyFont="1" applyFill="1" applyBorder="1" applyAlignment="1" applyProtection="1">
      <alignment vertical="center" wrapText="1"/>
    </xf>
    <xf numFmtId="0" fontId="67" fillId="7" borderId="22" xfId="0" applyFont="1" applyFill="1" applyBorder="1" applyAlignment="1" applyProtection="1">
      <alignment vertical="center" wrapText="1"/>
    </xf>
    <xf numFmtId="0" fontId="67" fillId="6" borderId="58" xfId="0" applyNumberFormat="1" applyFont="1" applyFill="1" applyBorder="1" applyAlignment="1" applyProtection="1">
      <alignment horizontal="center" vertical="center" wrapText="1"/>
    </xf>
    <xf numFmtId="0" fontId="67" fillId="7" borderId="5" xfId="0" applyFont="1" applyFill="1" applyBorder="1" applyAlignment="1" applyProtection="1">
      <alignment vertical="center" wrapText="1"/>
      <protection locked="0"/>
    </xf>
    <xf numFmtId="49" fontId="67" fillId="6" borderId="58" xfId="0" applyNumberFormat="1" applyFont="1" applyFill="1" applyBorder="1" applyAlignment="1" applyProtection="1">
      <alignment horizontal="center" vertical="center" wrapText="1"/>
    </xf>
    <xf numFmtId="0" fontId="67" fillId="5" borderId="5" xfId="0" applyFont="1" applyFill="1" applyBorder="1" applyAlignment="1" applyProtection="1">
      <alignment horizontal="left" vertical="center" wrapText="1"/>
      <protection locked="0"/>
    </xf>
    <xf numFmtId="0" fontId="67" fillId="5" borderId="54" xfId="0" applyFont="1" applyFill="1" applyBorder="1" applyAlignment="1" applyProtection="1">
      <alignment vertical="center" wrapText="1"/>
    </xf>
    <xf numFmtId="0" fontId="67" fillId="5" borderId="13" xfId="0" applyFont="1" applyFill="1" applyBorder="1" applyAlignment="1" applyProtection="1">
      <alignment horizontal="left" vertical="center"/>
      <protection locked="0"/>
    </xf>
    <xf numFmtId="0" fontId="67" fillId="5" borderId="22" xfId="0" applyFont="1" applyFill="1" applyBorder="1" applyAlignment="1" applyProtection="1">
      <alignment vertical="center" wrapText="1"/>
    </xf>
    <xf numFmtId="0" fontId="67" fillId="5" borderId="85" xfId="0" applyFont="1" applyFill="1" applyBorder="1" applyAlignment="1" applyProtection="1">
      <alignment horizontal="left" vertical="center"/>
      <protection locked="0"/>
    </xf>
    <xf numFmtId="0" fontId="67" fillId="5" borderId="88" xfId="0" applyFont="1" applyFill="1" applyBorder="1" applyAlignment="1" applyProtection="1">
      <alignment vertical="center" wrapText="1"/>
    </xf>
    <xf numFmtId="0" fontId="67" fillId="5" borderId="119" xfId="0" applyFont="1" applyFill="1" applyBorder="1" applyAlignment="1" applyProtection="1">
      <alignment vertical="center" wrapText="1"/>
    </xf>
    <xf numFmtId="0" fontId="67" fillId="6" borderId="87" xfId="0" applyFont="1" applyFill="1" applyBorder="1" applyAlignment="1" applyProtection="1">
      <alignment vertical="center" wrapText="1"/>
    </xf>
    <xf numFmtId="0" fontId="67" fillId="6" borderId="2" xfId="0" applyFont="1" applyFill="1" applyBorder="1" applyAlignment="1" applyProtection="1">
      <alignment horizontal="left" vertical="center"/>
    </xf>
    <xf numFmtId="0" fontId="67" fillId="2" borderId="7" xfId="0" applyFont="1" applyFill="1" applyBorder="1" applyAlignment="1" applyProtection="1">
      <alignment horizontal="center" vertical="center" wrapText="1"/>
      <protection locked="0"/>
    </xf>
    <xf numFmtId="0" fontId="67" fillId="7" borderId="60" xfId="0" applyFont="1" applyFill="1" applyBorder="1" applyAlignment="1" applyProtection="1">
      <alignment vertical="center" wrapText="1"/>
      <protection locked="0"/>
    </xf>
    <xf numFmtId="49" fontId="67" fillId="6" borderId="2" xfId="0" applyNumberFormat="1" applyFont="1" applyFill="1" applyBorder="1" applyAlignment="1" applyProtection="1">
      <alignment horizontal="left" vertical="center" wrapText="1"/>
    </xf>
    <xf numFmtId="49" fontId="233" fillId="0" borderId="4" xfId="0" applyNumberFormat="1" applyFont="1" applyFill="1" applyBorder="1" applyAlignment="1" applyProtection="1">
      <alignment horizontal="left" vertical="center"/>
      <protection locked="0"/>
    </xf>
    <xf numFmtId="0" fontId="67" fillId="0" borderId="60" xfId="0" applyFont="1" applyFill="1" applyBorder="1" applyAlignment="1" applyProtection="1">
      <alignment vertical="center" wrapText="1"/>
    </xf>
    <xf numFmtId="0" fontId="67" fillId="7" borderId="60" xfId="0" applyFont="1" applyFill="1" applyBorder="1" applyAlignment="1" applyProtection="1">
      <alignment horizontal="center" vertical="center" wrapText="1"/>
    </xf>
    <xf numFmtId="0" fontId="67" fillId="6" borderId="46" xfId="0" applyFont="1" applyFill="1" applyBorder="1" applyAlignment="1" applyProtection="1">
      <alignment horizontal="left" vertical="center"/>
    </xf>
    <xf numFmtId="0" fontId="67" fillId="5" borderId="13" xfId="0" applyFont="1" applyFill="1" applyBorder="1" applyAlignment="1" applyProtection="1">
      <alignment horizontal="center" vertical="center" wrapText="1"/>
      <protection locked="0"/>
    </xf>
    <xf numFmtId="0" fontId="67" fillId="7" borderId="3" xfId="0" applyFont="1" applyFill="1" applyBorder="1" applyAlignment="1" applyProtection="1">
      <alignment vertical="center" wrapText="1"/>
    </xf>
    <xf numFmtId="49" fontId="67" fillId="6" borderId="13" xfId="0" applyNumberFormat="1" applyFont="1" applyFill="1" applyBorder="1" applyAlignment="1" applyProtection="1">
      <alignment horizontal="left" vertical="center" wrapText="1"/>
    </xf>
    <xf numFmtId="0" fontId="50" fillId="6" borderId="1" xfId="0" applyFont="1" applyFill="1" applyBorder="1" applyAlignment="1" applyProtection="1">
      <alignment vertical="center" wrapText="1"/>
    </xf>
    <xf numFmtId="49" fontId="50" fillId="6" borderId="1" xfId="0" applyNumberFormat="1"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2" borderId="15" xfId="0" applyFont="1" applyFill="1" applyBorder="1" applyAlignment="1" applyProtection="1">
      <alignment horizontal="left" vertical="center" wrapText="1"/>
    </xf>
    <xf numFmtId="0" fontId="67" fillId="6" borderId="60" xfId="0" applyFont="1" applyFill="1" applyBorder="1" applyAlignment="1" applyProtection="1">
      <alignment vertical="center" wrapText="1"/>
    </xf>
    <xf numFmtId="185" fontId="67" fillId="0" borderId="1" xfId="0" applyNumberFormat="1" applyFont="1" applyFill="1" applyBorder="1" applyAlignment="1" applyProtection="1">
      <alignment horizontal="center" vertical="center" shrinkToFit="1"/>
      <protection locked="0"/>
    </xf>
    <xf numFmtId="178" fontId="67" fillId="6" borderId="58" xfId="0" applyNumberFormat="1" applyFont="1" applyFill="1" applyBorder="1" applyAlignment="1" applyProtection="1">
      <alignment horizontal="center" vertical="center" wrapText="1"/>
    </xf>
    <xf numFmtId="0" fontId="67" fillId="2" borderId="2" xfId="0" applyFont="1" applyFill="1" applyBorder="1" applyAlignment="1" applyProtection="1">
      <alignment horizontal="left" vertical="center" wrapText="1"/>
    </xf>
    <xf numFmtId="180" fontId="67" fillId="6" borderId="58"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67" fillId="6" borderId="15" xfId="0" applyNumberFormat="1" applyFont="1" applyFill="1" applyBorder="1" applyAlignment="1" applyProtection="1">
      <alignment horizontal="left" vertical="center" wrapText="1"/>
    </xf>
    <xf numFmtId="0" fontId="67" fillId="6" borderId="13" xfId="0" applyFont="1" applyFill="1" applyBorder="1" applyAlignment="1" applyProtection="1">
      <alignment horizontal="left" vertical="center"/>
    </xf>
    <xf numFmtId="0" fontId="67" fillId="6" borderId="1" xfId="0" applyFont="1" applyFill="1" applyBorder="1" applyAlignment="1" applyProtection="1">
      <alignment horizontal="left" vertical="center" wrapText="1"/>
    </xf>
    <xf numFmtId="180" fontId="67" fillId="6" borderId="58" xfId="0" applyNumberFormat="1" applyFont="1" applyFill="1" applyBorder="1" applyAlignment="1" applyProtection="1">
      <alignment horizontal="left" vertical="center"/>
    </xf>
    <xf numFmtId="0" fontId="67" fillId="5" borderId="77" xfId="0" applyFont="1" applyFill="1" applyBorder="1" applyAlignment="1" applyProtection="1">
      <alignment horizontal="left" vertical="center" wrapText="1"/>
      <protection locked="0"/>
    </xf>
    <xf numFmtId="0" fontId="67" fillId="6" borderId="78" xfId="0" applyFont="1" applyFill="1" applyBorder="1" applyAlignment="1" applyProtection="1">
      <alignment horizontal="left" vertical="center" wrapText="1"/>
    </xf>
    <xf numFmtId="0" fontId="53" fillId="5" borderId="15" xfId="0" applyFont="1" applyFill="1" applyBorder="1" applyAlignment="1" applyProtection="1">
      <alignment horizontal="center" vertical="center" wrapText="1"/>
      <protection locked="0"/>
    </xf>
    <xf numFmtId="0" fontId="53" fillId="6" borderId="74" xfId="0" applyFont="1" applyFill="1" applyBorder="1" applyAlignment="1" applyProtection="1">
      <alignment horizontal="center" vertical="center" wrapText="1"/>
    </xf>
    <xf numFmtId="0" fontId="53" fillId="5" borderId="74" xfId="0" applyFont="1" applyFill="1" applyBorder="1" applyAlignment="1" applyProtection="1">
      <alignment horizontal="center" vertical="center" wrapText="1"/>
      <protection locked="0"/>
    </xf>
    <xf numFmtId="0" fontId="123" fillId="6" borderId="74" xfId="0" applyFont="1" applyFill="1" applyBorder="1" applyAlignment="1" applyProtection="1">
      <alignment vertical="center" wrapText="1"/>
    </xf>
    <xf numFmtId="0" fontId="53" fillId="5" borderId="76" xfId="0" applyFont="1" applyFill="1" applyBorder="1" applyAlignment="1" applyProtection="1">
      <alignment horizontal="center" vertical="center" wrapText="1"/>
      <protection locked="0"/>
    </xf>
    <xf numFmtId="0" fontId="53" fillId="6" borderId="5" xfId="0" applyFont="1" applyFill="1" applyBorder="1" applyAlignment="1" applyProtection="1">
      <alignment horizontal="right" vertical="center" wrapText="1"/>
    </xf>
    <xf numFmtId="0" fontId="53" fillId="6" borderId="27" xfId="0" applyFont="1" applyFill="1" applyBorder="1" applyAlignment="1" applyProtection="1">
      <alignment vertical="center"/>
    </xf>
    <xf numFmtId="0" fontId="61" fillId="5" borderId="23" xfId="0" applyFont="1" applyFill="1" applyBorder="1" applyAlignment="1" applyProtection="1">
      <alignment horizontal="center" vertical="center" wrapText="1"/>
      <protection locked="0"/>
    </xf>
    <xf numFmtId="0" fontId="53" fillId="5" borderId="24" xfId="0" applyFont="1" applyFill="1" applyBorder="1" applyAlignment="1" applyProtection="1">
      <alignment horizontal="center" vertical="center" wrapText="1"/>
      <protection locked="0"/>
    </xf>
    <xf numFmtId="0" fontId="183" fillId="0" borderId="23" xfId="0" applyFont="1" applyBorder="1" applyAlignment="1" applyProtection="1">
      <alignment vertical="center" wrapText="1"/>
      <protection locked="0"/>
    </xf>
    <xf numFmtId="0" fontId="53" fillId="5" borderId="5" xfId="0" applyFont="1" applyFill="1" applyBorder="1" applyAlignment="1" applyProtection="1">
      <alignment horizontal="center" vertical="center" wrapText="1"/>
      <protection locked="0"/>
    </xf>
    <xf numFmtId="0" fontId="53" fillId="0" borderId="86" xfId="0" applyFont="1" applyBorder="1" applyAlignment="1" applyProtection="1">
      <alignment vertical="center" wrapText="1"/>
      <protection locked="0"/>
    </xf>
    <xf numFmtId="0" fontId="61" fillId="5" borderId="23" xfId="0" applyFont="1" applyFill="1" applyBorder="1" applyAlignment="1" applyProtection="1">
      <alignment horizontal="center" vertical="center" wrapText="1" shrinkToFit="1"/>
      <protection locked="0"/>
    </xf>
    <xf numFmtId="0" fontId="67" fillId="6" borderId="56" xfId="0" applyFont="1" applyFill="1" applyBorder="1" applyAlignment="1" applyProtection="1">
      <alignment vertical="center" wrapText="1"/>
    </xf>
    <xf numFmtId="0" fontId="53" fillId="6" borderId="18" xfId="0" applyFont="1" applyFill="1" applyBorder="1" applyAlignment="1" applyProtection="1">
      <alignment horizontal="right" vertical="center" wrapText="1"/>
    </xf>
    <xf numFmtId="185" fontId="183" fillId="0" borderId="24" xfId="0" applyNumberFormat="1" applyFont="1" applyFill="1" applyBorder="1" applyAlignment="1" applyProtection="1">
      <alignment horizontal="left" vertical="center" shrinkToFit="1"/>
      <protection locked="0"/>
    </xf>
    <xf numFmtId="0" fontId="53" fillId="6" borderId="16" xfId="0" applyFont="1" applyFill="1" applyBorder="1" applyAlignment="1" applyProtection="1">
      <alignment horizontal="right" vertical="center" wrapText="1"/>
    </xf>
    <xf numFmtId="185" fontId="183" fillId="0" borderId="21" xfId="0" applyNumberFormat="1" applyFont="1" applyFill="1" applyBorder="1" applyAlignment="1" applyProtection="1">
      <alignment horizontal="left" vertical="center" shrinkToFit="1"/>
      <protection locked="0"/>
    </xf>
    <xf numFmtId="0" fontId="53" fillId="6" borderId="58" xfId="0" applyFont="1" applyFill="1" applyBorder="1" applyAlignment="1" applyProtection="1">
      <alignment horizontal="center" vertical="center" wrapText="1"/>
    </xf>
    <xf numFmtId="0" fontId="53" fillId="6" borderId="18" xfId="0" applyFont="1" applyFill="1" applyBorder="1" applyAlignment="1" applyProtection="1">
      <alignment horizontal="left" vertical="center" wrapText="1"/>
    </xf>
    <xf numFmtId="0" fontId="183" fillId="0" borderId="24" xfId="0" applyFont="1" applyFill="1" applyBorder="1" applyAlignment="1" applyProtection="1">
      <alignment horizontal="left" vertical="center" wrapText="1"/>
      <protection locked="0"/>
    </xf>
    <xf numFmtId="0" fontId="183" fillId="0" borderId="48"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left" vertical="center" wrapText="1"/>
    </xf>
    <xf numFmtId="0" fontId="53" fillId="6" borderId="91" xfId="0" applyFont="1" applyFill="1" applyBorder="1" applyAlignment="1" applyProtection="1">
      <alignment horizontal="right" vertical="center" wrapText="1"/>
    </xf>
    <xf numFmtId="0" fontId="183" fillId="0" borderId="79"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right" vertical="center" wrapText="1"/>
    </xf>
    <xf numFmtId="0" fontId="183" fillId="0" borderId="90" xfId="0" applyFont="1" applyFill="1" applyBorder="1" applyAlignment="1" applyProtection="1">
      <alignment horizontal="left" vertical="center" wrapText="1"/>
      <protection locked="0"/>
    </xf>
    <xf numFmtId="0" fontId="67" fillId="6" borderId="92" xfId="0" applyFont="1" applyFill="1" applyBorder="1" applyAlignment="1" applyProtection="1">
      <alignment vertical="center" wrapText="1"/>
    </xf>
    <xf numFmtId="0" fontId="67" fillId="2" borderId="4" xfId="0" applyFont="1" applyFill="1" applyBorder="1" applyAlignment="1" applyProtection="1">
      <alignment vertical="center"/>
      <protection locked="0"/>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horizontal="left" vertical="center"/>
      <protection locked="0"/>
    </xf>
    <xf numFmtId="0" fontId="67" fillId="0" borderId="2" xfId="0" applyFont="1" applyBorder="1" applyAlignment="1" applyProtection="1">
      <alignment horizontal="left" vertical="center" wrapText="1"/>
      <protection locked="0"/>
    </xf>
    <xf numFmtId="49" fontId="50" fillId="6" borderId="58" xfId="0" applyNumberFormat="1" applyFont="1" applyFill="1" applyBorder="1" applyAlignment="1" applyProtection="1">
      <alignment horizontal="center" vertical="center" wrapText="1"/>
    </xf>
    <xf numFmtId="0" fontId="67" fillId="2" borderId="5" xfId="0" applyFont="1" applyFill="1" applyBorder="1" applyAlignment="1" applyProtection="1">
      <alignment vertical="center"/>
      <protection locked="0"/>
    </xf>
    <xf numFmtId="0" fontId="67" fillId="2" borderId="3" xfId="0" applyFont="1" applyFill="1" applyBorder="1" applyAlignment="1" applyProtection="1">
      <alignment vertical="center"/>
    </xf>
    <xf numFmtId="0" fontId="67" fillId="5" borderId="3" xfId="0" applyFont="1" applyFill="1" applyBorder="1" applyAlignment="1" applyProtection="1">
      <alignment horizontal="center" vertical="center" wrapText="1"/>
      <protection locked="0"/>
    </xf>
    <xf numFmtId="0" fontId="67" fillId="6" borderId="5" xfId="0" applyFont="1" applyFill="1" applyBorder="1" applyAlignment="1" applyProtection="1">
      <alignment horizontal="left" vertical="center"/>
    </xf>
    <xf numFmtId="0" fontId="67" fillId="6" borderId="3" xfId="0" applyFont="1" applyFill="1" applyBorder="1" applyAlignment="1" applyProtection="1">
      <alignment vertical="center" wrapText="1"/>
    </xf>
    <xf numFmtId="0" fontId="67" fillId="0" borderId="1" xfId="0" applyFont="1" applyBorder="1" applyAlignment="1" applyProtection="1">
      <alignment horizontal="left" vertical="center"/>
      <protection locked="0"/>
    </xf>
    <xf numFmtId="0" fontId="67" fillId="5" borderId="22" xfId="0" applyFont="1" applyFill="1" applyBorder="1" applyAlignment="1" applyProtection="1">
      <alignment horizontal="center" vertical="center" wrapText="1"/>
      <protection locked="0"/>
    </xf>
    <xf numFmtId="0" fontId="67" fillId="6" borderId="22" xfId="0" applyFont="1" applyFill="1" applyBorder="1" applyAlignment="1" applyProtection="1">
      <alignment vertical="center" wrapText="1"/>
    </xf>
    <xf numFmtId="0" fontId="67" fillId="0" borderId="13" xfId="0" applyFont="1" applyBorder="1" applyAlignment="1" applyProtection="1">
      <alignment horizontal="left" vertical="center"/>
      <protection locked="0"/>
    </xf>
    <xf numFmtId="0" fontId="64" fillId="5" borderId="1" xfId="0" applyFont="1" applyFill="1" applyBorder="1" applyAlignment="1" applyProtection="1">
      <alignment horizontal="center" vertical="center" wrapText="1"/>
      <protection locked="0"/>
    </xf>
    <xf numFmtId="194" fontId="50" fillId="6" borderId="1" xfId="0" applyNumberFormat="1" applyFont="1" applyFill="1" applyBorder="1" applyAlignment="1" applyProtection="1">
      <alignment vertical="center" wrapText="1"/>
    </xf>
    <xf numFmtId="0" fontId="67" fillId="6" borderId="13" xfId="0" applyNumberFormat="1" applyFont="1" applyFill="1" applyBorder="1" applyAlignment="1" applyProtection="1">
      <alignment vertical="center" wrapText="1"/>
    </xf>
    <xf numFmtId="0" fontId="67" fillId="6" borderId="1" xfId="0" applyNumberFormat="1" applyFont="1" applyFill="1" applyBorder="1" applyAlignment="1" applyProtection="1">
      <alignment horizontal="center" vertical="center" wrapText="1"/>
    </xf>
    <xf numFmtId="0" fontId="67" fillId="6" borderId="58" xfId="0" applyNumberFormat="1" applyFont="1" applyFill="1" applyBorder="1" applyAlignment="1" applyProtection="1">
      <alignment vertical="center" wrapText="1"/>
    </xf>
    <xf numFmtId="0" fontId="67" fillId="0" borderId="1" xfId="0" applyNumberFormat="1" applyFont="1" applyFill="1" applyBorder="1" applyAlignment="1" applyProtection="1">
      <alignment horizontal="center" vertical="center" wrapText="1"/>
      <protection locked="0"/>
    </xf>
    <xf numFmtId="0" fontId="67" fillId="6" borderId="15" xfId="0" applyNumberFormat="1" applyFont="1" applyFill="1" applyBorder="1" applyAlignment="1" applyProtection="1">
      <alignment vertical="center" wrapText="1"/>
    </xf>
    <xf numFmtId="0" fontId="67" fillId="5" borderId="1" xfId="0" applyNumberFormat="1" applyFont="1" applyFill="1" applyBorder="1" applyAlignment="1" applyProtection="1">
      <alignment horizontal="center" vertical="center" wrapText="1"/>
      <protection locked="0"/>
    </xf>
    <xf numFmtId="0" fontId="67" fillId="6" borderId="78" xfId="0" applyNumberFormat="1" applyFont="1" applyFill="1" applyBorder="1" applyAlignment="1" applyProtection="1">
      <alignment vertical="center" wrapText="1"/>
    </xf>
    <xf numFmtId="0" fontId="67" fillId="5"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110" fillId="6" borderId="152" xfId="0" applyFont="1" applyFill="1" applyBorder="1" applyAlignment="1" applyProtection="1">
      <alignment vertical="center"/>
    </xf>
    <xf numFmtId="0" fontId="52" fillId="6" borderId="152" xfId="0" applyFont="1" applyFill="1" applyBorder="1" applyAlignment="1" applyProtection="1">
      <alignment vertical="center" wrapText="1"/>
    </xf>
    <xf numFmtId="0" fontId="52" fillId="6" borderId="153" xfId="0" applyFont="1" applyFill="1" applyBorder="1" applyAlignment="1" applyProtection="1">
      <alignment vertical="center" wrapText="1"/>
    </xf>
    <xf numFmtId="0" fontId="52" fillId="6" borderId="152" xfId="0" applyFont="1" applyFill="1" applyBorder="1" applyAlignment="1" applyProtection="1">
      <alignment horizontal="center" vertical="center" wrapText="1"/>
    </xf>
    <xf numFmtId="0" fontId="52" fillId="0" borderId="152" xfId="0" applyFont="1" applyBorder="1" applyAlignment="1" applyProtection="1">
      <alignment vertical="center" wrapText="1"/>
    </xf>
    <xf numFmtId="0" fontId="50" fillId="6" borderId="0" xfId="0" applyFont="1" applyFill="1" applyBorder="1" applyAlignment="1" applyProtection="1">
      <alignment horizontal="center" vertical="center" wrapText="1"/>
    </xf>
    <xf numFmtId="0" fontId="50" fillId="6" borderId="54" xfId="0" applyFont="1" applyFill="1" applyBorder="1" applyAlignment="1" applyProtection="1">
      <alignment vertical="center" wrapText="1"/>
    </xf>
    <xf numFmtId="0" fontId="50" fillId="6" borderId="3" xfId="0" applyFont="1" applyFill="1" applyBorder="1" applyAlignment="1" applyProtection="1">
      <alignment vertical="center" wrapText="1"/>
    </xf>
    <xf numFmtId="49" fontId="50" fillId="6" borderId="5" xfId="0" applyNumberFormat="1" applyFont="1" applyFill="1" applyBorder="1" applyAlignment="1" applyProtection="1">
      <alignment horizontal="center" vertical="center" wrapText="1"/>
    </xf>
    <xf numFmtId="0" fontId="53" fillId="0" borderId="1" xfId="0" applyFont="1" applyBorder="1" applyAlignment="1" applyProtection="1">
      <alignment vertical="center" wrapText="1"/>
      <protection locked="0"/>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0" fillId="0" borderId="0" xfId="0" applyFont="1" applyAlignment="1" applyProtection="1">
      <alignment horizontal="center" vertical="center" wrapText="1"/>
    </xf>
    <xf numFmtId="49" fontId="50" fillId="0" borderId="58" xfId="0" applyNumberFormat="1" applyFont="1" applyBorder="1" applyAlignment="1" applyProtection="1">
      <alignment horizontal="center" vertical="center" wrapText="1"/>
    </xf>
    <xf numFmtId="49" fontId="50" fillId="0" borderId="0" xfId="0" applyNumberFormat="1" applyFont="1" applyAlignment="1" applyProtection="1">
      <alignment horizontal="center" vertical="center" wrapText="1"/>
    </xf>
    <xf numFmtId="0" fontId="112" fillId="6" borderId="0" xfId="0" applyFont="1" applyFill="1" applyAlignment="1" applyProtection="1">
      <alignment horizontal="left" vertical="center"/>
    </xf>
    <xf numFmtId="0" fontId="110" fillId="6" borderId="0" xfId="0" applyFont="1" applyFill="1" applyAlignment="1" applyProtection="1">
      <alignment horizontal="left" vertical="center"/>
    </xf>
    <xf numFmtId="0" fontId="53" fillId="6" borderId="0" xfId="0" applyFont="1" applyFill="1" applyAlignment="1" applyProtection="1">
      <alignment horizontal="center" vertical="center" wrapText="1"/>
    </xf>
    <xf numFmtId="0" fontId="53" fillId="6" borderId="0" xfId="0" applyFont="1" applyFill="1" applyBorder="1" applyAlignment="1" applyProtection="1">
      <alignment horizontal="center" vertical="center"/>
    </xf>
    <xf numFmtId="0" fontId="53" fillId="6" borderId="0"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0" fontId="53" fillId="2" borderId="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left" vertical="center"/>
    </xf>
    <xf numFmtId="180" fontId="53" fillId="6" borderId="0" xfId="0" applyNumberFormat="1" applyFont="1" applyFill="1" applyBorder="1" applyAlignment="1" applyProtection="1">
      <alignment horizontal="center" vertical="center" wrapText="1"/>
    </xf>
    <xf numFmtId="180" fontId="54" fillId="6" borderId="0" xfId="0" applyNumberFormat="1" applyFont="1" applyFill="1" applyBorder="1" applyAlignment="1" applyProtection="1">
      <alignment horizontal="center" vertical="center" wrapText="1"/>
    </xf>
    <xf numFmtId="177" fontId="53" fillId="6" borderId="0" xfId="0" applyNumberFormat="1" applyFont="1" applyFill="1" applyAlignment="1" applyProtection="1">
      <alignment horizontal="center" vertical="center" wrapText="1"/>
    </xf>
    <xf numFmtId="0" fontId="53" fillId="0" borderId="0" xfId="0" applyFont="1" applyFill="1" applyAlignment="1" applyProtection="1">
      <alignment horizontal="center" vertical="center" wrapText="1"/>
    </xf>
    <xf numFmtId="177" fontId="53" fillId="6" borderId="54" xfId="0" applyNumberFormat="1" applyFont="1" applyFill="1" applyBorder="1" applyAlignment="1" applyProtection="1">
      <alignment horizontal="center" vertical="center" wrapText="1"/>
    </xf>
    <xf numFmtId="177" fontId="53" fillId="6" borderId="3" xfId="0" applyNumberFormat="1" applyFont="1" applyFill="1" applyBorder="1" applyAlignment="1" applyProtection="1">
      <alignment horizontal="center" vertical="center" wrapText="1"/>
    </xf>
    <xf numFmtId="177" fontId="53" fillId="6" borderId="5" xfId="0" applyNumberFormat="1" applyFont="1" applyFill="1" applyBorder="1" applyAlignment="1" applyProtection="1">
      <alignment horizontal="center" vertical="center" wrapText="1"/>
    </xf>
    <xf numFmtId="177" fontId="53" fillId="0" borderId="0" xfId="0" applyNumberFormat="1" applyFont="1" applyAlignment="1" applyProtection="1">
      <alignment horizontal="center" vertical="center" wrapText="1"/>
    </xf>
    <xf numFmtId="0" fontId="53" fillId="6" borderId="46" xfId="0" applyFont="1" applyFill="1" applyBorder="1" applyAlignment="1" applyProtection="1">
      <alignment horizontal="left" vertical="center"/>
    </xf>
    <xf numFmtId="0" fontId="53" fillId="6" borderId="36" xfId="0"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3" fillId="6" borderId="59"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180" fontId="53" fillId="6" borderId="5" xfId="0" applyNumberFormat="1" applyFont="1" applyFill="1" applyBorder="1" applyAlignment="1" applyProtection="1">
      <alignment horizontal="left" vertical="center"/>
    </xf>
    <xf numFmtId="0" fontId="54" fillId="6" borderId="54" xfId="0" applyFont="1" applyFill="1" applyBorder="1" applyAlignment="1" applyProtection="1">
      <alignment horizontal="center" vertical="center"/>
    </xf>
    <xf numFmtId="180" fontId="53" fillId="6" borderId="54"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horizontal="center" vertical="center"/>
    </xf>
    <xf numFmtId="0" fontId="54" fillId="6" borderId="36" xfId="0" applyFont="1" applyFill="1" applyBorder="1" applyAlignment="1" applyProtection="1">
      <alignment horizontal="center" vertical="center"/>
    </xf>
    <xf numFmtId="0" fontId="53" fillId="0" borderId="0" xfId="0" applyFont="1" applyAlignment="1" applyProtection="1">
      <alignment horizontal="center" vertical="center"/>
    </xf>
    <xf numFmtId="180" fontId="53" fillId="6" borderId="0" xfId="0" applyNumberFormat="1" applyFont="1" applyFill="1" applyBorder="1" applyAlignment="1" applyProtection="1">
      <alignment horizontal="center" vertical="center"/>
    </xf>
    <xf numFmtId="0" fontId="53" fillId="2" borderId="4" xfId="0" applyFont="1" applyFill="1" applyBorder="1" applyAlignment="1" applyProtection="1">
      <alignment horizontal="left" vertical="center"/>
      <protection locked="0"/>
    </xf>
    <xf numFmtId="0" fontId="54" fillId="6" borderId="54" xfId="0" applyFont="1" applyFill="1" applyBorder="1" applyAlignment="1" applyProtection="1">
      <alignment horizontal="left" vertical="center"/>
    </xf>
    <xf numFmtId="0" fontId="53" fillId="6" borderId="7" xfId="0" applyFont="1" applyFill="1" applyBorder="1" applyAlignment="1" applyProtection="1">
      <alignment horizontal="left" vertical="center"/>
    </xf>
    <xf numFmtId="180" fontId="53" fillId="6" borderId="4" xfId="0" applyNumberFormat="1" applyFont="1" applyFill="1" applyBorder="1" applyAlignment="1" applyProtection="1">
      <alignment horizontal="center" vertical="center"/>
    </xf>
    <xf numFmtId="0" fontId="54" fillId="6" borderId="60" xfId="0" applyFont="1" applyFill="1" applyBorder="1" applyAlignment="1" applyProtection="1">
      <alignment horizontal="center" vertical="center"/>
    </xf>
    <xf numFmtId="180" fontId="53" fillId="6" borderId="7" xfId="0" applyNumberFormat="1" applyFont="1" applyFill="1" applyBorder="1" applyAlignment="1" applyProtection="1">
      <alignment horizontal="center" vertical="center"/>
    </xf>
    <xf numFmtId="0" fontId="53" fillId="2" borderId="5" xfId="0" applyFont="1" applyFill="1" applyBorder="1" applyAlignment="1" applyProtection="1">
      <alignment horizontal="left" vertical="center"/>
      <protection locked="0"/>
    </xf>
    <xf numFmtId="0" fontId="53" fillId="6" borderId="3" xfId="0" applyFont="1" applyFill="1" applyBorder="1" applyAlignment="1" applyProtection="1">
      <alignment horizontal="right" vertical="center"/>
    </xf>
    <xf numFmtId="180" fontId="53" fillId="6" borderId="35" xfId="0" applyNumberFormat="1"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2" borderId="54" xfId="0" applyFont="1" applyFill="1" applyBorder="1" applyAlignment="1" applyProtection="1">
      <alignment horizontal="left" vertical="center"/>
      <protection locked="0"/>
    </xf>
    <xf numFmtId="0" fontId="54" fillId="6" borderId="3" xfId="0" applyFont="1" applyFill="1" applyBorder="1" applyAlignment="1" applyProtection="1">
      <alignment horizontal="left" vertical="center"/>
    </xf>
    <xf numFmtId="0" fontId="123" fillId="6" borderId="5" xfId="0" applyFont="1" applyFill="1" applyBorder="1" applyAlignment="1" applyProtection="1">
      <alignment horizontal="left" vertical="center"/>
    </xf>
    <xf numFmtId="0" fontId="245" fillId="6" borderId="3" xfId="0" applyFont="1" applyFill="1" applyBorder="1" applyAlignment="1" applyProtection="1">
      <alignment horizontal="right" vertical="center"/>
    </xf>
    <xf numFmtId="0" fontId="53" fillId="6" borderId="61" xfId="0" applyFont="1" applyFill="1" applyBorder="1" applyAlignment="1" applyProtection="1">
      <alignment horizontal="center" vertical="center"/>
    </xf>
    <xf numFmtId="0" fontId="53" fillId="6" borderId="4" xfId="0" applyFont="1" applyFill="1" applyBorder="1" applyAlignment="1" applyProtection="1">
      <alignment horizontal="center" vertical="center" wrapText="1"/>
    </xf>
    <xf numFmtId="180" fontId="53" fillId="6" borderId="7" xfId="0" applyNumberFormat="1" applyFont="1" applyFill="1" applyBorder="1" applyAlignment="1" applyProtection="1">
      <alignment horizontal="center" vertical="center" wrapText="1"/>
    </xf>
    <xf numFmtId="180" fontId="53" fillId="6" borderId="2" xfId="0" applyNumberFormat="1" applyFont="1" applyFill="1" applyBorder="1" applyAlignment="1" applyProtection="1">
      <alignment horizontal="center" vertical="center" wrapText="1"/>
    </xf>
    <xf numFmtId="180" fontId="53" fillId="6" borderId="4" xfId="0" applyNumberFormat="1"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0" fontId="53" fillId="6" borderId="1"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wrapText="1"/>
      <protection locked="0"/>
    </xf>
    <xf numFmtId="177" fontId="53" fillId="0" borderId="1" xfId="0" applyNumberFormat="1" applyFont="1" applyBorder="1" applyAlignment="1" applyProtection="1">
      <alignment vertical="center" wrapText="1"/>
      <protection locked="0"/>
    </xf>
    <xf numFmtId="177" fontId="53" fillId="0" borderId="1" xfId="0" applyNumberFormat="1" applyFont="1" applyBorder="1" applyAlignment="1" applyProtection="1">
      <alignment horizontal="center" vertical="center" wrapText="1"/>
      <protection locked="0"/>
    </xf>
    <xf numFmtId="177" fontId="53" fillId="0" borderId="2" xfId="0" applyNumberFormat="1"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xf>
    <xf numFmtId="177" fontId="50" fillId="0" borderId="0"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wrapText="1"/>
    </xf>
    <xf numFmtId="0" fontId="55" fillId="0" borderId="0" xfId="0" applyFont="1" applyAlignment="1" applyProtection="1">
      <alignment horizontal="center" vertical="center" wrapText="1"/>
    </xf>
    <xf numFmtId="0" fontId="55" fillId="0" borderId="0" xfId="0" applyFont="1" applyAlignment="1" applyProtection="1">
      <alignment horizontal="center" vertical="center"/>
    </xf>
    <xf numFmtId="0" fontId="112" fillId="6" borderId="0" xfId="0" applyFont="1" applyFill="1" applyProtection="1">
      <alignment vertical="center"/>
    </xf>
    <xf numFmtId="0" fontId="50" fillId="0" borderId="0" xfId="0" applyFont="1" applyProtection="1">
      <alignment vertical="center"/>
      <protection locked="0"/>
    </xf>
    <xf numFmtId="177" fontId="56" fillId="6" borderId="1" xfId="1" applyNumberFormat="1" applyFont="1" applyFill="1" applyBorder="1" applyAlignment="1" applyProtection="1">
      <alignment horizontal="center" vertical="center"/>
    </xf>
    <xf numFmtId="0" fontId="50" fillId="6" borderId="5" xfId="0" applyFont="1" applyFill="1" applyBorder="1" applyProtection="1">
      <alignment vertical="center"/>
    </xf>
    <xf numFmtId="0" fontId="50" fillId="6" borderId="54" xfId="0" applyFont="1" applyFill="1" applyBorder="1" applyProtection="1">
      <alignment vertical="center"/>
    </xf>
    <xf numFmtId="0" fontId="52" fillId="6" borderId="3"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177" fontId="56" fillId="6" borderId="10" xfId="1" applyNumberFormat="1" applyFont="1" applyFill="1" applyBorder="1" applyAlignment="1" applyProtection="1">
      <alignment horizontal="center" vertical="center"/>
    </xf>
    <xf numFmtId="0" fontId="50" fillId="6" borderId="2" xfId="0" applyFont="1" applyFill="1" applyBorder="1" applyProtection="1">
      <alignment vertical="center"/>
    </xf>
    <xf numFmtId="0" fontId="50" fillId="6" borderId="12" xfId="0" applyFont="1" applyFill="1" applyBorder="1" applyAlignment="1" applyProtection="1">
      <alignment vertical="center"/>
    </xf>
    <xf numFmtId="0" fontId="50" fillId="6" borderId="15" xfId="0" applyFont="1" applyFill="1" applyBorder="1" applyProtection="1">
      <alignment vertical="center"/>
    </xf>
    <xf numFmtId="177" fontId="52" fillId="6" borderId="10" xfId="1" applyNumberFormat="1" applyFont="1" applyFill="1" applyBorder="1" applyAlignment="1" applyProtection="1">
      <alignment horizontal="center" vertical="center"/>
    </xf>
    <xf numFmtId="0" fontId="50" fillId="6" borderId="0" xfId="0" applyFont="1" applyFill="1" applyBorder="1" applyProtection="1">
      <alignment vertical="center"/>
      <protection locked="0"/>
    </xf>
    <xf numFmtId="0" fontId="50" fillId="6" borderId="14" xfId="0" applyFont="1" applyFill="1" applyBorder="1" applyAlignment="1" applyProtection="1">
      <alignment vertical="center"/>
    </xf>
    <xf numFmtId="0" fontId="50" fillId="6" borderId="15" xfId="0" applyFont="1" applyFill="1" applyBorder="1" applyAlignment="1" applyProtection="1">
      <alignment vertical="center"/>
    </xf>
    <xf numFmtId="0" fontId="52" fillId="6" borderId="51" xfId="0" applyFont="1" applyFill="1" applyBorder="1" applyProtection="1">
      <alignment vertical="center"/>
    </xf>
    <xf numFmtId="0" fontId="50" fillId="6" borderId="21" xfId="0" applyFont="1" applyFill="1" applyBorder="1" applyProtection="1">
      <alignment vertical="center"/>
    </xf>
    <xf numFmtId="0" fontId="50" fillId="6" borderId="16" xfId="0" applyFont="1" applyFill="1" applyBorder="1" applyAlignment="1" applyProtection="1">
      <alignment vertical="center"/>
    </xf>
    <xf numFmtId="0" fontId="50" fillId="6" borderId="17" xfId="0" applyFont="1" applyFill="1" applyBorder="1" applyProtection="1">
      <alignment vertical="center"/>
    </xf>
    <xf numFmtId="0" fontId="50" fillId="6" borderId="19" xfId="0" applyFont="1" applyFill="1" applyBorder="1" applyAlignment="1" applyProtection="1">
      <alignment vertical="center"/>
    </xf>
    <xf numFmtId="0" fontId="52" fillId="6" borderId="17" xfId="0" applyFont="1" applyFill="1" applyBorder="1" applyAlignment="1" applyProtection="1">
      <alignment horizontal="center" vertical="center"/>
    </xf>
    <xf numFmtId="177" fontId="56" fillId="6" borderId="29" xfId="1" applyNumberFormat="1" applyFont="1" applyFill="1" applyBorder="1" applyAlignment="1" applyProtection="1">
      <alignment horizontal="center" vertical="center"/>
    </xf>
    <xf numFmtId="177" fontId="56" fillId="6" borderId="20" xfId="1" applyNumberFormat="1" applyFont="1" applyFill="1" applyBorder="1" applyAlignment="1" applyProtection="1">
      <alignment horizontal="center" vertical="center"/>
    </xf>
    <xf numFmtId="177" fontId="56" fillId="6" borderId="21" xfId="1" applyNumberFormat="1" applyFont="1" applyFill="1" applyBorder="1" applyAlignment="1" applyProtection="1">
      <alignment horizontal="center" vertical="center"/>
    </xf>
    <xf numFmtId="0" fontId="52" fillId="6" borderId="55" xfId="0" applyFont="1" applyFill="1" applyBorder="1" applyAlignment="1" applyProtection="1">
      <alignment horizontal="right" vertical="center"/>
    </xf>
    <xf numFmtId="180" fontId="52" fillId="2" borderId="24" xfId="0" applyNumberFormat="1" applyFont="1" applyFill="1" applyBorder="1" applyAlignment="1" applyProtection="1">
      <alignment horizontal="center" vertical="center"/>
      <protection locked="0"/>
    </xf>
    <xf numFmtId="0" fontId="50" fillId="6" borderId="2" xfId="0" applyFont="1" applyFill="1" applyBorder="1" applyAlignment="1" applyProtection="1">
      <alignment vertical="center"/>
    </xf>
    <xf numFmtId="0" fontId="50" fillId="6" borderId="0" xfId="0" applyFont="1" applyFill="1" applyBorder="1" applyAlignment="1" applyProtection="1">
      <alignment vertical="center"/>
    </xf>
    <xf numFmtId="0" fontId="52" fillId="6" borderId="2" xfId="0" applyFont="1" applyFill="1" applyBorder="1" applyAlignment="1" applyProtection="1">
      <alignment horizontal="center" vertical="center"/>
    </xf>
    <xf numFmtId="177" fontId="57" fillId="6" borderId="2" xfId="1"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180"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0" fillId="6" borderId="18" xfId="0" applyFont="1" applyFill="1" applyBorder="1" applyProtection="1">
      <alignment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6" borderId="18" xfId="0" applyFont="1" applyFill="1" applyBorder="1" applyAlignment="1" applyProtection="1">
      <alignment vertical="center"/>
    </xf>
    <xf numFmtId="0" fontId="50" fillId="0" borderId="11" xfId="0" applyFont="1" applyBorder="1" applyProtection="1">
      <alignment vertical="center"/>
      <protection locked="0"/>
    </xf>
    <xf numFmtId="0" fontId="50" fillId="0" borderId="13" xfId="0" applyFont="1" applyBorder="1" applyProtection="1">
      <alignment vertical="center"/>
      <protection locked="0"/>
    </xf>
    <xf numFmtId="0" fontId="52" fillId="6" borderId="3"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2" fillId="6" borderId="22" xfId="0" applyFont="1" applyFill="1" applyBorder="1" applyAlignment="1" applyProtection="1">
      <alignment horizontal="left" vertical="center"/>
    </xf>
    <xf numFmtId="0" fontId="50" fillId="6" borderId="42" xfId="0" applyFont="1" applyFill="1" applyBorder="1" applyAlignment="1" applyProtection="1">
      <alignment vertical="center"/>
    </xf>
    <xf numFmtId="0" fontId="50" fillId="6" borderId="33" xfId="0" applyFont="1" applyFill="1" applyBorder="1" applyProtection="1">
      <alignment vertical="center"/>
    </xf>
    <xf numFmtId="177" fontId="50" fillId="0" borderId="0" xfId="0" applyNumberFormat="1" applyFont="1" applyProtection="1">
      <alignment vertical="center"/>
      <protection locked="0"/>
    </xf>
    <xf numFmtId="0" fontId="112" fillId="6" borderId="0" xfId="0" applyFont="1" applyFill="1" applyAlignment="1" applyProtection="1">
      <alignment vertical="center" wrapText="1"/>
    </xf>
    <xf numFmtId="180" fontId="53" fillId="6" borderId="0" xfId="0" applyNumberFormat="1" applyFont="1" applyFill="1" applyAlignment="1" applyProtection="1">
      <alignment vertical="center"/>
      <protection locked="0"/>
    </xf>
    <xf numFmtId="0" fontId="53" fillId="0" borderId="0" xfId="0" applyFont="1" applyAlignment="1" applyProtection="1">
      <alignment vertical="center"/>
      <protection locked="0"/>
    </xf>
    <xf numFmtId="0" fontId="53" fillId="0" borderId="0" xfId="0" applyFont="1" applyAlignment="1" applyProtection="1">
      <alignment vertical="center"/>
    </xf>
    <xf numFmtId="0" fontId="52" fillId="6" borderId="26" xfId="0" applyFont="1" applyFill="1" applyBorder="1" applyAlignment="1" applyProtection="1">
      <alignment vertical="center" wrapText="1"/>
    </xf>
    <xf numFmtId="0" fontId="50" fillId="6" borderId="0" xfId="0" applyFont="1" applyFill="1" applyAlignment="1" applyProtection="1">
      <alignment vertical="center"/>
      <protection locked="0"/>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6" borderId="0" xfId="0" applyFont="1" applyFill="1" applyAlignment="1" applyProtection="1">
      <alignment vertical="center"/>
    </xf>
    <xf numFmtId="0" fontId="50" fillId="6" borderId="63" xfId="0" applyFont="1" applyFill="1" applyBorder="1" applyAlignment="1" applyProtection="1">
      <alignment vertical="center"/>
    </xf>
    <xf numFmtId="0" fontId="50" fillId="6" borderId="64" xfId="0" applyFont="1" applyFill="1" applyBorder="1" applyAlignment="1" applyProtection="1">
      <alignment vertical="center"/>
    </xf>
    <xf numFmtId="180" fontId="50" fillId="6" borderId="64" xfId="0" applyNumberFormat="1" applyFont="1" applyFill="1" applyBorder="1" applyAlignment="1" applyProtection="1">
      <alignment vertical="center"/>
    </xf>
    <xf numFmtId="0" fontId="50" fillId="6" borderId="65" xfId="0" applyFont="1" applyFill="1" applyBorder="1" applyAlignment="1" applyProtection="1">
      <alignment vertical="center"/>
    </xf>
    <xf numFmtId="0" fontId="50" fillId="6" borderId="63" xfId="0" applyFont="1" applyFill="1" applyBorder="1" applyAlignment="1" applyProtection="1">
      <alignment horizontal="center" vertical="center"/>
    </xf>
    <xf numFmtId="0" fontId="50" fillId="6" borderId="64" xfId="0" applyFont="1" applyFill="1" applyBorder="1" applyAlignment="1" applyProtection="1">
      <alignment horizontal="center" vertical="center"/>
    </xf>
    <xf numFmtId="0" fontId="50" fillId="6" borderId="82" xfId="0" applyFont="1" applyFill="1" applyBorder="1" applyAlignment="1" applyProtection="1">
      <alignment horizontal="center" vertical="center"/>
    </xf>
    <xf numFmtId="0" fontId="50" fillId="6" borderId="31" xfId="0" applyFont="1" applyFill="1" applyBorder="1" applyAlignment="1" applyProtection="1">
      <alignment vertical="center"/>
    </xf>
    <xf numFmtId="0" fontId="50" fillId="6" borderId="6" xfId="1" applyFont="1" applyFill="1" applyBorder="1" applyAlignment="1" applyProtection="1">
      <alignment vertical="center" wrapText="1"/>
    </xf>
    <xf numFmtId="0" fontId="50" fillId="6" borderId="9" xfId="1" applyFont="1" applyFill="1" applyBorder="1" applyAlignment="1" applyProtection="1">
      <alignment vertical="center" wrapText="1"/>
    </xf>
    <xf numFmtId="0" fontId="50" fillId="6" borderId="28" xfId="1" applyFont="1" applyFill="1" applyBorder="1" applyAlignment="1" applyProtection="1">
      <alignment vertical="center" wrapText="1"/>
    </xf>
    <xf numFmtId="181" fontId="57" fillId="6" borderId="6" xfId="1" applyNumberFormat="1" applyFont="1" applyFill="1" applyBorder="1" applyAlignment="1" applyProtection="1">
      <alignment horizontal="center" vertical="center" wrapText="1"/>
    </xf>
    <xf numFmtId="180" fontId="50" fillId="6" borderId="9" xfId="0" applyNumberFormat="1" applyFont="1" applyFill="1" applyBorder="1" applyAlignment="1" applyProtection="1">
      <alignment horizontal="center" vertical="center" wrapText="1"/>
    </xf>
    <xf numFmtId="0" fontId="107" fillId="6" borderId="10" xfId="0" applyFont="1" applyFill="1" applyBorder="1" applyAlignment="1" applyProtection="1">
      <alignment horizontal="center" vertical="center" wrapText="1"/>
    </xf>
    <xf numFmtId="178" fontId="50" fillId="6" borderId="6" xfId="1" applyNumberFormat="1" applyFont="1" applyFill="1" applyBorder="1" applyAlignment="1" applyProtection="1">
      <alignment horizontal="center" vertical="center" wrapText="1"/>
    </xf>
    <xf numFmtId="0" fontId="50" fillId="6" borderId="9" xfId="1" applyFont="1" applyFill="1" applyBorder="1" applyAlignment="1" applyProtection="1">
      <alignment horizontal="center" vertical="center" wrapText="1"/>
    </xf>
    <xf numFmtId="180" fontId="50" fillId="6" borderId="9" xfId="1" applyNumberFormat="1" applyFont="1" applyFill="1" applyBorder="1" applyAlignment="1" applyProtection="1">
      <alignment horizontal="center" vertical="center" wrapText="1"/>
    </xf>
    <xf numFmtId="0" fontId="50" fillId="5" borderId="9" xfId="1" applyFont="1" applyFill="1" applyBorder="1" applyAlignment="1" applyProtection="1">
      <alignment horizontal="center" vertical="center" wrapText="1"/>
      <protection locked="0"/>
    </xf>
    <xf numFmtId="0" fontId="50" fillId="6" borderId="28" xfId="1" applyFont="1" applyFill="1" applyBorder="1" applyAlignment="1" applyProtection="1">
      <alignment horizontal="center" vertical="center" wrapText="1"/>
    </xf>
    <xf numFmtId="0" fontId="50" fillId="6" borderId="6" xfId="1" applyFont="1" applyFill="1" applyBorder="1" applyAlignment="1" applyProtection="1">
      <alignment horizontal="center" vertical="center" wrapText="1"/>
    </xf>
    <xf numFmtId="0" fontId="50" fillId="6" borderId="19" xfId="1" applyFont="1" applyFill="1" applyBorder="1" applyAlignment="1" applyProtection="1">
      <alignment horizontal="center" vertical="center" wrapText="1"/>
    </xf>
    <xf numFmtId="0" fontId="50" fillId="6" borderId="62" xfId="1"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protection locked="0"/>
    </xf>
    <xf numFmtId="0" fontId="50" fillId="6" borderId="1" xfId="1" applyFont="1" applyFill="1" applyBorder="1" applyAlignment="1" applyProtection="1">
      <alignment horizontal="center" vertical="center" wrapText="1"/>
    </xf>
    <xf numFmtId="178" fontId="53" fillId="6" borderId="23" xfId="1" applyNumberFormat="1" applyFont="1" applyFill="1" applyBorder="1" applyAlignment="1" applyProtection="1">
      <alignment horizontal="left" vertical="center"/>
    </xf>
    <xf numFmtId="178" fontId="50" fillId="6" borderId="1" xfId="1" applyNumberFormat="1" applyFont="1" applyFill="1" applyBorder="1" applyAlignment="1" applyProtection="1">
      <alignment vertical="center"/>
    </xf>
    <xf numFmtId="178" fontId="50" fillId="2" borderId="5" xfId="1" applyNumberFormat="1" applyFont="1" applyFill="1" applyBorder="1" applyAlignment="1" applyProtection="1">
      <alignment vertical="center"/>
      <protection locked="0"/>
    </xf>
    <xf numFmtId="0" fontId="107" fillId="2" borderId="3" xfId="0" applyFont="1" applyFill="1" applyBorder="1" applyAlignment="1" applyProtection="1">
      <alignment horizontal="center" vertical="center"/>
      <protection locked="0"/>
    </xf>
    <xf numFmtId="0" fontId="50" fillId="6" borderId="1" xfId="0" applyFont="1" applyFill="1" applyBorder="1" applyAlignment="1" applyProtection="1">
      <alignment horizontal="right" vertical="center"/>
    </xf>
    <xf numFmtId="178" fontId="50" fillId="6" borderId="23" xfId="1" applyNumberFormat="1" applyFont="1" applyFill="1" applyBorder="1" applyAlignment="1" applyProtection="1">
      <alignment horizontal="left" vertical="center" wrapText="1"/>
      <protection locked="0"/>
    </xf>
    <xf numFmtId="178" fontId="50" fillId="6" borderId="5" xfId="1" applyNumberFormat="1" applyFont="1" applyFill="1" applyBorder="1" applyAlignment="1" applyProtection="1">
      <alignment vertical="center"/>
    </xf>
    <xf numFmtId="0" fontId="52" fillId="6" borderId="25" xfId="1" applyFont="1" applyFill="1" applyBorder="1" applyAlignment="1" applyProtection="1">
      <alignment vertical="center" wrapText="1"/>
    </xf>
    <xf numFmtId="0" fontId="52" fillId="6" borderId="25" xfId="1" applyFont="1" applyFill="1" applyBorder="1" applyAlignment="1" applyProtection="1">
      <alignment vertical="center"/>
    </xf>
    <xf numFmtId="0" fontId="58" fillId="6" borderId="0" xfId="0" applyFont="1" applyFill="1" applyAlignment="1" applyProtection="1">
      <alignment vertical="center" wrapText="1"/>
    </xf>
    <xf numFmtId="177" fontId="57" fillId="6" borderId="6" xfId="1" applyNumberFormat="1" applyFont="1" applyFill="1" applyBorder="1" applyAlignment="1" applyProtection="1">
      <alignment vertical="center" wrapText="1"/>
    </xf>
    <xf numFmtId="177" fontId="57" fillId="6" borderId="23" xfId="1" applyNumberFormat="1" applyFont="1" applyFill="1" applyBorder="1" applyAlignment="1" applyProtection="1">
      <alignment vertical="center" wrapText="1"/>
    </xf>
    <xf numFmtId="177" fontId="50" fillId="6" borderId="23" xfId="1" applyNumberFormat="1" applyFont="1" applyFill="1" applyBorder="1" applyAlignment="1" applyProtection="1">
      <alignment vertical="center" wrapText="1"/>
    </xf>
    <xf numFmtId="177" fontId="57" fillId="6" borderId="25" xfId="1" applyNumberFormat="1" applyFont="1" applyFill="1" applyBorder="1" applyAlignment="1" applyProtection="1">
      <alignment vertical="center" wrapText="1"/>
    </xf>
    <xf numFmtId="0" fontId="50" fillId="6" borderId="34" xfId="0" applyFont="1" applyFill="1" applyBorder="1" applyAlignment="1" applyProtection="1">
      <alignment horizontal="center" vertical="center"/>
    </xf>
    <xf numFmtId="0" fontId="50" fillId="6" borderId="67" xfId="0" applyFont="1" applyFill="1" applyBorder="1" applyAlignment="1" applyProtection="1">
      <alignment horizontal="center" vertical="center"/>
      <protection locked="0"/>
    </xf>
    <xf numFmtId="0" fontId="50" fillId="6" borderId="6" xfId="0" applyFont="1" applyFill="1" applyBorder="1" applyAlignment="1" applyProtection="1">
      <alignment vertical="center" wrapText="1"/>
    </xf>
    <xf numFmtId="180" fontId="50" fillId="6" borderId="0" xfId="0" applyNumberFormat="1" applyFont="1" applyFill="1" applyAlignment="1" applyProtection="1">
      <alignment horizontal="center" vertical="center"/>
      <protection locked="0"/>
    </xf>
    <xf numFmtId="0" fontId="53" fillId="0" borderId="0" xfId="0" applyFont="1" applyFill="1" applyAlignment="1" applyProtection="1">
      <alignment vertical="center"/>
    </xf>
    <xf numFmtId="0" fontId="50" fillId="6" borderId="23" xfId="0" applyFont="1" applyFill="1" applyBorder="1" applyAlignment="1" applyProtection="1">
      <alignment vertical="center" wrapText="1"/>
    </xf>
    <xf numFmtId="0" fontId="107" fillId="6" borderId="0" xfId="0" applyFont="1" applyFill="1" applyAlignment="1" applyProtection="1">
      <alignment horizontal="center" vertical="center"/>
      <protection locked="0"/>
    </xf>
    <xf numFmtId="0" fontId="50" fillId="6" borderId="25" xfId="0"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0" fillId="6" borderId="11" xfId="0" applyFont="1" applyFill="1" applyBorder="1" applyAlignment="1" applyProtection="1">
      <alignment vertical="center" wrapText="1"/>
    </xf>
    <xf numFmtId="0" fontId="50" fillId="6" borderId="11" xfId="0" applyFont="1" applyFill="1" applyBorder="1" applyAlignment="1" applyProtection="1">
      <alignment horizontal="left" vertical="center" wrapText="1"/>
    </xf>
    <xf numFmtId="182" fontId="107" fillId="6" borderId="0" xfId="0" applyNumberFormat="1" applyFont="1" applyFill="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25" xfId="0" applyFont="1" applyFill="1" applyBorder="1" applyAlignment="1" applyProtection="1">
      <alignment horizontal="right" vertical="center" wrapText="1"/>
    </xf>
    <xf numFmtId="0" fontId="50" fillId="6" borderId="14" xfId="0" applyFont="1" applyFill="1" applyBorder="1" applyAlignment="1" applyProtection="1">
      <alignment vertical="center" wrapText="1"/>
    </xf>
    <xf numFmtId="0" fontId="50" fillId="6" borderId="40" xfId="0" applyFont="1" applyFill="1" applyBorder="1" applyAlignment="1" applyProtection="1">
      <alignment vertical="center" wrapText="1"/>
    </xf>
    <xf numFmtId="0" fontId="55" fillId="6" borderId="0" xfId="0" applyFont="1" applyFill="1" applyAlignment="1" applyProtection="1">
      <alignment vertical="center"/>
      <protection locked="0"/>
    </xf>
    <xf numFmtId="0" fontId="50" fillId="0" borderId="23" xfId="0" applyFont="1" applyBorder="1" applyAlignment="1" applyProtection="1">
      <alignment horizontal="right" vertical="center" wrapText="1"/>
      <protection locked="0"/>
    </xf>
    <xf numFmtId="0" fontId="50" fillId="6" borderId="0" xfId="0" applyFont="1" applyFill="1" applyBorder="1" applyAlignment="1" applyProtection="1">
      <alignment vertical="center"/>
      <protection locked="0"/>
    </xf>
    <xf numFmtId="0" fontId="50" fillId="0" borderId="25" xfId="0" applyFont="1" applyBorder="1" applyAlignment="1" applyProtection="1">
      <alignment horizontal="right" vertical="center" wrapText="1"/>
      <protection locked="0"/>
    </xf>
    <xf numFmtId="0" fontId="53" fillId="7" borderId="0" xfId="0" applyFont="1" applyFill="1" applyAlignment="1" applyProtection="1">
      <alignment vertical="center" wrapText="1"/>
      <protection locked="0"/>
    </xf>
    <xf numFmtId="180" fontId="53" fillId="7"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80" fontId="53" fillId="0" borderId="0" xfId="0" applyNumberFormat="1" applyFont="1" applyAlignment="1" applyProtection="1">
      <alignment vertical="center"/>
      <protection locked="0"/>
    </xf>
    <xf numFmtId="0" fontId="53" fillId="0" borderId="0" xfId="0" applyFont="1" applyAlignment="1" applyProtection="1">
      <alignment vertical="center" wrapText="1"/>
    </xf>
    <xf numFmtId="180" fontId="53" fillId="0" borderId="0" xfId="0" applyNumberFormat="1" applyFont="1" applyAlignment="1" applyProtection="1">
      <alignment vertical="center"/>
    </xf>
    <xf numFmtId="0" fontId="129" fillId="0" borderId="5" xfId="5" applyFont="1" applyBorder="1" applyAlignment="1">
      <alignment horizontal="right" vertical="center"/>
    </xf>
    <xf numFmtId="193" fontId="129" fillId="0" borderId="5" xfId="5" applyNumberFormat="1" applyFont="1" applyFill="1" applyBorder="1" applyAlignment="1">
      <alignment horizontal="right" vertical="center"/>
    </xf>
    <xf numFmtId="0" fontId="129" fillId="0" borderId="5" xfId="5" applyFont="1" applyFill="1" applyBorder="1" applyAlignment="1">
      <alignment horizontal="left" vertical="center"/>
    </xf>
    <xf numFmtId="0" fontId="129" fillId="0" borderId="154" xfId="5" applyFont="1" applyBorder="1" applyAlignment="1">
      <alignment vertical="center"/>
    </xf>
    <xf numFmtId="0" fontId="129" fillId="0" borderId="154" xfId="5" applyFont="1" applyFill="1" applyBorder="1">
      <alignment vertical="center"/>
    </xf>
    <xf numFmtId="0" fontId="129" fillId="0" borderId="154" xfId="5" applyFont="1" applyFill="1" applyBorder="1" applyAlignment="1">
      <alignment horizontal="left" vertical="center"/>
    </xf>
    <xf numFmtId="185" fontId="129" fillId="0" borderId="5" xfId="5" applyNumberFormat="1" applyFont="1" applyFill="1" applyBorder="1" applyAlignment="1">
      <alignment horizontal="right" vertical="center"/>
    </xf>
    <xf numFmtId="14" fontId="131" fillId="0" borderId="5" xfId="5" applyNumberFormat="1" applyFont="1" applyBorder="1">
      <alignment vertical="center"/>
    </xf>
    <xf numFmtId="0" fontId="129" fillId="0" borderId="154" xfId="5" applyFont="1" applyFill="1" applyBorder="1" applyAlignment="1">
      <alignment horizontal="right" vertical="center"/>
    </xf>
    <xf numFmtId="0" fontId="131" fillId="0" borderId="154" xfId="5" applyFont="1" applyBorder="1">
      <alignment vertical="center"/>
    </xf>
    <xf numFmtId="0" fontId="225" fillId="7" borderId="102" xfId="0" applyFont="1" applyFill="1" applyBorder="1" applyAlignment="1" applyProtection="1">
      <alignment horizontal="center" vertical="center" wrapText="1"/>
      <protection locked="0"/>
    </xf>
    <xf numFmtId="0" fontId="225" fillId="7" borderId="102" xfId="0" applyNumberFormat="1" applyFont="1" applyFill="1" applyBorder="1" applyAlignment="1" applyProtection="1">
      <alignment horizontal="center" vertical="center" wrapText="1"/>
      <protection locked="0"/>
    </xf>
    <xf numFmtId="0" fontId="225" fillId="7" borderId="103" xfId="0" applyFont="1" applyFill="1" applyBorder="1" applyAlignment="1" applyProtection="1">
      <alignment horizontal="center" vertical="center" wrapText="1"/>
      <protection locked="0"/>
    </xf>
    <xf numFmtId="0" fontId="247" fillId="7" borderId="0" xfId="0" applyNumberFormat="1" applyFont="1" applyFill="1" applyAlignment="1" applyProtection="1">
      <alignment horizontal="center" vertical="center"/>
      <protection locked="0"/>
    </xf>
    <xf numFmtId="0" fontId="247" fillId="7" borderId="0" xfId="0" applyFont="1" applyFill="1" applyAlignment="1" applyProtection="1">
      <alignment horizontal="center" vertical="center"/>
      <protection locked="0"/>
    </xf>
    <xf numFmtId="0" fontId="247" fillId="0" borderId="0" xfId="0" applyFont="1" applyAlignment="1" applyProtection="1">
      <alignment horizontal="center" vertical="center"/>
      <protection locked="0"/>
    </xf>
    <xf numFmtId="0" fontId="52" fillId="6" borderId="63" xfId="0" applyFont="1" applyFill="1" applyBorder="1" applyAlignment="1" applyProtection="1">
      <alignment horizontal="center" vertical="center" wrapText="1"/>
    </xf>
    <xf numFmtId="0" fontId="52" fillId="6" borderId="34" xfId="0" applyFont="1" applyFill="1" applyBorder="1" applyAlignment="1" applyProtection="1">
      <alignment horizontal="right" vertical="center" wrapText="1"/>
    </xf>
    <xf numFmtId="0" fontId="52" fillId="6" borderId="6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xf>
    <xf numFmtId="0" fontId="52" fillId="6" borderId="63" xfId="0" applyFont="1" applyFill="1" applyBorder="1" applyAlignment="1" applyProtection="1">
      <alignment horizontal="right" vertical="center" wrapText="1"/>
    </xf>
    <xf numFmtId="0" fontId="50" fillId="7" borderId="0" xfId="0" applyFont="1" applyFill="1" applyAlignment="1" applyProtection="1">
      <alignment horizontal="center" vertical="center"/>
      <protection locked="0"/>
    </xf>
    <xf numFmtId="0" fontId="50" fillId="0" borderId="0" xfId="0" applyFont="1" applyAlignment="1" applyProtection="1">
      <alignment horizontal="center" vertical="center"/>
      <protection locked="0"/>
    </xf>
    <xf numFmtId="49" fontId="181" fillId="0" borderId="10" xfId="0" applyNumberFormat="1" applyFont="1" applyFill="1" applyBorder="1" applyAlignment="1" applyProtection="1">
      <alignment horizontal="center" vertical="center" wrapText="1"/>
      <protection locked="0"/>
    </xf>
    <xf numFmtId="49" fontId="50" fillId="6" borderId="0" xfId="0" applyNumberFormat="1" applyFont="1" applyFill="1" applyBorder="1" applyAlignment="1" applyProtection="1">
      <alignment horizontal="center" vertical="center" wrapText="1"/>
      <protection locked="0"/>
    </xf>
    <xf numFmtId="0" fontId="50" fillId="6" borderId="7" xfId="0" applyFont="1" applyFill="1" applyBorder="1" applyAlignment="1" applyProtection="1">
      <alignment horizontal="center" vertical="center" wrapText="1"/>
    </xf>
    <xf numFmtId="0" fontId="181" fillId="0" borderId="8" xfId="0" applyNumberFormat="1" applyFont="1" applyFill="1" applyBorder="1" applyAlignment="1" applyProtection="1">
      <alignment horizontal="center" vertical="center" wrapText="1"/>
      <protection locked="0"/>
    </xf>
    <xf numFmtId="49" fontId="181" fillId="0" borderId="24" xfId="0" applyNumberFormat="1" applyFont="1" applyFill="1" applyBorder="1" applyAlignment="1" applyProtection="1">
      <alignment horizontal="center" vertical="center" wrapText="1"/>
      <protection locked="0"/>
    </xf>
    <xf numFmtId="49" fontId="50" fillId="6" borderId="14" xfId="0" applyNumberFormat="1" applyFont="1" applyFill="1" applyBorder="1" applyAlignment="1" applyProtection="1">
      <alignment horizontal="center" vertical="center" wrapText="1"/>
    </xf>
    <xf numFmtId="0" fontId="181" fillId="0" borderId="24" xfId="0" applyFont="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49" fontId="50" fillId="6" borderId="12" xfId="0" applyNumberFormat="1" applyFont="1" applyFill="1" applyBorder="1" applyAlignment="1" applyProtection="1">
      <alignment horizontal="center" vertical="center" wrapText="1"/>
    </xf>
    <xf numFmtId="0" fontId="50" fillId="6" borderId="66" xfId="0" applyFont="1" applyFill="1" applyBorder="1" applyAlignment="1" applyProtection="1">
      <alignment horizontal="center" vertical="center" wrapText="1"/>
    </xf>
    <xf numFmtId="0" fontId="181" fillId="0" borderId="49"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wrapText="1"/>
    </xf>
    <xf numFmtId="0" fontId="50" fillId="6" borderId="32" xfId="0" applyFont="1" applyFill="1" applyBorder="1" applyAlignment="1" applyProtection="1">
      <alignment horizontal="center" vertical="center" wrapText="1"/>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49" fontId="50" fillId="7"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xf>
    <xf numFmtId="0" fontId="225" fillId="7" borderId="0" xfId="0" applyFont="1" applyFill="1" applyBorder="1" applyAlignment="1" applyProtection="1">
      <alignment horizontal="center" vertical="center" wrapText="1"/>
      <protection locked="0"/>
    </xf>
    <xf numFmtId="0" fontId="225" fillId="7" borderId="0" xfId="0" applyNumberFormat="1" applyFont="1" applyFill="1" applyBorder="1" applyAlignment="1" applyProtection="1">
      <alignment horizontal="center" vertical="center" wrapText="1"/>
      <protection locked="0"/>
    </xf>
    <xf numFmtId="0" fontId="225" fillId="7" borderId="35" xfId="0" applyNumberFormat="1" applyFont="1" applyFill="1" applyBorder="1" applyAlignment="1" applyProtection="1">
      <alignment horizontal="center" vertical="center" wrapText="1"/>
      <protection locked="0"/>
    </xf>
    <xf numFmtId="0" fontId="247" fillId="7" borderId="0" xfId="0" applyFont="1" applyFill="1" applyAlignment="1" applyProtection="1">
      <alignment horizontal="center" vertical="center" wrapText="1"/>
      <protection locked="0"/>
    </xf>
    <xf numFmtId="0" fontId="247" fillId="7" borderId="0" xfId="0" applyNumberFormat="1" applyFont="1" applyFill="1" applyAlignment="1" applyProtection="1">
      <alignment horizontal="center" vertical="center" wrapText="1"/>
      <protection locked="0"/>
    </xf>
    <xf numFmtId="0" fontId="49" fillId="6" borderId="10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protection locked="0"/>
    </xf>
    <xf numFmtId="0" fontId="50" fillId="7" borderId="0" xfId="0"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protection locked="0"/>
    </xf>
    <xf numFmtId="0" fontId="52" fillId="6" borderId="16" xfId="0" applyFont="1" applyFill="1" applyBorder="1" applyAlignment="1" applyProtection="1">
      <alignment horizontal="center" vertical="center" wrapText="1"/>
    </xf>
    <xf numFmtId="0" fontId="52" fillId="6" borderId="16" xfId="0" applyFont="1" applyFill="1" applyBorder="1" applyAlignment="1" applyProtection="1">
      <alignment horizontal="right" vertical="center" wrapText="1"/>
    </xf>
    <xf numFmtId="0" fontId="52" fillId="6" borderId="31" xfId="0" applyFont="1" applyFill="1" applyBorder="1" applyAlignment="1" applyProtection="1">
      <alignment horizontal="center" vertical="center" wrapText="1"/>
    </xf>
    <xf numFmtId="0" fontId="52" fillId="6" borderId="82" xfId="0" applyFont="1" applyFill="1" applyBorder="1" applyAlignment="1" applyProtection="1">
      <alignment horizontal="right" vertical="center" wrapText="1"/>
    </xf>
    <xf numFmtId="49" fontId="50" fillId="6" borderId="62" xfId="0" applyNumberFormat="1" applyFont="1" applyFill="1" applyBorder="1" applyAlignment="1" applyProtection="1">
      <alignment horizontal="center" vertical="center" wrapText="1"/>
    </xf>
    <xf numFmtId="49" fontId="52" fillId="6" borderId="27" xfId="0" applyNumberFormat="1" applyFont="1" applyFill="1" applyBorder="1" applyAlignment="1" applyProtection="1">
      <alignment vertical="center" wrapText="1"/>
    </xf>
    <xf numFmtId="0" fontId="50" fillId="6" borderId="41" xfId="0" applyFont="1" applyFill="1" applyBorder="1" applyAlignment="1" applyProtection="1">
      <alignment horizontal="center" vertical="center" wrapText="1"/>
    </xf>
    <xf numFmtId="49" fontId="50" fillId="6" borderId="24" xfId="0" applyNumberFormat="1" applyFont="1" applyFill="1" applyBorder="1" applyAlignment="1" applyProtection="1">
      <alignment horizontal="center" vertical="center" wrapText="1"/>
    </xf>
    <xf numFmtId="49" fontId="52" fillId="6" borderId="80" xfId="0" applyNumberFormat="1" applyFont="1" applyFill="1" applyBorder="1" applyAlignment="1" applyProtection="1">
      <alignment vertical="center" wrapText="1"/>
    </xf>
    <xf numFmtId="0" fontId="50" fillId="6" borderId="23" xfId="0" applyFont="1" applyFill="1" applyBorder="1" applyAlignment="1" applyProtection="1">
      <alignment horizontal="center" vertical="center" wrapText="1"/>
    </xf>
    <xf numFmtId="0" fontId="50" fillId="5" borderId="24" xfId="0" applyNumberFormat="1" applyFont="1" applyFill="1" applyBorder="1" applyAlignment="1" applyProtection="1">
      <alignment horizontal="center" vertical="center" wrapText="1"/>
      <protection locked="0"/>
    </xf>
    <xf numFmtId="49" fontId="52" fillId="6" borderId="81" xfId="0" applyNumberFormat="1" applyFont="1" applyFill="1" applyBorder="1" applyAlignment="1" applyProtection="1">
      <alignment vertical="center" wrapText="1"/>
    </xf>
    <xf numFmtId="0" fontId="50" fillId="6" borderId="25" xfId="0" applyFont="1" applyFill="1" applyBorder="1" applyAlignment="1" applyProtection="1">
      <alignment horizontal="center" vertical="center" wrapText="1"/>
    </xf>
    <xf numFmtId="0" fontId="50" fillId="0" borderId="49" xfId="0" applyNumberFormat="1" applyFont="1" applyFill="1" applyBorder="1" applyAlignment="1" applyProtection="1">
      <alignment horizontal="center" vertical="center" wrapText="1"/>
      <protection locked="0"/>
    </xf>
    <xf numFmtId="0" fontId="52"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NumberFormat="1" applyFont="1" applyFill="1" applyAlignment="1" applyProtection="1">
      <alignment horizontal="center" vertical="center" wrapText="1"/>
      <protection locked="0"/>
    </xf>
    <xf numFmtId="0" fontId="53" fillId="6" borderId="0" xfId="0" applyFont="1" applyFill="1" applyProtection="1">
      <alignment vertical="center"/>
    </xf>
    <xf numFmtId="0" fontId="53" fillId="5" borderId="0" xfId="0" applyFont="1" applyFill="1" applyProtection="1">
      <alignment vertical="center"/>
      <protection locked="0"/>
    </xf>
    <xf numFmtId="0" fontId="67" fillId="6" borderId="13" xfId="0" applyFont="1" applyFill="1" applyBorder="1" applyProtection="1">
      <alignment vertical="center"/>
    </xf>
    <xf numFmtId="0" fontId="67" fillId="6" borderId="13" xfId="0" applyNumberFormat="1" applyFont="1" applyFill="1" applyBorder="1" applyProtection="1">
      <alignment vertical="center"/>
    </xf>
    <xf numFmtId="0" fontId="67" fillId="5" borderId="13" xfId="0" applyFont="1" applyFill="1" applyBorder="1" applyAlignment="1" applyProtection="1">
      <alignment horizontal="center" vertical="center"/>
      <protection locked="0"/>
    </xf>
    <xf numFmtId="0" fontId="53" fillId="7" borderId="0" xfId="0" applyFont="1" applyFill="1" applyProtection="1">
      <alignment vertical="center"/>
    </xf>
    <xf numFmtId="0" fontId="53" fillId="0" borderId="0" xfId="0" applyFont="1" applyProtection="1">
      <alignment vertical="center"/>
    </xf>
    <xf numFmtId="0" fontId="50" fillId="6" borderId="13" xfId="0" applyFont="1" applyFill="1" applyBorder="1" applyAlignment="1" applyProtection="1">
      <alignment vertical="center" wrapText="1"/>
    </xf>
    <xf numFmtId="0" fontId="50" fillId="6" borderId="13" xfId="0" applyFont="1" applyFill="1" applyBorder="1" applyAlignment="1" applyProtection="1">
      <alignment horizontal="center" vertical="center" wrapText="1"/>
    </xf>
    <xf numFmtId="0" fontId="107" fillId="2" borderId="13" xfId="0" applyFont="1" applyFill="1" applyBorder="1" applyAlignment="1" applyProtection="1">
      <alignment horizontal="center" vertical="center"/>
      <protection locked="0"/>
    </xf>
    <xf numFmtId="0" fontId="53" fillId="7" borderId="1" xfId="0" applyFont="1" applyFill="1" applyBorder="1" applyProtection="1">
      <alignment vertical="center"/>
    </xf>
    <xf numFmtId="0" fontId="53" fillId="6" borderId="54" xfId="0" applyFont="1" applyFill="1" applyBorder="1" applyAlignment="1" applyProtection="1">
      <alignment vertical="center" wrapText="1"/>
    </xf>
    <xf numFmtId="0" fontId="52" fillId="6" borderId="5" xfId="0" applyFont="1" applyFill="1" applyBorder="1" applyAlignment="1" applyProtection="1">
      <alignment horizontal="right" vertical="center"/>
    </xf>
    <xf numFmtId="0" fontId="53" fillId="7" borderId="1" xfId="0" applyFont="1" applyFill="1" applyBorder="1" applyAlignment="1" applyProtection="1">
      <alignment horizontal="right" vertical="center"/>
    </xf>
    <xf numFmtId="0" fontId="52" fillId="6" borderId="58" xfId="0" applyFont="1" applyFill="1" applyBorder="1" applyAlignment="1" applyProtection="1">
      <alignment horizontal="right" vertical="center"/>
    </xf>
    <xf numFmtId="0" fontId="50" fillId="6" borderId="0" xfId="0" applyFont="1" applyFill="1" applyProtection="1">
      <alignment vertical="center"/>
    </xf>
    <xf numFmtId="0" fontId="52" fillId="6" borderId="16" xfId="0" applyFont="1" applyFill="1" applyBorder="1" applyAlignment="1" applyProtection="1">
      <alignment vertical="center"/>
    </xf>
    <xf numFmtId="0" fontId="50" fillId="6" borderId="9" xfId="0" applyFont="1" applyFill="1" applyBorder="1" applyAlignment="1" applyProtection="1">
      <alignment vertical="center"/>
    </xf>
    <xf numFmtId="0" fontId="53" fillId="6" borderId="21" xfId="0" applyFont="1" applyFill="1" applyBorder="1" applyAlignment="1" applyProtection="1">
      <alignment vertical="center"/>
    </xf>
    <xf numFmtId="0" fontId="52" fillId="6" borderId="18" xfId="0" applyFont="1" applyFill="1" applyBorder="1" applyAlignment="1" applyProtection="1">
      <alignment vertical="center"/>
    </xf>
    <xf numFmtId="0" fontId="50" fillId="6" borderId="32" xfId="0" applyFont="1" applyFill="1" applyBorder="1" applyProtection="1">
      <alignment vertical="center"/>
    </xf>
    <xf numFmtId="0" fontId="53" fillId="6" borderId="68" xfId="0" applyFont="1" applyFill="1" applyBorder="1" applyAlignment="1" applyProtection="1">
      <alignment vertical="center"/>
    </xf>
    <xf numFmtId="0" fontId="50" fillId="6" borderId="70" xfId="0" applyFont="1" applyFill="1" applyBorder="1" applyProtection="1">
      <alignment vertical="center"/>
    </xf>
    <xf numFmtId="0" fontId="50" fillId="6" borderId="34" xfId="0" applyFont="1" applyFill="1" applyBorder="1" applyProtection="1">
      <alignment vertical="center"/>
    </xf>
    <xf numFmtId="0" fontId="50" fillId="6" borderId="21"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109" fillId="0" borderId="23" xfId="0" applyFont="1" applyBorder="1" applyAlignment="1" applyProtection="1">
      <alignment horizontal="center" vertical="center"/>
      <protection locked="0"/>
    </xf>
    <xf numFmtId="0" fontId="109" fillId="6" borderId="0" xfId="0" applyFont="1" applyFill="1" applyBorder="1" applyAlignment="1" applyProtection="1">
      <alignment horizontal="center" vertical="center"/>
    </xf>
    <xf numFmtId="0" fontId="53" fillId="0" borderId="0" xfId="0" applyFont="1" applyFill="1" applyProtection="1">
      <alignment vertical="center"/>
    </xf>
    <xf numFmtId="0" fontId="52" fillId="6" borderId="16" xfId="0" applyFont="1" applyFill="1" applyBorder="1" applyAlignment="1" applyProtection="1">
      <alignment horizontal="left" vertical="center"/>
    </xf>
    <xf numFmtId="0" fontId="50" fillId="6" borderId="19" xfId="0" applyFont="1" applyFill="1" applyBorder="1" applyProtection="1">
      <alignment vertical="center"/>
    </xf>
    <xf numFmtId="0" fontId="52" fillId="5" borderId="62" xfId="0" applyFont="1" applyFill="1" applyBorder="1" applyAlignment="1" applyProtection="1">
      <alignment horizontal="right" vertical="center"/>
      <protection locked="0"/>
    </xf>
    <xf numFmtId="0" fontId="53" fillId="6" borderId="5" xfId="0" applyFont="1" applyFill="1" applyBorder="1" applyProtection="1">
      <alignment vertical="center"/>
    </xf>
    <xf numFmtId="0" fontId="52" fillId="5" borderId="1" xfId="0" applyFont="1" applyFill="1" applyBorder="1" applyAlignment="1" applyProtection="1">
      <alignment horizontal="center" vertical="center"/>
      <protection locked="0"/>
    </xf>
    <xf numFmtId="0" fontId="224" fillId="2" borderId="24" xfId="0" applyFont="1" applyFill="1" applyBorder="1" applyAlignment="1" applyProtection="1">
      <alignment horizontal="center" vertical="center"/>
      <protection locked="0"/>
    </xf>
    <xf numFmtId="0" fontId="53" fillId="6" borderId="30" xfId="0" applyFont="1" applyFill="1" applyBorder="1" applyProtection="1">
      <alignment vertical="center"/>
    </xf>
    <xf numFmtId="0" fontId="53" fillId="6" borderId="10" xfId="0" applyFont="1" applyFill="1" applyBorder="1" applyAlignment="1" applyProtection="1">
      <alignment horizontal="center" vertical="center"/>
    </xf>
    <xf numFmtId="0" fontId="52" fillId="6" borderId="69" xfId="0" applyFont="1" applyFill="1" applyBorder="1" applyAlignment="1" applyProtection="1">
      <alignment horizontal="left" vertical="center"/>
    </xf>
    <xf numFmtId="0" fontId="50" fillId="6" borderId="7" xfId="0" applyFont="1" applyFill="1" applyBorder="1" applyAlignment="1" applyProtection="1">
      <alignment horizontal="right" vertical="center"/>
    </xf>
    <xf numFmtId="0" fontId="53" fillId="6" borderId="3" xfId="0" applyFont="1" applyFill="1" applyBorder="1" applyProtection="1">
      <alignment vertical="center"/>
    </xf>
    <xf numFmtId="0" fontId="52" fillId="6" borderId="38" xfId="0" applyFont="1" applyFill="1" applyBorder="1" applyAlignment="1" applyProtection="1">
      <alignment horizontal="left" vertical="center"/>
    </xf>
    <xf numFmtId="0" fontId="50" fillId="6" borderId="66" xfId="0" applyFont="1" applyFill="1" applyBorder="1" applyAlignment="1" applyProtection="1">
      <alignment horizontal="right" vertical="center"/>
    </xf>
    <xf numFmtId="0" fontId="53" fillId="6" borderId="66" xfId="0" applyFont="1" applyFill="1" applyBorder="1" applyProtection="1">
      <alignment vertical="center"/>
    </xf>
    <xf numFmtId="0" fontId="50" fillId="6" borderId="30" xfId="0" applyFont="1" applyFill="1" applyBorder="1" applyAlignment="1" applyProtection="1">
      <alignment horizontal="left" vertical="center"/>
    </xf>
    <xf numFmtId="0" fontId="50" fillId="5" borderId="63" xfId="0" applyFont="1" applyFill="1" applyBorder="1" applyProtection="1">
      <alignment vertical="center"/>
      <protection locked="0"/>
    </xf>
    <xf numFmtId="0" fontId="50" fillId="6" borderId="65" xfId="0" applyFont="1" applyFill="1" applyBorder="1" applyProtection="1">
      <alignment vertical="center"/>
    </xf>
    <xf numFmtId="0" fontId="50" fillId="6" borderId="0" xfId="0" applyFont="1" applyFill="1" applyBorder="1" applyAlignment="1" applyProtection="1">
      <alignment horizontal="left" vertical="center"/>
      <protection locked="0"/>
    </xf>
    <xf numFmtId="0" fontId="50" fillId="6" borderId="66" xfId="0" applyFont="1" applyFill="1" applyBorder="1" applyAlignment="1" applyProtection="1">
      <alignment horizontal="left" vertical="center"/>
    </xf>
    <xf numFmtId="0" fontId="50" fillId="0" borderId="65" xfId="0" applyFont="1" applyFill="1" applyBorder="1" applyProtection="1">
      <alignment vertical="center"/>
      <protection locked="0"/>
    </xf>
    <xf numFmtId="0" fontId="109" fillId="0" borderId="6" xfId="0" applyFont="1" applyFill="1" applyBorder="1" applyAlignment="1" applyProtection="1">
      <alignment horizontal="center" vertical="center"/>
      <protection locked="0"/>
    </xf>
    <xf numFmtId="0" fontId="109" fillId="0" borderId="9" xfId="0" applyFont="1" applyFill="1" applyBorder="1" applyAlignment="1" applyProtection="1">
      <alignment horizontal="center" vertical="center"/>
      <protection locked="0"/>
    </xf>
    <xf numFmtId="0" fontId="109" fillId="0" borderId="10" xfId="0" applyFont="1" applyFill="1" applyBorder="1" applyAlignment="1" applyProtection="1">
      <alignment horizontal="center" vertical="center"/>
      <protection locked="0"/>
    </xf>
    <xf numFmtId="0" fontId="53" fillId="6" borderId="18" xfId="0" applyFont="1" applyFill="1" applyBorder="1" applyProtection="1">
      <alignment vertical="center"/>
    </xf>
    <xf numFmtId="0" fontId="53" fillId="6" borderId="42" xfId="0" applyFont="1" applyFill="1" applyBorder="1" applyProtection="1">
      <alignment vertical="center"/>
    </xf>
    <xf numFmtId="0" fontId="123" fillId="6" borderId="0" xfId="0" applyFont="1" applyFill="1" applyBorder="1" applyAlignment="1" applyProtection="1">
      <alignment horizontal="center" vertical="center"/>
    </xf>
    <xf numFmtId="0" fontId="123" fillId="6" borderId="0" xfId="0" applyFont="1" applyFill="1" applyProtection="1">
      <alignment vertical="center"/>
    </xf>
    <xf numFmtId="0" fontId="112" fillId="6" borderId="0" xfId="0" applyFont="1" applyFill="1" applyBorder="1" applyAlignment="1" applyProtection="1">
      <alignment horizontal="left" vertical="center"/>
    </xf>
    <xf numFmtId="0" fontId="225" fillId="6" borderId="0" xfId="0" applyFont="1" applyFill="1" applyBorder="1" applyAlignment="1" applyProtection="1">
      <alignment horizontal="left" vertical="center"/>
    </xf>
    <xf numFmtId="0" fontId="247" fillId="6" borderId="0" xfId="0" applyFont="1" applyFill="1" applyBorder="1" applyAlignment="1" applyProtection="1">
      <alignment vertical="center"/>
    </xf>
    <xf numFmtId="0" fontId="247" fillId="6" borderId="0" xfId="0" applyFont="1" applyFill="1" applyBorder="1" applyAlignment="1" applyProtection="1">
      <alignment horizontal="center" vertical="center"/>
    </xf>
    <xf numFmtId="0" fontId="111" fillId="6" borderId="0" xfId="0" applyFont="1" applyFill="1" applyBorder="1" applyAlignment="1" applyProtection="1">
      <alignment horizontal="left" vertical="center"/>
    </xf>
    <xf numFmtId="0" fontId="107" fillId="6" borderId="0" xfId="0" applyFont="1" applyFill="1" applyBorder="1" applyProtection="1">
      <alignment vertical="center"/>
    </xf>
    <xf numFmtId="9" fontId="53" fillId="6" borderId="0" xfId="0" applyNumberFormat="1" applyFont="1" applyFill="1" applyAlignment="1" applyProtection="1">
      <alignment horizontal="center" vertical="center"/>
      <protection locked="0"/>
    </xf>
    <xf numFmtId="0" fontId="54" fillId="0" borderId="24" xfId="0" applyFont="1" applyFill="1" applyBorder="1" applyAlignment="1" applyProtection="1">
      <alignment vertical="center" wrapText="1"/>
      <protection locked="0"/>
    </xf>
    <xf numFmtId="0" fontId="53" fillId="5" borderId="3" xfId="0" applyFont="1" applyFill="1" applyBorder="1" applyAlignment="1" applyProtection="1">
      <alignment horizontal="center" vertical="center"/>
      <protection locked="0"/>
    </xf>
    <xf numFmtId="10" fontId="53" fillId="6" borderId="0" xfId="0" applyNumberFormat="1" applyFont="1" applyFill="1" applyAlignment="1" applyProtection="1">
      <alignment horizontal="center" vertical="center"/>
      <protection locked="0"/>
    </xf>
    <xf numFmtId="0" fontId="111" fillId="6" borderId="1" xfId="0" applyFont="1" applyFill="1" applyBorder="1" applyAlignment="1" applyProtection="1">
      <alignment horizontal="center" vertical="center" wrapText="1"/>
    </xf>
    <xf numFmtId="0" fontId="53" fillId="6" borderId="24" xfId="0" applyFont="1" applyFill="1" applyBorder="1" applyProtection="1">
      <alignment vertical="center"/>
    </xf>
    <xf numFmtId="0" fontId="54" fillId="6" borderId="0" xfId="0" applyFont="1" applyFill="1" applyProtection="1">
      <alignment vertical="center"/>
      <protection locked="0"/>
    </xf>
    <xf numFmtId="0" fontId="123" fillId="0" borderId="24" xfId="0" applyFont="1" applyFill="1" applyBorder="1" applyAlignment="1" applyProtection="1">
      <alignment vertical="center" wrapText="1"/>
      <protection locked="0"/>
    </xf>
    <xf numFmtId="0" fontId="53" fillId="2" borderId="3" xfId="0"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wrapText="1"/>
      <protection locked="0"/>
    </xf>
    <xf numFmtId="0" fontId="108" fillId="6" borderId="5" xfId="0" applyFont="1" applyFill="1" applyBorder="1" applyAlignment="1" applyProtection="1">
      <alignment horizontal="center" vertical="center" wrapText="1"/>
    </xf>
    <xf numFmtId="0" fontId="115" fillId="6" borderId="22" xfId="0" applyFont="1" applyFill="1" applyBorder="1" applyAlignment="1" applyProtection="1">
      <alignment vertical="center" wrapText="1"/>
    </xf>
    <xf numFmtId="0" fontId="115" fillId="6" borderId="54" xfId="0" applyFont="1" applyFill="1" applyBorder="1" applyAlignment="1" applyProtection="1">
      <alignment horizontal="center" vertical="center"/>
    </xf>
    <xf numFmtId="0" fontId="115" fillId="6" borderId="3" xfId="0" applyFont="1" applyFill="1" applyBorder="1" applyAlignment="1" applyProtection="1">
      <alignment vertical="center" wrapText="1"/>
    </xf>
    <xf numFmtId="0" fontId="123" fillId="0" borderId="49" xfId="0" applyFont="1" applyFill="1" applyBorder="1" applyAlignment="1" applyProtection="1">
      <alignment vertical="center" wrapText="1"/>
      <protection locked="0"/>
    </xf>
    <xf numFmtId="0" fontId="115" fillId="6" borderId="35"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3" fillId="6" borderId="0" xfId="0" applyFont="1" applyFill="1" applyBorder="1" applyAlignment="1" applyProtection="1">
      <alignment horizontal="center" vertical="center"/>
      <protection locked="0"/>
    </xf>
    <xf numFmtId="0" fontId="115" fillId="6" borderId="7" xfId="0" applyFont="1" applyFill="1" applyBorder="1" applyAlignment="1" applyProtection="1">
      <alignment vertical="center" wrapText="1"/>
    </xf>
    <xf numFmtId="0" fontId="178" fillId="6" borderId="1" xfId="0" applyFont="1" applyFill="1" applyBorder="1" applyAlignment="1">
      <alignment horizontal="center" vertical="center" wrapText="1"/>
    </xf>
    <xf numFmtId="49" fontId="58" fillId="6" borderId="18" xfId="0" applyNumberFormat="1"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178" fontId="60" fillId="6" borderId="0" xfId="0" applyNumberFormat="1" applyFont="1" applyFill="1" applyBorder="1" applyAlignment="1" applyProtection="1">
      <alignment horizontal="center" vertical="center" wrapText="1"/>
    </xf>
    <xf numFmtId="10" fontId="59" fillId="6" borderId="0" xfId="0" applyNumberFormat="1" applyFont="1" applyFill="1" applyBorder="1" applyAlignment="1" applyProtection="1">
      <alignment horizontal="center" vertical="center" wrapText="1"/>
    </xf>
    <xf numFmtId="0" fontId="53" fillId="6" borderId="0" xfId="0" applyFont="1" applyFill="1" applyBorder="1" applyAlignment="1" applyProtection="1">
      <alignment horizontal="left" vertical="center"/>
    </xf>
    <xf numFmtId="0" fontId="178" fillId="6" borderId="1" xfId="0" applyFont="1" applyFill="1" applyBorder="1" applyAlignment="1">
      <alignment vertical="center" wrapText="1"/>
    </xf>
    <xf numFmtId="0" fontId="53" fillId="6" borderId="0" xfId="2" applyFont="1" applyFill="1" applyBorder="1" applyAlignment="1" applyProtection="1">
      <alignment horizontal="left" vertical="center" wrapText="1"/>
    </xf>
    <xf numFmtId="0" fontId="107" fillId="0" borderId="0" xfId="0" applyFont="1" applyFill="1" applyProtection="1">
      <alignment vertical="center"/>
    </xf>
    <xf numFmtId="0" fontId="107" fillId="7" borderId="0" xfId="0" applyFont="1" applyFill="1" applyProtection="1">
      <alignment vertical="center"/>
      <protection locked="0"/>
    </xf>
    <xf numFmtId="0" fontId="107" fillId="7" borderId="0" xfId="0" applyFont="1" applyFill="1" applyProtection="1">
      <alignment vertical="center"/>
    </xf>
    <xf numFmtId="0" fontId="107" fillId="6" borderId="0" xfId="2" applyFont="1" applyFill="1" applyAlignment="1" applyProtection="1">
      <alignment vertical="center" wrapText="1"/>
      <protection locked="0"/>
    </xf>
    <xf numFmtId="0" fontId="50" fillId="2" borderId="1" xfId="2" applyFont="1" applyFill="1" applyBorder="1" applyAlignment="1" applyProtection="1">
      <alignment horizontal="center" vertical="center" wrapText="1"/>
      <protection locked="0"/>
    </xf>
    <xf numFmtId="0" fontId="107" fillId="6" borderId="0" xfId="0" applyFont="1" applyFill="1" applyProtection="1">
      <alignment vertical="center"/>
      <protection locked="0"/>
    </xf>
    <xf numFmtId="0" fontId="53" fillId="2" borderId="54" xfId="0" applyFont="1" applyFill="1" applyBorder="1" applyAlignment="1" applyProtection="1">
      <alignment horizontal="left" vertical="center" wrapText="1"/>
      <protection locked="0"/>
    </xf>
    <xf numFmtId="0" fontId="107" fillId="6" borderId="0" xfId="2" applyFont="1" applyFill="1" applyProtection="1">
      <protection locked="0"/>
    </xf>
    <xf numFmtId="49" fontId="58" fillId="6" borderId="23" xfId="0" applyNumberFormat="1" applyFont="1" applyFill="1" applyBorder="1" applyAlignment="1" applyProtection="1">
      <alignment vertical="center" wrapText="1"/>
    </xf>
    <xf numFmtId="49" fontId="58" fillId="6" borderId="25" xfId="0" applyNumberFormat="1" applyFont="1" applyFill="1" applyBorder="1" applyAlignment="1" applyProtection="1">
      <alignment vertical="center" wrapText="1"/>
    </xf>
    <xf numFmtId="10" fontId="53" fillId="2" borderId="48" xfId="0" applyNumberFormat="1" applyFont="1" applyFill="1" applyBorder="1" applyAlignment="1" applyProtection="1">
      <alignment horizontal="left" vertical="center" wrapText="1"/>
      <protection locked="0"/>
    </xf>
    <xf numFmtId="10" fontId="53" fillId="5" borderId="48" xfId="0" applyNumberFormat="1" applyFont="1" applyFill="1" applyBorder="1" applyAlignment="1" applyProtection="1">
      <alignment horizontal="left" vertical="center" wrapText="1"/>
      <protection locked="0"/>
    </xf>
    <xf numFmtId="0" fontId="107" fillId="0" borderId="23" xfId="0" applyFont="1" applyFill="1" applyBorder="1" applyProtection="1">
      <alignment vertical="center"/>
      <protection locked="0"/>
    </xf>
    <xf numFmtId="0" fontId="136" fillId="6" borderId="1" xfId="0" applyFont="1" applyFill="1" applyBorder="1" applyAlignment="1" applyProtection="1">
      <alignment vertical="center" wrapText="1"/>
    </xf>
    <xf numFmtId="0" fontId="113"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50" fillId="6" borderId="23" xfId="0" applyFont="1" applyFill="1" applyBorder="1" applyAlignment="1" applyProtection="1">
      <alignment horizontal="left" vertical="center"/>
    </xf>
    <xf numFmtId="0" fontId="136" fillId="6" borderId="32"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143" fillId="0" borderId="46" xfId="0" applyFont="1" applyBorder="1" applyAlignment="1" applyProtection="1">
      <alignment horizontal="left" vertical="center"/>
    </xf>
    <xf numFmtId="0" fontId="53" fillId="0" borderId="36" xfId="0" applyFont="1" applyBorder="1" applyAlignment="1" applyProtection="1">
      <alignment horizontal="left" vertical="center" wrapText="1"/>
    </xf>
    <xf numFmtId="0" fontId="62" fillId="5" borderId="36" xfId="0" applyFont="1" applyFill="1" applyBorder="1" applyAlignment="1" applyProtection="1">
      <alignment horizontal="left" vertical="center" wrapText="1"/>
      <protection locked="0"/>
    </xf>
    <xf numFmtId="0" fontId="53" fillId="7" borderId="36" xfId="0" applyFont="1" applyFill="1" applyBorder="1" applyAlignment="1" applyProtection="1">
      <alignment horizontal="center" vertical="center" wrapText="1"/>
    </xf>
    <xf numFmtId="0" fontId="53" fillId="7" borderId="36" xfId="0" applyFont="1" applyFill="1" applyBorder="1" applyAlignment="1" applyProtection="1">
      <alignment horizontal="center" vertical="center"/>
    </xf>
    <xf numFmtId="0" fontId="53" fillId="7" borderId="22" xfId="0" applyFont="1" applyFill="1" applyBorder="1" applyProtection="1">
      <alignment vertical="center"/>
    </xf>
    <xf numFmtId="0" fontId="53" fillId="7" borderId="58"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horizontal="center" vertical="center"/>
      <protection locked="0"/>
    </xf>
    <xf numFmtId="0" fontId="53" fillId="7" borderId="35" xfId="0" applyFont="1" applyFill="1" applyBorder="1" applyProtection="1">
      <alignment vertical="center"/>
      <protection locked="0"/>
    </xf>
    <xf numFmtId="0" fontId="53" fillId="7" borderId="4"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center" vertical="center" wrapText="1"/>
      <protection locked="0"/>
    </xf>
    <xf numFmtId="0" fontId="53" fillId="7" borderId="60" xfId="0" applyFont="1" applyFill="1" applyBorder="1" applyAlignment="1" applyProtection="1">
      <alignment horizontal="center" vertical="center"/>
      <protection locked="0"/>
    </xf>
    <xf numFmtId="0" fontId="53" fillId="7" borderId="7" xfId="0" applyFont="1" applyFill="1" applyBorder="1" applyProtection="1">
      <alignment vertical="center"/>
      <protection locked="0"/>
    </xf>
    <xf numFmtId="0" fontId="58" fillId="7" borderId="60" xfId="0" applyFont="1" applyFill="1" applyBorder="1" applyAlignment="1" applyProtection="1">
      <alignment horizontal="left" vertical="center"/>
      <protection locked="0"/>
    </xf>
    <xf numFmtId="0" fontId="53" fillId="7" borderId="60" xfId="0" applyFont="1" applyFill="1" applyBorder="1" applyProtection="1">
      <alignment vertical="center"/>
      <protection locked="0"/>
    </xf>
    <xf numFmtId="0" fontId="53" fillId="7" borderId="60" xfId="0" applyFont="1" applyFill="1" applyBorder="1" applyAlignment="1" applyProtection="1">
      <alignment horizontal="right" vertical="center"/>
      <protection locked="0"/>
    </xf>
    <xf numFmtId="0" fontId="58" fillId="7" borderId="0" xfId="0" applyFont="1" applyFill="1" applyAlignment="1" applyProtection="1">
      <alignment horizontal="left" vertical="center"/>
      <protection locked="0"/>
    </xf>
    <xf numFmtId="2" fontId="53" fillId="7" borderId="0" xfId="0" applyNumberFormat="1" applyFont="1" applyFill="1" applyAlignment="1" applyProtection="1">
      <alignment vertical="center" wrapText="1"/>
      <protection locked="0"/>
    </xf>
    <xf numFmtId="0" fontId="58" fillId="7" borderId="0" xfId="0" applyFont="1" applyFill="1" applyAlignment="1" applyProtection="1">
      <alignment vertical="center" wrapText="1"/>
      <protection locked="0"/>
    </xf>
    <xf numFmtId="0" fontId="60" fillId="5" borderId="5" xfId="1" applyFont="1" applyFill="1" applyBorder="1" applyAlignment="1" applyProtection="1">
      <alignment vertical="center"/>
      <protection locked="0"/>
    </xf>
    <xf numFmtId="0" fontId="63" fillId="6" borderId="3" xfId="1" applyFont="1" applyFill="1" applyBorder="1" applyAlignment="1" applyProtection="1">
      <alignment vertical="center"/>
    </xf>
    <xf numFmtId="0" fontId="63" fillId="5" borderId="1" xfId="1" applyFont="1" applyFill="1" applyBorder="1" applyAlignment="1" applyProtection="1">
      <alignment vertical="center"/>
      <protection locked="0"/>
    </xf>
    <xf numFmtId="0" fontId="60" fillId="5" borderId="24" xfId="1" applyFont="1" applyFill="1" applyBorder="1" applyAlignment="1" applyProtection="1">
      <alignment horizontal="left" vertical="center"/>
      <protection locked="0"/>
    </xf>
    <xf numFmtId="0" fontId="151" fillId="5" borderId="24" xfId="1" applyFont="1" applyFill="1" applyBorder="1" applyAlignment="1" applyProtection="1">
      <alignment horizontal="right" vertical="center"/>
      <protection locked="0"/>
    </xf>
    <xf numFmtId="0" fontId="151" fillId="3" borderId="0" xfId="0" applyFont="1" applyFill="1" applyAlignment="1" applyProtection="1">
      <alignment vertical="center"/>
      <protection locked="0"/>
    </xf>
    <xf numFmtId="0" fontId="143" fillId="6" borderId="19" xfId="1" applyFont="1" applyFill="1" applyBorder="1" applyAlignment="1" applyProtection="1">
      <alignment vertical="center"/>
    </xf>
    <xf numFmtId="187" fontId="53" fillId="5" borderId="1" xfId="0" applyNumberFormat="1" applyFont="1" applyFill="1" applyBorder="1" applyAlignment="1" applyProtection="1">
      <alignment horizontal="center" vertical="center" wrapText="1"/>
      <protection locked="0"/>
    </xf>
    <xf numFmtId="49" fontId="53" fillId="6" borderId="11" xfId="0" applyNumberFormat="1" applyFont="1" applyFill="1" applyBorder="1" applyAlignment="1" applyProtection="1">
      <alignment horizontal="center" vertical="center"/>
    </xf>
    <xf numFmtId="0" fontId="151" fillId="5" borderId="5" xfId="1" applyFont="1" applyFill="1" applyBorder="1" applyAlignment="1" applyProtection="1">
      <alignment horizontal="right" vertical="center"/>
      <protection locked="0"/>
    </xf>
    <xf numFmtId="0" fontId="58" fillId="6" borderId="54" xfId="0" applyFont="1" applyFill="1" applyBorder="1" applyAlignment="1" applyProtection="1">
      <alignment vertical="center"/>
    </xf>
    <xf numFmtId="0" fontId="53" fillId="6" borderId="5" xfId="0" applyFont="1" applyFill="1" applyBorder="1" applyAlignment="1" applyProtection="1"/>
    <xf numFmtId="0" fontId="52" fillId="6" borderId="1" xfId="1" applyFont="1" applyFill="1" applyBorder="1" applyAlignment="1" applyProtection="1">
      <alignment vertical="center" wrapText="1"/>
    </xf>
    <xf numFmtId="49" fontId="53" fillId="6" borderId="25" xfId="0" applyNumberFormat="1" applyFont="1" applyFill="1" applyBorder="1" applyAlignment="1" applyProtection="1">
      <alignment horizontal="center" vertical="center"/>
    </xf>
    <xf numFmtId="49" fontId="110" fillId="6" borderId="51" xfId="0" applyNumberFormat="1" applyFont="1" applyFill="1" applyBorder="1" applyAlignment="1" applyProtection="1"/>
    <xf numFmtId="0" fontId="107" fillId="6" borderId="19" xfId="0" applyFont="1" applyFill="1" applyBorder="1">
      <alignment vertical="center"/>
    </xf>
    <xf numFmtId="0" fontId="107" fillId="6" borderId="31" xfId="0" applyFont="1" applyFill="1" applyBorder="1">
      <alignment vertical="center"/>
    </xf>
    <xf numFmtId="0" fontId="63" fillId="6" borderId="23" xfId="1" applyFont="1" applyFill="1" applyBorder="1" applyAlignment="1" applyProtection="1">
      <alignment vertical="center"/>
    </xf>
    <xf numFmtId="0" fontId="107" fillId="6" borderId="5" xfId="0" applyFont="1" applyFill="1" applyBorder="1">
      <alignment vertical="center"/>
    </xf>
    <xf numFmtId="0" fontId="107" fillId="6" borderId="3" xfId="0" applyFont="1" applyFill="1" applyBorder="1">
      <alignment vertical="center"/>
    </xf>
    <xf numFmtId="0" fontId="224" fillId="6" borderId="1" xfId="0" applyFont="1" applyFill="1" applyBorder="1">
      <alignment vertical="center"/>
    </xf>
    <xf numFmtId="0" fontId="107" fillId="6" borderId="24" xfId="0" applyFont="1" applyFill="1" applyBorder="1" applyProtection="1">
      <alignment vertical="center"/>
    </xf>
    <xf numFmtId="0" fontId="107" fillId="6" borderId="0" xfId="0" applyFont="1" applyFill="1" applyBorder="1">
      <alignment vertical="center"/>
    </xf>
    <xf numFmtId="0" fontId="107" fillId="6" borderId="56" xfId="0" applyFont="1" applyFill="1" applyBorder="1" applyProtection="1">
      <alignment vertical="center"/>
    </xf>
    <xf numFmtId="0" fontId="63" fillId="6" borderId="18" xfId="1" applyFont="1" applyFill="1" applyBorder="1" applyAlignment="1" applyProtection="1">
      <alignment vertical="center"/>
    </xf>
    <xf numFmtId="0" fontId="224" fillId="6" borderId="23" xfId="0" applyFont="1" applyFill="1" applyBorder="1" applyAlignment="1">
      <alignment horizontal="center" vertical="center"/>
    </xf>
    <xf numFmtId="0" fontId="224" fillId="6" borderId="0" xfId="0" applyFont="1" applyFill="1" applyBorder="1">
      <alignment vertical="center"/>
    </xf>
    <xf numFmtId="0" fontId="224" fillId="6" borderId="5" xfId="0" applyFont="1" applyFill="1" applyBorder="1" applyAlignment="1" applyProtection="1">
      <alignment horizontal="center" vertical="center"/>
    </xf>
    <xf numFmtId="0" fontId="107" fillId="6" borderId="1" xfId="0" applyFont="1" applyFill="1" applyBorder="1" applyAlignment="1">
      <alignment horizontal="center" vertical="center"/>
    </xf>
    <xf numFmtId="0" fontId="107" fillId="6" borderId="23" xfId="0" applyFont="1" applyFill="1" applyBorder="1" applyAlignment="1">
      <alignment horizontal="center" vertical="center"/>
    </xf>
    <xf numFmtId="0" fontId="107" fillId="6" borderId="5" xfId="0" applyFont="1" applyFill="1" applyBorder="1" applyProtection="1">
      <alignment vertical="center"/>
    </xf>
    <xf numFmtId="0" fontId="107" fillId="5" borderId="1" xfId="0" applyFont="1" applyFill="1" applyBorder="1" applyAlignment="1" applyProtection="1">
      <alignment horizontal="center" vertical="center"/>
      <protection locked="0"/>
    </xf>
    <xf numFmtId="0" fontId="107" fillId="6" borderId="25" xfId="0" applyFont="1" applyFill="1" applyBorder="1" applyAlignment="1">
      <alignment horizontal="center" vertical="center"/>
    </xf>
    <xf numFmtId="0" fontId="107" fillId="6" borderId="66" xfId="0" applyFont="1" applyFill="1" applyBorder="1">
      <alignment vertical="center"/>
    </xf>
    <xf numFmtId="0" fontId="107" fillId="6" borderId="47" xfId="0" applyFont="1" applyFill="1" applyBorder="1">
      <alignment vertical="center"/>
    </xf>
    <xf numFmtId="0" fontId="68" fillId="6" borderId="85" xfId="0" applyFont="1" applyFill="1" applyBorder="1" applyAlignment="1" applyProtection="1">
      <alignment horizontal="right" vertical="center"/>
    </xf>
    <xf numFmtId="0" fontId="68" fillId="5" borderId="119" xfId="0" applyFont="1" applyFill="1" applyBorder="1" applyAlignment="1" applyProtection="1">
      <alignment vertical="center"/>
      <protection locked="0"/>
    </xf>
    <xf numFmtId="0" fontId="68" fillId="5" borderId="78" xfId="0" applyFont="1" applyFill="1" applyBorder="1" applyAlignment="1" applyProtection="1">
      <alignment horizontal="center" vertical="center"/>
      <protection locked="0"/>
    </xf>
    <xf numFmtId="0" fontId="68" fillId="6" borderId="89" xfId="0" applyFont="1" applyFill="1" applyBorder="1" applyAlignment="1" applyProtection="1">
      <alignment horizontal="center" vertical="center"/>
    </xf>
    <xf numFmtId="0" fontId="60" fillId="5" borderId="4" xfId="1" applyFont="1" applyFill="1" applyBorder="1" applyAlignment="1" applyProtection="1">
      <alignment vertical="center"/>
      <protection locked="0"/>
    </xf>
    <xf numFmtId="0" fontId="63" fillId="6" borderId="7" xfId="1" applyFont="1" applyFill="1" applyBorder="1" applyAlignment="1" applyProtection="1">
      <alignment vertical="center"/>
      <protection locked="0"/>
    </xf>
    <xf numFmtId="0" fontId="63" fillId="5" borderId="2" xfId="1" applyFont="1" applyFill="1" applyBorder="1" applyAlignment="1" applyProtection="1">
      <alignment vertical="center"/>
      <protection locked="0"/>
    </xf>
    <xf numFmtId="190" fontId="63" fillId="6" borderId="0" xfId="0" applyNumberFormat="1" applyFont="1" applyFill="1" applyBorder="1" applyAlignment="1" applyProtection="1">
      <alignment horizontal="center" vertical="center"/>
      <protection locked="0"/>
    </xf>
    <xf numFmtId="182"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252" fillId="6" borderId="0" xfId="0" applyFont="1" applyFill="1" applyBorder="1" applyAlignment="1" applyProtection="1">
      <alignment vertical="center"/>
      <protection locked="0"/>
    </xf>
    <xf numFmtId="190" fontId="50" fillId="6" borderId="21" xfId="0" applyNumberFormat="1" applyFont="1" applyFill="1" applyBorder="1" applyAlignment="1" applyProtection="1">
      <alignment horizontal="center" vertical="center" wrapText="1"/>
    </xf>
    <xf numFmtId="190" fontId="50" fillId="6" borderId="48" xfId="0" applyNumberFormat="1" applyFont="1" applyFill="1" applyBorder="1" applyAlignment="1" applyProtection="1">
      <alignment horizontal="center" vertical="center" wrapText="1"/>
    </xf>
    <xf numFmtId="0" fontId="50" fillId="6" borderId="48" xfId="0" applyNumberFormat="1" applyFont="1" applyFill="1" applyBorder="1" applyAlignment="1" applyProtection="1">
      <alignment horizontal="center" vertical="center" wrapText="1"/>
    </xf>
    <xf numFmtId="49" fontId="50" fillId="2" borderId="70" xfId="0" applyNumberFormat="1" applyFont="1" applyFill="1" applyBorder="1" applyAlignment="1" applyProtection="1">
      <alignment horizontal="center" vertical="center" wrapText="1"/>
      <protection locked="0"/>
    </xf>
    <xf numFmtId="0" fontId="50" fillId="0" borderId="46" xfId="0" applyFont="1" applyFill="1" applyBorder="1" applyAlignment="1" applyProtection="1">
      <alignment horizontal="center" vertical="center" wrapText="1"/>
      <protection locked="0"/>
    </xf>
    <xf numFmtId="0" fontId="64" fillId="6" borderId="48" xfId="0" applyNumberFormat="1" applyFont="1" applyFill="1" applyBorder="1" applyAlignment="1" applyProtection="1">
      <alignment horizontal="center" vertical="center" wrapText="1"/>
    </xf>
    <xf numFmtId="0" fontId="50" fillId="0" borderId="33"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2" borderId="41"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64" fillId="6" borderId="50" xfId="0" applyNumberFormat="1" applyFont="1" applyFill="1" applyBorder="1" applyAlignment="1" applyProtection="1">
      <alignment horizontal="center" vertical="center" wrapText="1"/>
    </xf>
    <xf numFmtId="0" fontId="57" fillId="6" borderId="11"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protection locked="0"/>
    </xf>
    <xf numFmtId="49" fontId="57" fillId="2" borderId="14" xfId="0" applyNumberFormat="1" applyFont="1" applyFill="1" applyBorder="1" applyAlignment="1" applyProtection="1">
      <alignment horizontal="center" vertical="center" wrapText="1"/>
      <protection locked="0"/>
    </xf>
    <xf numFmtId="49" fontId="57" fillId="2" borderId="35" xfId="0" applyNumberFormat="1" applyFont="1" applyFill="1" applyBorder="1" applyAlignment="1" applyProtection="1">
      <alignment horizontal="center" vertical="center" wrapText="1"/>
      <protection locked="0"/>
    </xf>
    <xf numFmtId="0" fontId="57" fillId="2" borderId="7" xfId="0" applyNumberFormat="1" applyFont="1" applyFill="1" applyBorder="1" applyAlignment="1" applyProtection="1">
      <alignment horizontal="center" vertical="center" wrapText="1"/>
      <protection locked="0"/>
    </xf>
    <xf numFmtId="0" fontId="64" fillId="6" borderId="80" xfId="0" applyNumberFormat="1" applyFont="1" applyFill="1" applyBorder="1" applyAlignment="1" applyProtection="1">
      <alignment horizontal="center" vertical="center" wrapText="1"/>
    </xf>
    <xf numFmtId="49" fontId="57" fillId="2" borderId="23" xfId="0" applyNumberFormat="1" applyFont="1" applyFill="1" applyBorder="1" applyAlignment="1" applyProtection="1">
      <alignment horizontal="center" vertical="center" wrapText="1"/>
      <protection locked="0"/>
    </xf>
    <xf numFmtId="49" fontId="57" fillId="2" borderId="3" xfId="0" applyNumberFormat="1" applyFont="1" applyFill="1" applyBorder="1" applyAlignment="1" applyProtection="1">
      <alignment horizontal="center" vertical="center" wrapText="1"/>
      <protection locked="0"/>
    </xf>
    <xf numFmtId="0" fontId="57" fillId="0" borderId="54" xfId="0" applyNumberFormat="1" applyFont="1" applyFill="1" applyBorder="1" applyAlignment="1" applyProtection="1">
      <alignment horizontal="center" vertical="center" wrapText="1"/>
      <protection locked="0"/>
    </xf>
    <xf numFmtId="0" fontId="57" fillId="0" borderId="52" xfId="0" applyNumberFormat="1" applyFont="1" applyFill="1" applyBorder="1" applyAlignment="1" applyProtection="1">
      <alignment horizontal="center" vertical="center" wrapText="1"/>
      <protection locked="0"/>
    </xf>
    <xf numFmtId="0" fontId="57" fillId="2" borderId="6" xfId="0"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wrapText="1"/>
      <protection locked="0"/>
    </xf>
    <xf numFmtId="0" fontId="57" fillId="2" borderId="23" xfId="0" applyFont="1" applyFill="1" applyBorder="1" applyAlignment="1" applyProtection="1">
      <alignment horizontal="center" vertical="center" wrapText="1"/>
      <protection locked="0"/>
    </xf>
    <xf numFmtId="0" fontId="57" fillId="2" borderId="3" xfId="0" applyFont="1" applyFill="1" applyBorder="1" applyAlignment="1" applyProtection="1">
      <alignment horizontal="center" vertical="center" wrapText="1"/>
      <protection locked="0"/>
    </xf>
    <xf numFmtId="190" fontId="57" fillId="6" borderId="48" xfId="0" applyNumberFormat="1" applyFont="1" applyFill="1" applyBorder="1" applyAlignment="1" applyProtection="1">
      <alignment horizontal="center" vertical="center"/>
    </xf>
    <xf numFmtId="190" fontId="57" fillId="6" borderId="48" xfId="0" applyNumberFormat="1" applyFont="1" applyFill="1" applyBorder="1" applyAlignment="1" applyProtection="1">
      <alignment horizontal="center" vertical="center" wrapText="1"/>
    </xf>
    <xf numFmtId="190" fontId="57" fillId="6" borderId="49" xfId="0" applyNumberFormat="1" applyFont="1" applyFill="1" applyBorder="1" applyAlignment="1" applyProtection="1">
      <alignment horizontal="center" vertical="center" wrapText="1"/>
    </xf>
    <xf numFmtId="0" fontId="57" fillId="0" borderId="18" xfId="0" applyFont="1" applyFill="1" applyBorder="1" applyAlignment="1" applyProtection="1">
      <alignment horizontal="center" vertical="center"/>
      <protection locked="0"/>
    </xf>
    <xf numFmtId="0" fontId="74" fillId="0" borderId="18" xfId="0" applyFont="1" applyFill="1" applyBorder="1" applyAlignment="1" applyProtection="1">
      <alignment horizontal="center" vertical="center"/>
      <protection locked="0"/>
    </xf>
    <xf numFmtId="0" fontId="57" fillId="0" borderId="18" xfId="0" applyFont="1" applyBorder="1" applyAlignment="1" applyProtection="1">
      <protection locked="0"/>
    </xf>
    <xf numFmtId="0" fontId="52" fillId="6" borderId="0" xfId="0" applyNumberFormat="1" applyFont="1" applyFill="1" applyBorder="1" applyAlignment="1" applyProtection="1">
      <alignment vertical="center" wrapText="1"/>
    </xf>
    <xf numFmtId="9" fontId="50" fillId="0" borderId="18" xfId="0" applyNumberFormat="1" applyFont="1" applyFill="1" applyBorder="1" applyAlignment="1" applyProtection="1">
      <alignment horizontal="center" vertical="center" wrapText="1"/>
      <protection locked="0"/>
    </xf>
    <xf numFmtId="0" fontId="107" fillId="0" borderId="18" xfId="0" applyFont="1" applyFill="1" applyBorder="1" applyAlignment="1" applyProtection="1">
      <alignment vertical="center"/>
      <protection locked="0"/>
    </xf>
    <xf numFmtId="0" fontId="50"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vertical="center" wrapText="1"/>
      <protection locked="0"/>
    </xf>
    <xf numFmtId="0" fontId="50" fillId="0" borderId="18" xfId="0" applyFont="1" applyFill="1" applyBorder="1" applyAlignment="1" applyProtection="1">
      <alignment vertical="center" wrapText="1"/>
      <protection locked="0"/>
    </xf>
    <xf numFmtId="0" fontId="50" fillId="0" borderId="83" xfId="0" applyNumberFormat="1" applyFont="1" applyFill="1" applyBorder="1" applyAlignment="1" applyProtection="1">
      <alignment horizontal="center" vertical="center"/>
      <protection locked="0"/>
    </xf>
    <xf numFmtId="0" fontId="56" fillId="6" borderId="12" xfId="0" applyNumberFormat="1" applyFont="1" applyFill="1" applyBorder="1" applyAlignment="1" applyProtection="1">
      <alignment vertical="center" wrapText="1"/>
    </xf>
    <xf numFmtId="0" fontId="109" fillId="0" borderId="0" xfId="0" applyFont="1" applyFill="1" applyAlignment="1" applyProtection="1">
      <alignment horizontal="left" vertical="center"/>
      <protection locked="0"/>
    </xf>
    <xf numFmtId="0" fontId="107" fillId="6" borderId="16" xfId="0" applyFont="1" applyFill="1" applyBorder="1" applyAlignment="1" applyProtection="1">
      <alignment horizontal="center" vertical="center"/>
    </xf>
    <xf numFmtId="0" fontId="64" fillId="6" borderId="19" xfId="0" applyFont="1" applyFill="1" applyBorder="1" applyAlignment="1" applyProtection="1">
      <alignment horizontal="center" vertical="center"/>
    </xf>
    <xf numFmtId="0" fontId="57" fillId="6" borderId="19" xfId="0" applyFont="1" applyFill="1" applyBorder="1" applyAlignment="1" applyProtection="1">
      <alignment horizontal="center" vertical="center"/>
    </xf>
    <xf numFmtId="0" fontId="57" fillId="6" borderId="31" xfId="0" applyFont="1" applyFill="1" applyBorder="1" applyAlignment="1" applyProtection="1">
      <alignment horizontal="center" vertical="center"/>
    </xf>
    <xf numFmtId="0" fontId="107" fillId="6" borderId="19" xfId="0" applyFont="1" applyFill="1" applyBorder="1" applyAlignment="1" applyProtection="1">
      <alignment horizontal="center" vertical="center"/>
    </xf>
    <xf numFmtId="0" fontId="64" fillId="6" borderId="31" xfId="0" applyFont="1" applyFill="1" applyBorder="1" applyAlignment="1" applyProtection="1">
      <alignment horizontal="center" vertical="center"/>
    </xf>
    <xf numFmtId="0" fontId="64" fillId="6" borderId="69" xfId="0" applyFont="1" applyFill="1" applyBorder="1" applyProtection="1">
      <alignment vertical="center"/>
    </xf>
    <xf numFmtId="0" fontId="107" fillId="6" borderId="5" xfId="0" applyFont="1" applyFill="1" applyBorder="1" applyAlignment="1" applyProtection="1">
      <alignment horizontal="center" vertical="center"/>
    </xf>
    <xf numFmtId="0" fontId="107" fillId="6" borderId="93" xfId="0" applyFont="1" applyFill="1" applyBorder="1" applyAlignment="1" applyProtection="1">
      <alignment horizontal="center" vertical="center"/>
    </xf>
    <xf numFmtId="0" fontId="64" fillId="6" borderId="60"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6" borderId="7" xfId="0" applyFont="1" applyFill="1" applyBorder="1" applyAlignment="1" applyProtection="1">
      <alignment horizontal="center" vertical="center"/>
    </xf>
    <xf numFmtId="0" fontId="107" fillId="6" borderId="3" xfId="0" applyFont="1" applyFill="1" applyBorder="1" applyAlignment="1" applyProtection="1">
      <alignment horizontal="center" vertical="center"/>
    </xf>
    <xf numFmtId="0" fontId="107" fillId="0" borderId="1" xfId="0" applyFont="1" applyBorder="1" applyAlignment="1" applyProtection="1">
      <alignment horizontal="center" vertical="center"/>
      <protection locked="0"/>
    </xf>
    <xf numFmtId="0" fontId="107" fillId="6" borderId="25" xfId="0" applyFont="1" applyFill="1" applyBorder="1" applyAlignment="1" applyProtection="1">
      <alignment horizontal="center" vertical="center"/>
    </xf>
    <xf numFmtId="0" fontId="64" fillId="6" borderId="95" xfId="0" applyFont="1" applyFill="1" applyBorder="1" applyAlignment="1" applyProtection="1">
      <alignment horizontal="left" vertical="center"/>
    </xf>
    <xf numFmtId="0" fontId="57" fillId="6" borderId="47" xfId="0" applyFont="1" applyFill="1" applyBorder="1" applyAlignment="1" applyProtection="1">
      <alignment horizontal="center" vertical="center"/>
    </xf>
    <xf numFmtId="0" fontId="57" fillId="6" borderId="43" xfId="0" applyFont="1" applyFill="1" applyBorder="1" applyAlignment="1" applyProtection="1">
      <alignment horizontal="center" vertical="center"/>
    </xf>
    <xf numFmtId="0" fontId="107" fillId="6" borderId="66" xfId="0" applyFont="1" applyFill="1" applyBorder="1" applyAlignment="1" applyProtection="1">
      <alignment horizontal="center" vertical="center"/>
    </xf>
    <xf numFmtId="0" fontId="68" fillId="5" borderId="119" xfId="0" applyFont="1" applyFill="1" applyBorder="1" applyAlignment="1" applyProtection="1">
      <alignment vertical="center"/>
    </xf>
    <xf numFmtId="0" fontId="68" fillId="6" borderId="89"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9" fillId="6" borderId="87" xfId="0" applyFont="1" applyFill="1" applyBorder="1" applyAlignment="1" applyProtection="1">
      <alignment horizontal="center" vertical="center"/>
      <protection locked="0"/>
    </xf>
    <xf numFmtId="0" fontId="68" fillId="6" borderId="18" xfId="0" applyFont="1" applyFill="1" applyBorder="1" applyAlignment="1" applyProtection="1">
      <alignment horizontal="center" vertical="center"/>
      <protection locked="0"/>
    </xf>
    <xf numFmtId="0" fontId="69" fillId="6" borderId="0" xfId="0" applyFont="1" applyFill="1" applyBorder="1" applyAlignment="1" applyProtection="1">
      <alignment horizontal="center" vertical="center"/>
      <protection locked="0"/>
    </xf>
    <xf numFmtId="0" fontId="69" fillId="6" borderId="0" xfId="0" applyFont="1" applyFill="1" applyAlignment="1" applyProtection="1">
      <alignment horizontal="center" vertical="center"/>
      <protection locked="0"/>
    </xf>
    <xf numFmtId="49" fontId="57" fillId="6" borderId="11"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horizontal="center" vertical="center"/>
    </xf>
    <xf numFmtId="0" fontId="57" fillId="6" borderId="18" xfId="0" applyFont="1" applyFill="1" applyBorder="1" applyAlignment="1" applyProtection="1"/>
    <xf numFmtId="9" fontId="50" fillId="6" borderId="0" xfId="0" applyNumberFormat="1" applyFont="1" applyFill="1" applyBorder="1" applyAlignment="1" applyProtection="1">
      <alignment horizontal="center" vertical="center" wrapText="1"/>
    </xf>
    <xf numFmtId="0" fontId="68" fillId="6" borderId="88" xfId="0" applyFont="1" applyFill="1" applyBorder="1" applyAlignment="1" applyProtection="1">
      <alignment horizontal="right" vertical="center"/>
    </xf>
    <xf numFmtId="0" fontId="57" fillId="6" borderId="17" xfId="0"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50" fillId="0" borderId="7" xfId="0" applyNumberFormat="1" applyFont="1" applyFill="1" applyBorder="1" applyAlignment="1" applyProtection="1">
      <alignment horizontal="center" vertical="center" wrapText="1"/>
      <protection locked="0"/>
    </xf>
    <xf numFmtId="49" fontId="57" fillId="6" borderId="39" xfId="0" applyNumberFormat="1" applyFont="1" applyFill="1" applyBorder="1" applyAlignment="1" applyProtection="1">
      <alignment horizontal="center" vertical="center" wrapText="1"/>
    </xf>
    <xf numFmtId="0" fontId="57" fillId="6" borderId="24" xfId="0" applyNumberFormat="1" applyFont="1" applyFill="1" applyBorder="1" applyAlignment="1" applyProtection="1">
      <alignment horizontal="center" vertical="center"/>
    </xf>
    <xf numFmtId="0" fontId="57" fillId="6" borderId="22" xfId="0" applyNumberFormat="1" applyFont="1" applyFill="1" applyBorder="1" applyAlignment="1" applyProtection="1">
      <alignment horizontal="center" vertical="center" wrapText="1"/>
    </xf>
    <xf numFmtId="0" fontId="57" fillId="2" borderId="35" xfId="0" applyNumberFormat="1" applyFont="1" applyFill="1" applyBorder="1" applyAlignment="1" applyProtection="1">
      <alignment horizontal="center" vertical="center" wrapText="1"/>
      <protection locked="0"/>
    </xf>
    <xf numFmtId="0" fontId="50" fillId="2" borderId="7" xfId="0" applyNumberFormat="1" applyFont="1" applyFill="1" applyBorder="1" applyAlignment="1" applyProtection="1">
      <alignment horizontal="center" vertical="center" wrapText="1"/>
      <protection locked="0"/>
    </xf>
    <xf numFmtId="0" fontId="50" fillId="0" borderId="24" xfId="0"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protection locked="0"/>
    </xf>
    <xf numFmtId="0" fontId="74" fillId="0" borderId="58" xfId="0" applyFont="1" applyFill="1" applyBorder="1" applyAlignment="1" applyProtection="1">
      <alignment horizontal="center" vertical="center"/>
      <protection locked="0"/>
    </xf>
    <xf numFmtId="0" fontId="57" fillId="0" borderId="58" xfId="0" applyFont="1" applyBorder="1" applyAlignment="1" applyProtection="1">
      <protection locked="0"/>
    </xf>
    <xf numFmtId="9" fontId="50" fillId="0" borderId="58"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vertical="center"/>
      <protection locked="0"/>
    </xf>
    <xf numFmtId="0" fontId="50"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protection locked="0"/>
    </xf>
    <xf numFmtId="0" fontId="55" fillId="0" borderId="58" xfId="0" applyFont="1" applyFill="1" applyBorder="1" applyAlignment="1" applyProtection="1">
      <alignment vertical="center" wrapText="1"/>
      <protection locked="0"/>
    </xf>
    <xf numFmtId="0" fontId="50" fillId="0" borderId="58" xfId="0" applyFont="1" applyFill="1" applyBorder="1" applyAlignment="1" applyProtection="1">
      <alignment vertical="center" wrapText="1"/>
      <protection locked="0"/>
    </xf>
    <xf numFmtId="0" fontId="57" fillId="0" borderId="44" xfId="0" applyNumberFormat="1" applyFont="1" applyFill="1" applyBorder="1" applyAlignment="1" applyProtection="1">
      <alignment horizontal="left"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0" borderId="58" xfId="0" applyFont="1" applyFill="1" applyBorder="1" applyAlignment="1" applyProtection="1">
      <alignment horizontal="center" vertical="center" wrapText="1"/>
      <protection locked="0"/>
    </xf>
    <xf numFmtId="0" fontId="50" fillId="0" borderId="54" xfId="0" applyNumberFormat="1" applyFont="1" applyFill="1" applyBorder="1" applyAlignment="1" applyProtection="1">
      <alignment horizontal="center" vertical="center" wrapText="1"/>
      <protection locked="0"/>
    </xf>
    <xf numFmtId="0" fontId="57" fillId="6" borderId="40" xfId="0" applyNumberFormat="1" applyFont="1" applyFill="1" applyBorder="1" applyAlignment="1" applyProtection="1">
      <alignment horizontal="center" vertical="center" wrapText="1"/>
    </xf>
    <xf numFmtId="0" fontId="57" fillId="6" borderId="41" xfId="0" applyNumberFormat="1" applyFont="1" applyFill="1" applyBorder="1" applyAlignment="1" applyProtection="1">
      <alignment horizontal="center" vertical="center" wrapText="1"/>
    </xf>
    <xf numFmtId="49" fontId="56" fillId="5" borderId="20" xfId="0" applyNumberFormat="1" applyFont="1" applyFill="1" applyBorder="1" applyAlignment="1" applyProtection="1">
      <alignment vertical="center"/>
      <protection locked="0"/>
    </xf>
    <xf numFmtId="185" fontId="50" fillId="0" borderId="2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7" fillId="0" borderId="55" xfId="0" applyNumberFormat="1" applyFont="1" applyFill="1" applyBorder="1" applyAlignment="1" applyProtection="1">
      <alignment horizontal="center" vertical="center" wrapText="1"/>
      <protection locked="0"/>
    </xf>
    <xf numFmtId="0" fontId="50" fillId="2" borderId="51" xfId="0" applyNumberFormat="1" applyFont="1" applyFill="1" applyBorder="1" applyAlignment="1" applyProtection="1">
      <alignment horizontal="center" vertical="center" wrapText="1"/>
      <protection locked="0"/>
    </xf>
    <xf numFmtId="0" fontId="50" fillId="2" borderId="69" xfId="0" applyNumberFormat="1" applyFont="1" applyFill="1" applyBorder="1" applyAlignment="1" applyProtection="1">
      <alignment horizontal="center" vertical="center" wrapText="1"/>
      <protection locked="0"/>
    </xf>
    <xf numFmtId="0" fontId="50" fillId="2" borderId="60" xfId="0" applyNumberFormat="1" applyFont="1" applyFill="1" applyBorder="1" applyAlignment="1" applyProtection="1">
      <alignment horizontal="center" vertical="center" wrapText="1"/>
      <protection locked="0"/>
    </xf>
    <xf numFmtId="9" fontId="50" fillId="2" borderId="37"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49" fontId="56" fillId="2" borderId="10" xfId="0" applyNumberFormat="1" applyFont="1" applyFill="1" applyBorder="1" applyAlignment="1" applyProtection="1">
      <alignment vertical="center"/>
      <protection locked="0"/>
    </xf>
    <xf numFmtId="0" fontId="57" fillId="5" borderId="9" xfId="0" applyFont="1" applyFill="1" applyBorder="1" applyAlignment="1" applyProtection="1">
      <alignment horizontal="center" vertical="center"/>
      <protection locked="0"/>
    </xf>
    <xf numFmtId="0" fontId="57" fillId="6" borderId="19" xfId="0" applyFont="1" applyFill="1" applyBorder="1" applyAlignment="1" applyProtection="1">
      <alignment horizontal="center" vertical="center" wrapText="1"/>
      <protection locked="0"/>
    </xf>
    <xf numFmtId="0" fontId="107" fillId="6" borderId="96" xfId="0" applyFont="1" applyFill="1" applyBorder="1" applyAlignment="1" applyProtection="1">
      <alignment horizontal="center" vertical="center"/>
    </xf>
    <xf numFmtId="0" fontId="109" fillId="6" borderId="0" xfId="0" applyFont="1" applyFill="1" applyAlignment="1" applyProtection="1">
      <alignment horizontal="left" vertical="center"/>
      <protection locked="0"/>
    </xf>
    <xf numFmtId="0" fontId="108" fillId="6" borderId="23" xfId="0" applyFont="1" applyFill="1" applyBorder="1" applyAlignment="1" applyProtection="1">
      <alignment horizontal="center" vertical="center"/>
    </xf>
    <xf numFmtId="0" fontId="108" fillId="6" borderId="25" xfId="0" applyFont="1" applyFill="1" applyBorder="1" applyAlignment="1" applyProtection="1">
      <alignment horizontal="center" vertical="center"/>
    </xf>
    <xf numFmtId="0" fontId="52" fillId="6" borderId="16" xfId="0" applyNumberFormat="1" applyFont="1" applyFill="1" applyBorder="1" applyAlignment="1" applyProtection="1">
      <alignment vertical="center"/>
    </xf>
    <xf numFmtId="0" fontId="52" fillId="5" borderId="23" xfId="0" applyNumberFormat="1" applyFont="1" applyFill="1" applyBorder="1" applyAlignment="1" applyProtection="1">
      <alignment horizontal="center" vertical="center" wrapText="1"/>
      <protection locked="0"/>
    </xf>
    <xf numFmtId="0" fontId="57" fillId="6" borderId="14" xfId="0" applyNumberFormat="1" applyFont="1" applyFill="1" applyBorder="1" applyAlignment="1" applyProtection="1">
      <alignment horizontal="center" vertical="center" wrapText="1"/>
    </xf>
    <xf numFmtId="0" fontId="57" fillId="0" borderId="24" xfId="0" applyFont="1" applyFill="1" applyBorder="1" applyAlignment="1" applyProtection="1">
      <alignment horizontal="center" vertical="center"/>
      <protection locked="0"/>
    </xf>
    <xf numFmtId="0" fontId="107" fillId="0" borderId="49"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59" fillId="6" borderId="0" xfId="0" applyFont="1" applyFill="1" applyAlignment="1" applyProtection="1">
      <alignment vertical="center" wrapText="1"/>
    </xf>
    <xf numFmtId="0" fontId="107" fillId="6" borderId="6" xfId="0" applyNumberFormat="1" applyFont="1" applyFill="1" applyBorder="1" applyAlignment="1" applyProtection="1">
      <alignment horizontal="center" vertical="center"/>
    </xf>
    <xf numFmtId="0" fontId="59" fillId="0" borderId="0" xfId="0" applyFont="1" applyAlignment="1" applyProtection="1">
      <alignment vertical="center" wrapText="1"/>
      <protection locked="0"/>
    </xf>
    <xf numFmtId="0" fontId="59" fillId="0" borderId="0" xfId="0" applyFont="1" applyAlignment="1" applyProtection="1">
      <alignment vertical="center" wrapText="1"/>
    </xf>
    <xf numFmtId="0" fontId="63" fillId="6" borderId="5" xfId="1" applyFont="1" applyFill="1" applyBorder="1" applyAlignment="1" applyProtection="1">
      <alignment vertical="center"/>
    </xf>
    <xf numFmtId="0" fontId="59" fillId="6" borderId="1" xfId="0" applyNumberFormat="1" applyFont="1" applyFill="1" applyBorder="1" applyAlignment="1" applyProtection="1">
      <alignment horizontal="left" vertical="center" wrapText="1"/>
    </xf>
    <xf numFmtId="0" fontId="59" fillId="5" borderId="1" xfId="0" applyNumberFormat="1" applyFont="1" applyFill="1" applyBorder="1" applyAlignment="1" applyProtection="1">
      <alignment horizontal="center" vertical="center" wrapText="1"/>
      <protection locked="0"/>
    </xf>
    <xf numFmtId="0" fontId="59" fillId="6" borderId="1" xfId="0" applyNumberFormat="1" applyFont="1" applyFill="1" applyBorder="1" applyAlignment="1" applyProtection="1">
      <alignment horizontal="center" vertical="center" wrapText="1"/>
    </xf>
    <xf numFmtId="0" fontId="59" fillId="6" borderId="0" xfId="0" applyNumberFormat="1" applyFont="1" applyFill="1" applyAlignment="1" applyProtection="1">
      <alignment vertical="center" wrapText="1"/>
    </xf>
    <xf numFmtId="0" fontId="107" fillId="6" borderId="23" xfId="0" applyNumberFormat="1" applyFont="1" applyFill="1" applyBorder="1" applyAlignment="1" applyProtection="1">
      <alignment horizontal="center" vertical="center"/>
    </xf>
    <xf numFmtId="0" fontId="59" fillId="5" borderId="1" xfId="0" applyNumberFormat="1" applyFont="1" applyFill="1" applyBorder="1" applyAlignment="1" applyProtection="1">
      <alignment vertical="center" wrapText="1"/>
      <protection locked="0"/>
    </xf>
    <xf numFmtId="0" fontId="59" fillId="5" borderId="1" xfId="0" applyFont="1" applyFill="1" applyBorder="1" applyAlignment="1" applyProtection="1">
      <alignment horizontal="left" vertical="center"/>
      <protection locked="0"/>
    </xf>
    <xf numFmtId="49" fontId="56" fillId="6" borderId="13" xfId="0" applyNumberFormat="1"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36" xfId="0" applyFont="1" applyFill="1" applyBorder="1" applyAlignment="1" applyProtection="1">
      <alignment vertical="center" wrapText="1"/>
    </xf>
    <xf numFmtId="0" fontId="57" fillId="6" borderId="36" xfId="0" applyFont="1" applyFill="1" applyBorder="1" applyAlignment="1" applyProtection="1">
      <alignment vertical="center" wrapText="1"/>
    </xf>
    <xf numFmtId="0" fontId="57" fillId="6" borderId="22" xfId="0" applyFont="1" applyFill="1" applyBorder="1" applyAlignment="1" applyProtection="1">
      <alignment vertical="center" wrapText="1"/>
    </xf>
    <xf numFmtId="0" fontId="57" fillId="7" borderId="0" xfId="0" applyFont="1" applyFill="1" applyAlignment="1" applyProtection="1">
      <alignment vertical="center"/>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57" fillId="0" borderId="0" xfId="0" applyFont="1" applyAlignment="1" applyProtection="1">
      <alignment vertical="center" wrapText="1"/>
    </xf>
    <xf numFmtId="49" fontId="60" fillId="6" borderId="26" xfId="0" applyNumberFormat="1" applyFont="1" applyFill="1" applyBorder="1" applyAlignment="1" applyProtection="1">
      <alignment horizontal="center" vertical="center" wrapText="1"/>
    </xf>
    <xf numFmtId="0" fontId="60" fillId="6" borderId="64" xfId="0" applyFont="1" applyFill="1" applyBorder="1" applyAlignment="1" applyProtection="1">
      <alignment horizontal="left" vertical="center" wrapText="1"/>
    </xf>
    <xf numFmtId="0" fontId="123" fillId="6" borderId="34" xfId="0" applyFont="1" applyFill="1" applyBorder="1" applyAlignment="1" applyProtection="1">
      <alignment vertical="center"/>
    </xf>
    <xf numFmtId="0" fontId="60" fillId="6" borderId="64" xfId="0" applyFont="1" applyFill="1" applyBorder="1" applyAlignment="1" applyProtection="1">
      <alignment horizontal="center" vertical="center" wrapText="1"/>
    </xf>
    <xf numFmtId="0" fontId="59" fillId="6" borderId="64" xfId="0" applyFont="1" applyFill="1" applyBorder="1" applyAlignment="1" applyProtection="1">
      <alignment vertical="center" wrapText="1"/>
    </xf>
    <xf numFmtId="0" fontId="59" fillId="6" borderId="65" xfId="0" applyFont="1" applyFill="1" applyBorder="1" applyAlignment="1" applyProtection="1">
      <alignment vertical="center" wrapText="1"/>
    </xf>
    <xf numFmtId="0" fontId="60" fillId="6" borderId="9"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9" fillId="6" borderId="19" xfId="0" applyFont="1" applyFill="1" applyBorder="1" applyAlignment="1" applyProtection="1">
      <alignment horizontal="center" vertical="center" wrapText="1"/>
    </xf>
    <xf numFmtId="0" fontId="59" fillId="6" borderId="19" xfId="0" applyFont="1" applyFill="1" applyBorder="1" applyAlignment="1" applyProtection="1">
      <alignment vertical="center" wrapText="1"/>
    </xf>
    <xf numFmtId="0" fontId="59" fillId="6" borderId="31" xfId="0" applyFont="1" applyFill="1" applyBorder="1" applyAlignment="1" applyProtection="1">
      <alignment vertical="center" wrapText="1"/>
    </xf>
    <xf numFmtId="0" fontId="59" fillId="5" borderId="1" xfId="0" applyFont="1" applyFill="1" applyBorder="1" applyAlignment="1" applyProtection="1">
      <alignment horizontal="center" vertical="center" wrapText="1"/>
      <protection locked="0"/>
    </xf>
    <xf numFmtId="0" fontId="59" fillId="6" borderId="5" xfId="0" applyFont="1" applyFill="1" applyBorder="1" applyAlignment="1" applyProtection="1">
      <alignment vertical="center"/>
    </xf>
    <xf numFmtId="0" fontId="59" fillId="6" borderId="54" xfId="0" applyFont="1" applyFill="1" applyBorder="1" applyAlignment="1" applyProtection="1">
      <alignment vertical="center" wrapText="1"/>
    </xf>
    <xf numFmtId="0" fontId="59" fillId="6" borderId="48" xfId="0" applyFont="1" applyFill="1" applyBorder="1" applyAlignment="1" applyProtection="1">
      <alignment vertical="center" wrapText="1"/>
    </xf>
    <xf numFmtId="0" fontId="59" fillId="6" borderId="13" xfId="0" applyFont="1" applyFill="1" applyBorder="1" applyAlignment="1" applyProtection="1">
      <alignment horizontal="left" vertical="center" wrapText="1"/>
    </xf>
    <xf numFmtId="0" fontId="59" fillId="6" borderId="46" xfId="0" applyFont="1" applyFill="1" applyBorder="1" applyAlignment="1" applyProtection="1">
      <alignment vertical="center"/>
    </xf>
    <xf numFmtId="0" fontId="59" fillId="6" borderId="36" xfId="0" applyFont="1" applyFill="1" applyBorder="1" applyAlignment="1" applyProtection="1">
      <alignment vertical="center" wrapText="1"/>
    </xf>
    <xf numFmtId="0" fontId="59" fillId="6" borderId="59" xfId="0" applyFont="1" applyFill="1" applyBorder="1" applyAlignment="1" applyProtection="1">
      <alignment vertical="center" wrapText="1"/>
    </xf>
    <xf numFmtId="0" fontId="60" fillId="6" borderId="17" xfId="0" applyFont="1" applyFill="1" applyBorder="1" applyAlignment="1" applyProtection="1">
      <alignment horizontal="left" vertical="center" wrapText="1"/>
    </xf>
    <xf numFmtId="0" fontId="59" fillId="6" borderId="28" xfId="0" applyFont="1" applyFill="1" applyBorder="1" applyAlignment="1" applyProtection="1">
      <alignment vertical="center"/>
    </xf>
    <xf numFmtId="0" fontId="59" fillId="6" borderId="20" xfId="0" applyFont="1" applyFill="1" applyBorder="1" applyAlignment="1" applyProtection="1">
      <alignment horizontal="center" vertical="center" wrapText="1"/>
    </xf>
    <xf numFmtId="0" fontId="59" fillId="6" borderId="20" xfId="0" applyFont="1" applyFill="1" applyBorder="1" applyAlignment="1" applyProtection="1">
      <alignment vertical="center" wrapText="1"/>
    </xf>
    <xf numFmtId="0" fontId="59" fillId="6" borderId="21" xfId="0" applyFont="1" applyFill="1" applyBorder="1" applyAlignment="1" applyProtection="1">
      <alignment vertical="center" wrapText="1"/>
    </xf>
    <xf numFmtId="0" fontId="107" fillId="6" borderId="25" xfId="0" applyNumberFormat="1" applyFont="1" applyFill="1" applyBorder="1" applyAlignment="1" applyProtection="1">
      <alignment horizontal="center" vertical="center"/>
    </xf>
    <xf numFmtId="0" fontId="108" fillId="6" borderId="13" xfId="0" applyFont="1" applyFill="1" applyBorder="1" applyAlignment="1" applyProtection="1">
      <alignment horizontal="left" vertical="center" wrapText="1"/>
    </xf>
    <xf numFmtId="0" fontId="108" fillId="6" borderId="3"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wrapText="1"/>
      <protection locked="0"/>
    </xf>
    <xf numFmtId="0" fontId="108" fillId="6" borderId="2" xfId="0" applyFont="1" applyFill="1" applyBorder="1" applyAlignment="1" applyProtection="1">
      <alignment horizontal="left" vertical="center" wrapText="1"/>
    </xf>
    <xf numFmtId="0" fontId="108" fillId="5" borderId="3" xfId="0" applyFont="1" applyFill="1" applyBorder="1" applyAlignment="1" applyProtection="1">
      <alignment horizontal="center" vertical="center" wrapText="1"/>
      <protection locked="0"/>
    </xf>
    <xf numFmtId="0" fontId="108" fillId="5" borderId="1"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wrapText="1"/>
      <protection locked="0"/>
    </xf>
    <xf numFmtId="0" fontId="54" fillId="6" borderId="4" xfId="0" applyFont="1" applyFill="1" applyBorder="1" applyAlignment="1" applyProtection="1">
      <alignment vertical="center"/>
    </xf>
    <xf numFmtId="0" fontId="59" fillId="6" borderId="0" xfId="0" applyFont="1" applyFill="1" applyBorder="1" applyAlignment="1" applyProtection="1">
      <alignment vertical="center" wrapText="1"/>
    </xf>
    <xf numFmtId="0" fontId="123" fillId="6" borderId="60" xfId="0" applyFont="1" applyFill="1" applyBorder="1" applyAlignment="1" applyProtection="1">
      <alignment vertical="center"/>
    </xf>
    <xf numFmtId="0" fontId="123" fillId="6" borderId="71" xfId="0" applyFont="1" applyFill="1" applyBorder="1" applyAlignment="1" applyProtection="1">
      <alignment vertical="center"/>
    </xf>
    <xf numFmtId="0" fontId="108" fillId="6" borderId="74" xfId="0" applyFont="1" applyFill="1" applyBorder="1" applyAlignment="1" applyProtection="1">
      <alignment horizontal="left" vertical="center" wrapText="1"/>
    </xf>
    <xf numFmtId="0" fontId="59" fillId="6" borderId="41" xfId="0" applyFont="1" applyFill="1" applyBorder="1" applyAlignment="1" applyProtection="1">
      <alignment horizontal="center" vertical="center" wrapText="1"/>
    </xf>
    <xf numFmtId="0" fontId="59" fillId="6" borderId="8" xfId="0" applyFont="1" applyFill="1" applyBorder="1" applyAlignment="1" applyProtection="1">
      <alignment horizontal="center" vertical="center" wrapText="1"/>
    </xf>
    <xf numFmtId="0" fontId="59" fillId="6" borderId="17" xfId="0" applyFont="1" applyFill="1" applyBorder="1" applyAlignment="1" applyProtection="1">
      <alignment horizontal="left" vertical="center" wrapText="1"/>
    </xf>
    <xf numFmtId="0" fontId="59" fillId="5" borderId="17" xfId="0" applyFont="1" applyFill="1" applyBorder="1" applyAlignment="1" applyProtection="1">
      <alignment horizontal="center" vertical="center" wrapText="1"/>
      <protection locked="0"/>
    </xf>
    <xf numFmtId="0" fontId="59" fillId="5" borderId="9" xfId="0" applyFont="1" applyFill="1" applyBorder="1" applyAlignment="1" applyProtection="1">
      <alignment horizontal="right" vertical="center" wrapText="1"/>
      <protection locked="0"/>
    </xf>
    <xf numFmtId="0" fontId="59" fillId="5" borderId="9" xfId="0" applyFont="1" applyFill="1" applyBorder="1" applyAlignment="1" applyProtection="1">
      <alignment horizontal="center" vertical="center" wrapText="1"/>
      <protection locked="0"/>
    </xf>
    <xf numFmtId="0" fontId="59" fillId="5" borderId="10" xfId="0" applyFont="1" applyFill="1" applyBorder="1" applyAlignment="1" applyProtection="1">
      <alignment horizontal="center" vertical="center" wrapText="1"/>
      <protection locked="0"/>
    </xf>
    <xf numFmtId="0" fontId="59" fillId="6" borderId="23" xfId="0" applyFont="1" applyFill="1" applyBorder="1" applyAlignment="1" applyProtection="1">
      <alignment horizontal="center" vertical="center" wrapText="1"/>
    </xf>
    <xf numFmtId="0" fontId="59" fillId="6" borderId="13" xfId="0" applyFont="1" applyFill="1" applyBorder="1" applyAlignment="1" applyProtection="1">
      <alignment horizontal="left" vertical="center"/>
    </xf>
    <xf numFmtId="0" fontId="59" fillId="6" borderId="13" xfId="0" applyFont="1" applyFill="1" applyBorder="1" applyAlignment="1" applyProtection="1">
      <alignment vertical="center" wrapText="1"/>
    </xf>
    <xf numFmtId="9" fontId="59" fillId="6" borderId="25"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xf>
    <xf numFmtId="49" fontId="56" fillId="6" borderId="26" xfId="0" applyNumberFormat="1"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0" fontId="5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9" fillId="6" borderId="64" xfId="0" applyFont="1" applyFill="1" applyBorder="1" applyAlignment="1" applyProtection="1">
      <alignment vertical="center"/>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9" fillId="0" borderId="0" xfId="0" applyFont="1" applyAlignment="1" applyProtection="1">
      <alignment horizontal="center" vertical="center" wrapText="1"/>
    </xf>
    <xf numFmtId="0" fontId="57" fillId="6" borderId="84" xfId="0" applyFont="1" applyFill="1" applyBorder="1" applyAlignment="1" applyProtection="1">
      <alignment horizontal="center" vertical="center" wrapText="1"/>
    </xf>
    <xf numFmtId="0" fontId="57" fillId="5" borderId="84" xfId="8" applyFont="1" applyFill="1" applyBorder="1" applyAlignment="1" applyProtection="1">
      <alignment horizontal="center" vertical="center" wrapText="1"/>
      <protection locked="0"/>
    </xf>
    <xf numFmtId="0" fontId="57" fillId="6" borderId="6" xfId="0" applyFont="1" applyFill="1" applyBorder="1" applyAlignment="1" applyProtection="1">
      <alignment vertical="center" wrapText="1"/>
    </xf>
    <xf numFmtId="0" fontId="59" fillId="6" borderId="64" xfId="0" applyFont="1" applyFill="1" applyBorder="1" applyAlignment="1" applyProtection="1">
      <alignment horizontal="center" vertical="center" wrapText="1"/>
    </xf>
    <xf numFmtId="10" fontId="59" fillId="7" borderId="0" xfId="0" applyNumberFormat="1" applyFont="1" applyFill="1" applyAlignment="1" applyProtection="1">
      <alignment horizontal="center" vertical="center" wrapText="1"/>
    </xf>
    <xf numFmtId="10" fontId="59" fillId="0" borderId="0" xfId="0" applyNumberFormat="1" applyFont="1" applyAlignment="1" applyProtection="1">
      <alignment horizontal="center" vertical="center" wrapText="1"/>
    </xf>
    <xf numFmtId="0" fontId="57" fillId="0" borderId="0" xfId="0" applyFont="1" applyAlignment="1" applyProtection="1">
      <alignment horizontal="center" vertical="center" wrapText="1"/>
    </xf>
    <xf numFmtId="49" fontId="56" fillId="6" borderId="40"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0" fontId="59" fillId="6" borderId="17"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0" fontId="57" fillId="6" borderId="19" xfId="8" applyFont="1" applyFill="1" applyBorder="1" applyAlignment="1" applyProtection="1">
      <alignment horizontal="center" vertical="center" wrapText="1"/>
      <protection locked="0"/>
    </xf>
    <xf numFmtId="0" fontId="57" fillId="6" borderId="9" xfId="8" applyFont="1" applyFill="1" applyBorder="1" applyAlignment="1" applyProtection="1">
      <alignment vertical="center" wrapText="1"/>
      <protection locked="0"/>
    </xf>
    <xf numFmtId="0" fontId="57" fillId="6" borderId="31" xfId="8" applyFont="1" applyFill="1" applyBorder="1" applyAlignment="1" applyProtection="1">
      <alignment vertical="center"/>
      <protection locked="0"/>
    </xf>
    <xf numFmtId="49" fontId="56" fillId="6" borderId="6" xfId="0" applyNumberFormat="1" applyFont="1" applyFill="1" applyBorder="1" applyAlignment="1" applyProtection="1">
      <alignment horizontal="left" vertical="center" wrapText="1"/>
    </xf>
    <xf numFmtId="0" fontId="56" fillId="5" borderId="9" xfId="0" applyFont="1" applyFill="1" applyBorder="1" applyAlignment="1" applyProtection="1">
      <alignment horizontal="left" vertical="center" wrapText="1"/>
      <protection locked="0"/>
    </xf>
    <xf numFmtId="0" fontId="57" fillId="6" borderId="19" xfId="0" applyFont="1" applyFill="1" applyBorder="1" applyAlignment="1" applyProtection="1">
      <alignment vertical="center" wrapText="1"/>
    </xf>
    <xf numFmtId="0" fontId="57" fillId="6" borderId="10" xfId="0" applyFont="1" applyFill="1" applyBorder="1" applyAlignment="1" applyProtection="1">
      <alignment vertical="center" wrapText="1"/>
    </xf>
    <xf numFmtId="0" fontId="57" fillId="6" borderId="23" xfId="8" applyFont="1" applyFill="1" applyBorder="1" applyAlignment="1" applyProtection="1">
      <alignment horizontal="center" vertical="center" wrapText="1"/>
    </xf>
    <xf numFmtId="0" fontId="57" fillId="6" borderId="1" xfId="0" applyFont="1" applyFill="1" applyBorder="1" applyAlignment="1" applyProtection="1">
      <alignment horizontal="left" vertical="center" wrapText="1"/>
    </xf>
    <xf numFmtId="0" fontId="57" fillId="6" borderId="13" xfId="0" applyFont="1" applyFill="1" applyBorder="1" applyAlignment="1" applyProtection="1">
      <alignment horizontal="left" vertical="center" wrapText="1"/>
    </xf>
    <xf numFmtId="188" fontId="59" fillId="6" borderId="15" xfId="0" applyNumberFormat="1" applyFont="1" applyFill="1" applyBorder="1" applyAlignment="1" applyProtection="1">
      <alignment horizontal="center" vertical="center" wrapText="1"/>
    </xf>
    <xf numFmtId="188" fontId="59" fillId="6" borderId="58" xfId="0" applyNumberFormat="1" applyFont="1" applyFill="1" applyBorder="1" applyAlignment="1" applyProtection="1">
      <alignment horizontal="center" vertical="center" wrapText="1"/>
    </xf>
    <xf numFmtId="0" fontId="59" fillId="6" borderId="22" xfId="0" applyFont="1" applyFill="1" applyBorder="1" applyAlignment="1" applyProtection="1">
      <alignment vertical="center" wrapText="1"/>
    </xf>
    <xf numFmtId="0" fontId="57" fillId="6" borderId="13" xfId="0" applyFont="1" applyFill="1" applyBorder="1" applyAlignment="1" applyProtection="1">
      <alignment vertical="center" wrapText="1"/>
    </xf>
    <xf numFmtId="0" fontId="57" fillId="6" borderId="61" xfId="0" applyFont="1" applyFill="1" applyBorder="1" applyAlignment="1" applyProtection="1">
      <alignment vertical="center" wrapText="1"/>
    </xf>
    <xf numFmtId="0" fontId="57" fillId="6" borderId="84" xfId="0" applyFont="1" applyFill="1" applyBorder="1" applyAlignment="1" applyProtection="1">
      <alignment vertical="center" wrapText="1"/>
    </xf>
    <xf numFmtId="0" fontId="57" fillId="6" borderId="67" xfId="0" applyFont="1" applyFill="1" applyBorder="1" applyAlignment="1" applyProtection="1">
      <alignment vertical="center" wrapText="1"/>
    </xf>
    <xf numFmtId="0" fontId="57" fillId="6" borderId="25" xfId="8" applyFont="1" applyFill="1" applyBorder="1" applyAlignment="1" applyProtection="1">
      <alignment horizontal="center" vertical="center" wrapText="1"/>
    </xf>
    <xf numFmtId="0" fontId="56" fillId="6" borderId="28" xfId="0" applyFont="1" applyFill="1" applyBorder="1" applyAlignment="1" applyProtection="1">
      <alignment horizontal="left" vertical="center" wrapText="1"/>
    </xf>
    <xf numFmtId="0" fontId="60" fillId="6" borderId="19" xfId="0" applyFont="1" applyFill="1" applyBorder="1" applyAlignment="1" applyProtection="1">
      <alignment vertical="center" wrapText="1"/>
    </xf>
    <xf numFmtId="0" fontId="57" fillId="6" borderId="26" xfId="8" applyFont="1" applyFill="1" applyBorder="1" applyAlignment="1" applyProtection="1">
      <alignment horizontal="center" vertical="center" wrapText="1"/>
      <protection locked="0"/>
    </xf>
    <xf numFmtId="49" fontId="56" fillId="6" borderId="14" xfId="0" applyNumberFormat="1" applyFont="1" applyFill="1" applyBorder="1" applyAlignment="1" applyProtection="1">
      <alignment horizontal="center" vertical="center" wrapText="1"/>
    </xf>
    <xf numFmtId="0" fontId="59" fillId="6" borderId="58" xfId="0" applyFont="1" applyFill="1" applyBorder="1" applyAlignment="1" applyProtection="1">
      <alignment vertical="center" wrapText="1"/>
    </xf>
    <xf numFmtId="0" fontId="60" fillId="6" borderId="0" xfId="0" applyFont="1" applyFill="1" applyBorder="1" applyAlignment="1" applyProtection="1">
      <alignment vertical="center" wrapText="1"/>
    </xf>
    <xf numFmtId="0" fontId="59" fillId="6" borderId="56" xfId="0" applyFont="1" applyFill="1" applyBorder="1" applyAlignment="1" applyProtection="1">
      <alignment vertical="center" wrapText="1"/>
    </xf>
    <xf numFmtId="0" fontId="57" fillId="6" borderId="0" xfId="0" applyFont="1" applyFill="1" applyBorder="1" applyAlignment="1" applyProtection="1">
      <alignment horizontal="left" vertical="center" wrapText="1"/>
    </xf>
    <xf numFmtId="0" fontId="59" fillId="6" borderId="75"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60" fillId="6" borderId="47" xfId="0" applyFont="1" applyFill="1" applyBorder="1" applyAlignment="1" applyProtection="1">
      <alignment vertical="center" wrapText="1"/>
    </xf>
    <xf numFmtId="0" fontId="59" fillId="6" borderId="43" xfId="0" applyFont="1" applyFill="1" applyBorder="1" applyAlignment="1" applyProtection="1">
      <alignment vertical="center" wrapText="1"/>
    </xf>
    <xf numFmtId="49" fontId="56" fillId="6" borderId="40" xfId="0" applyNumberFormat="1" applyFont="1" applyFill="1" applyBorder="1" applyAlignment="1" applyProtection="1">
      <alignment horizontal="center" vertical="center" wrapText="1"/>
    </xf>
    <xf numFmtId="0" fontId="60" fillId="6" borderId="30"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60" fillId="6" borderId="28" xfId="0" applyFont="1" applyFill="1" applyBorder="1" applyAlignment="1" applyProtection="1">
      <alignment vertical="center" wrapText="1"/>
    </xf>
    <xf numFmtId="0" fontId="59" fillId="6" borderId="14" xfId="0" applyFont="1" applyFill="1" applyBorder="1" applyAlignment="1" applyProtection="1">
      <alignment horizontal="center" vertical="center" wrapText="1"/>
    </xf>
    <xf numFmtId="0" fontId="59" fillId="6" borderId="3" xfId="0" applyFont="1" applyFill="1" applyBorder="1" applyAlignment="1" applyProtection="1">
      <alignment horizontal="left" vertical="center" wrapText="1"/>
    </xf>
    <xf numFmtId="0" fontId="59" fillId="0" borderId="1" xfId="0" applyFont="1" applyBorder="1" applyAlignment="1" applyProtection="1">
      <alignment vertical="center" wrapText="1"/>
      <protection locked="0"/>
    </xf>
    <xf numFmtId="0" fontId="108" fillId="6" borderId="5" xfId="0" applyFont="1" applyFill="1" applyBorder="1" applyAlignment="1" applyProtection="1">
      <alignment vertical="center"/>
    </xf>
    <xf numFmtId="0" fontId="108" fillId="6" borderId="54" xfId="0" applyFont="1" applyFill="1" applyBorder="1" applyAlignment="1" applyProtection="1">
      <alignment vertical="center"/>
    </xf>
    <xf numFmtId="0" fontId="108" fillId="6" borderId="48" xfId="0" applyFont="1" applyFill="1" applyBorder="1" applyAlignment="1" applyProtection="1">
      <alignment vertical="center"/>
    </xf>
    <xf numFmtId="0" fontId="60" fillId="6" borderId="12" xfId="0" applyFont="1" applyFill="1" applyBorder="1" applyAlignment="1" applyProtection="1">
      <alignment vertical="center" wrapText="1"/>
    </xf>
    <xf numFmtId="0" fontId="59" fillId="6" borderId="66" xfId="0" applyFont="1" applyFill="1" applyBorder="1" applyAlignment="1" applyProtection="1">
      <alignment horizontal="left" vertical="center" wrapText="1"/>
    </xf>
    <xf numFmtId="0" fontId="59" fillId="0" borderId="32" xfId="0" applyFont="1" applyBorder="1" applyAlignment="1" applyProtection="1">
      <alignment vertical="center" wrapText="1"/>
      <protection locked="0"/>
    </xf>
    <xf numFmtId="0" fontId="59" fillId="6" borderId="32" xfId="0" applyFont="1" applyFill="1" applyBorder="1" applyAlignment="1" applyProtection="1">
      <alignment vertical="center"/>
    </xf>
    <xf numFmtId="0" fontId="59" fillId="6" borderId="52" xfId="0" applyFont="1" applyFill="1" applyBorder="1" applyAlignment="1" applyProtection="1">
      <alignment vertical="center" wrapText="1"/>
    </xf>
    <xf numFmtId="0" fontId="59" fillId="6" borderId="68" xfId="0" applyFont="1" applyFill="1" applyBorder="1" applyAlignment="1" applyProtection="1">
      <alignment vertical="center" wrapText="1"/>
    </xf>
    <xf numFmtId="0" fontId="60" fillId="6" borderId="40" xfId="0" applyFont="1" applyFill="1" applyBorder="1" applyAlignment="1" applyProtection="1">
      <alignment vertical="center" wrapText="1"/>
    </xf>
    <xf numFmtId="0" fontId="60" fillId="6" borderId="39" xfId="0" applyFont="1" applyFill="1" applyBorder="1" applyAlignment="1" applyProtection="1">
      <alignment horizontal="left" vertical="center" wrapText="1"/>
    </xf>
    <xf numFmtId="0" fontId="59" fillId="6" borderId="20" xfId="0" applyFont="1" applyFill="1" applyBorder="1" applyAlignment="1" applyProtection="1">
      <alignment vertical="center"/>
    </xf>
    <xf numFmtId="0" fontId="59" fillId="6" borderId="30" xfId="0" applyFont="1" applyFill="1" applyBorder="1" applyAlignment="1" applyProtection="1">
      <alignment vertical="center"/>
    </xf>
    <xf numFmtId="0" fontId="60" fillId="6" borderId="7"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108" fillId="6" borderId="7" xfId="0" applyFont="1" applyFill="1" applyBorder="1" applyAlignment="1" applyProtection="1">
      <alignment horizontal="center" vertical="center" wrapText="1"/>
    </xf>
    <xf numFmtId="0" fontId="59" fillId="6" borderId="56" xfId="0" applyFont="1" applyFill="1" applyBorder="1" applyAlignment="1" applyProtection="1">
      <alignment horizontal="center" vertical="center" wrapText="1"/>
    </xf>
    <xf numFmtId="0" fontId="60" fillId="6" borderId="14" xfId="0" applyFont="1" applyFill="1" applyBorder="1" applyAlignment="1" applyProtection="1">
      <alignment vertical="center" wrapText="1"/>
    </xf>
    <xf numFmtId="0" fontId="59" fillId="6" borderId="16" xfId="0" applyFont="1" applyFill="1" applyBorder="1" applyAlignment="1" applyProtection="1">
      <alignment vertical="center"/>
      <protection locked="0"/>
    </xf>
    <xf numFmtId="0" fontId="59" fillId="6" borderId="31" xfId="0" applyFont="1" applyFill="1" applyBorder="1" applyAlignment="1" applyProtection="1">
      <alignment vertical="center" wrapText="1"/>
      <protection locked="0"/>
    </xf>
    <xf numFmtId="9" fontId="59" fillId="6" borderId="24" xfId="0" applyNumberFormat="1" applyFont="1" applyFill="1" applyBorder="1" applyAlignment="1" applyProtection="1">
      <alignment horizontal="center" vertical="center"/>
    </xf>
    <xf numFmtId="0" fontId="108" fillId="6" borderId="66" xfId="0" applyFont="1" applyFill="1" applyBorder="1" applyAlignment="1" applyProtection="1">
      <alignment horizontal="center" vertical="center" wrapText="1"/>
    </xf>
    <xf numFmtId="0" fontId="59" fillId="6" borderId="43" xfId="0" applyFont="1" applyFill="1" applyBorder="1" applyAlignment="1" applyProtection="1">
      <alignment horizontal="center" vertical="center" wrapText="1"/>
    </xf>
    <xf numFmtId="0" fontId="59" fillId="6" borderId="25" xfId="0" applyFont="1" applyFill="1" applyBorder="1" applyAlignment="1" applyProtection="1">
      <alignment vertical="center" wrapText="1"/>
    </xf>
    <xf numFmtId="9" fontId="59" fillId="6" borderId="49" xfId="0" applyNumberFormat="1" applyFont="1" applyFill="1" applyBorder="1" applyAlignment="1" applyProtection="1">
      <alignment horizontal="center" vertical="center" wrapText="1"/>
    </xf>
    <xf numFmtId="0" fontId="59" fillId="7" borderId="0" xfId="0" applyFont="1" applyFill="1" applyAlignment="1" applyProtection="1">
      <alignment horizontal="left" vertical="center" wrapText="1"/>
      <protection locked="0"/>
    </xf>
    <xf numFmtId="0" fontId="118" fillId="6" borderId="0" xfId="0" applyFont="1" applyFill="1" applyProtection="1">
      <alignment vertical="center"/>
    </xf>
    <xf numFmtId="188" fontId="107" fillId="6" borderId="0" xfId="0" applyNumberFormat="1" applyFont="1" applyFill="1" applyAlignment="1" applyProtection="1">
      <alignment horizontal="center" vertical="center" wrapText="1"/>
    </xf>
    <xf numFmtId="0" fontId="118" fillId="6" borderId="51" xfId="0" applyFont="1" applyFill="1" applyBorder="1" applyAlignment="1" applyProtection="1">
      <alignment vertical="center"/>
    </xf>
    <xf numFmtId="188" fontId="224" fillId="6" borderId="19" xfId="0" applyNumberFormat="1" applyFont="1" applyFill="1" applyBorder="1" applyAlignment="1" applyProtection="1">
      <alignment horizontal="center" vertical="center" wrapText="1"/>
    </xf>
    <xf numFmtId="0" fontId="107" fillId="6" borderId="19" xfId="0" applyFont="1" applyFill="1" applyBorder="1" applyProtection="1">
      <alignment vertical="center"/>
    </xf>
    <xf numFmtId="0" fontId="118" fillId="6" borderId="0" xfId="0" applyFont="1" applyFill="1" applyBorder="1" applyAlignment="1" applyProtection="1">
      <alignment horizontal="center" vertical="center"/>
    </xf>
    <xf numFmtId="0" fontId="108" fillId="6" borderId="23" xfId="0" applyFont="1" applyFill="1" applyBorder="1" applyAlignment="1" applyProtection="1">
      <alignment horizontal="center" vertical="center" wrapText="1"/>
    </xf>
    <xf numFmtId="0" fontId="123" fillId="6" borderId="58" xfId="0" applyFont="1" applyFill="1" applyBorder="1" applyAlignment="1" applyProtection="1">
      <alignment horizontal="center" vertical="center" wrapText="1"/>
    </xf>
    <xf numFmtId="0" fontId="123" fillId="6" borderId="1" xfId="0" applyFont="1" applyFill="1" applyBorder="1" applyAlignment="1" applyProtection="1">
      <alignment horizontal="center" vertical="center" wrapText="1"/>
    </xf>
    <xf numFmtId="49" fontId="108" fillId="6" borderId="1"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183" fillId="0" borderId="1" xfId="0" applyNumberFormat="1" applyFont="1" applyFill="1" applyBorder="1" applyAlignment="1" applyProtection="1">
      <alignment horizontal="center" vertical="center" wrapText="1"/>
      <protection locked="0"/>
    </xf>
    <xf numFmtId="0" fontId="183" fillId="0" borderId="13" xfId="0" applyNumberFormat="1" applyFont="1" applyFill="1" applyBorder="1" applyAlignment="1" applyProtection="1">
      <alignment horizontal="center" vertical="center" wrapText="1"/>
      <protection locked="0"/>
    </xf>
    <xf numFmtId="0" fontId="108" fillId="6" borderId="37" xfId="0" applyFont="1" applyFill="1" applyBorder="1" applyAlignment="1" applyProtection="1">
      <alignment horizontal="center" vertical="center" wrapText="1"/>
    </xf>
    <xf numFmtId="0" fontId="108" fillId="6" borderId="25" xfId="0" applyFont="1" applyFill="1" applyBorder="1" applyAlignment="1" applyProtection="1">
      <alignment horizontal="center" vertical="center" wrapText="1"/>
    </xf>
    <xf numFmtId="49" fontId="108" fillId="6" borderId="74" xfId="0" applyNumberFormat="1" applyFont="1" applyFill="1" applyBorder="1" applyAlignment="1" applyProtection="1">
      <alignment horizontal="center" vertical="center" wrapText="1"/>
    </xf>
    <xf numFmtId="49" fontId="108" fillId="6" borderId="32" xfId="0" applyNumberFormat="1" applyFont="1" applyFill="1" applyBorder="1" applyAlignment="1" applyProtection="1">
      <alignment horizontal="center" vertical="center" wrapText="1"/>
    </xf>
    <xf numFmtId="0" fontId="59" fillId="0" borderId="0" xfId="0" applyFont="1" applyAlignment="1" applyProtection="1">
      <alignment horizontal="center" vertical="center" wrapText="1"/>
      <protection locked="0"/>
    </xf>
    <xf numFmtId="0" fontId="183" fillId="0" borderId="32" xfId="0" applyNumberFormat="1" applyFont="1" applyFill="1" applyBorder="1" applyAlignment="1" applyProtection="1">
      <alignment horizontal="center" vertical="center" wrapText="1"/>
      <protection locked="0"/>
    </xf>
    <xf numFmtId="0" fontId="108" fillId="6" borderId="32"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6" borderId="3" xfId="0" applyFont="1" applyFill="1" applyBorder="1" applyAlignment="1" applyProtection="1">
      <alignment vertical="center"/>
    </xf>
    <xf numFmtId="0" fontId="108" fillId="6" borderId="0" xfId="0" applyFont="1" applyFill="1" applyBorder="1" applyAlignment="1" applyProtection="1">
      <alignment horizontal="center" vertical="center"/>
    </xf>
    <xf numFmtId="187" fontId="108" fillId="6" borderId="1" xfId="0" applyNumberFormat="1" applyFont="1" applyFill="1" applyBorder="1" applyAlignment="1" applyProtection="1">
      <alignment horizontal="center" vertical="center"/>
    </xf>
    <xf numFmtId="188" fontId="108" fillId="6" borderId="1" xfId="0" applyNumberFormat="1" applyFont="1" applyFill="1" applyBorder="1" applyAlignment="1" applyProtection="1">
      <alignment horizontal="center" vertical="center"/>
    </xf>
    <xf numFmtId="178" fontId="123" fillId="6" borderId="1" xfId="0" applyNumberFormat="1" applyFont="1" applyFill="1" applyBorder="1" applyAlignment="1" applyProtection="1">
      <alignment horizontal="center" vertical="center"/>
    </xf>
    <xf numFmtId="188" fontId="123" fillId="6" borderId="1" xfId="0" applyNumberFormat="1" applyFont="1" applyFill="1" applyBorder="1" applyAlignment="1" applyProtection="1">
      <alignment horizontal="center" vertical="center" wrapText="1"/>
    </xf>
    <xf numFmtId="187" fontId="108" fillId="6" borderId="2" xfId="0" applyNumberFormat="1" applyFont="1" applyFill="1" applyBorder="1" applyAlignment="1" applyProtection="1">
      <alignment horizontal="center" vertical="center" wrapText="1"/>
    </xf>
    <xf numFmtId="180" fontId="123" fillId="6" borderId="1" xfId="0" applyNumberFormat="1" applyFont="1" applyFill="1" applyBorder="1" applyAlignment="1" applyProtection="1">
      <alignment horizontal="center" vertical="center"/>
    </xf>
    <xf numFmtId="0" fontId="108" fillId="0" borderId="0" xfId="0" applyFont="1" applyAlignment="1" applyProtection="1">
      <alignment horizontal="left" vertical="center"/>
    </xf>
    <xf numFmtId="0" fontId="59" fillId="0" borderId="0" xfId="0" applyFont="1" applyAlignment="1" applyProtection="1">
      <alignment horizontal="left" vertical="center" wrapText="1"/>
    </xf>
    <xf numFmtId="0" fontId="189" fillId="6" borderId="1" xfId="3" applyNumberFormat="1" applyFont="1" applyFill="1" applyBorder="1" applyAlignment="1" applyProtection="1">
      <alignment horizontal="center" vertical="center"/>
    </xf>
    <xf numFmtId="0" fontId="107" fillId="0" borderId="0" xfId="0" applyNumberFormat="1" applyFont="1" applyProtection="1">
      <alignment vertical="center"/>
    </xf>
    <xf numFmtId="0" fontId="59" fillId="6" borderId="9"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wrapText="1"/>
    </xf>
    <xf numFmtId="0" fontId="59" fillId="6" borderId="17" xfId="3" applyNumberFormat="1" applyFont="1" applyFill="1" applyBorder="1" applyAlignment="1" applyProtection="1">
      <alignment horizontal="center" vertical="center"/>
    </xf>
    <xf numFmtId="0" fontId="59" fillId="6" borderId="62" xfId="3" applyNumberFormat="1" applyFont="1" applyFill="1" applyBorder="1" applyAlignment="1" applyProtection="1">
      <alignment horizontal="center" vertical="center"/>
    </xf>
    <xf numFmtId="0" fontId="135" fillId="6" borderId="1" xfId="0" applyFont="1" applyFill="1" applyBorder="1">
      <alignment vertical="center"/>
    </xf>
    <xf numFmtId="0" fontId="107" fillId="6" borderId="1" xfId="0" applyFont="1" applyFill="1" applyBorder="1">
      <alignment vertical="center"/>
    </xf>
    <xf numFmtId="0" fontId="107" fillId="6" borderId="0" xfId="0" applyFont="1" applyFill="1">
      <alignment vertical="center"/>
    </xf>
    <xf numFmtId="0" fontId="135" fillId="6" borderId="0" xfId="0" applyFont="1" applyFill="1">
      <alignment vertical="center"/>
    </xf>
    <xf numFmtId="0" fontId="135" fillId="6" borderId="1" xfId="0" applyFont="1" applyFill="1" applyBorder="1" applyAlignment="1">
      <alignment vertical="center" wrapText="1"/>
    </xf>
    <xf numFmtId="0" fontId="135" fillId="5" borderId="1" xfId="0" applyFont="1" applyFill="1" applyBorder="1" applyAlignment="1" applyProtection="1">
      <alignment horizontal="center" vertical="center"/>
      <protection locked="0"/>
    </xf>
    <xf numFmtId="0" fontId="58" fillId="6" borderId="96" xfId="0" applyNumberFormat="1" applyFont="1" applyFill="1" applyBorder="1" applyAlignment="1" applyProtection="1">
      <alignment horizontal="center" vertical="center" wrapText="1"/>
    </xf>
    <xf numFmtId="0" fontId="53" fillId="10" borderId="16" xfId="0" applyNumberFormat="1" applyFont="1" applyFill="1" applyBorder="1" applyAlignment="1" applyProtection="1">
      <alignment horizontal="center" vertical="center" wrapText="1"/>
    </xf>
    <xf numFmtId="0" fontId="58" fillId="6" borderId="16" xfId="0" applyFont="1" applyFill="1" applyBorder="1" applyAlignment="1" applyProtection="1">
      <alignment horizontal="left" vertical="center"/>
      <protection locked="0"/>
    </xf>
    <xf numFmtId="0" fontId="60" fillId="5" borderId="38" xfId="1" applyFont="1" applyFill="1" applyBorder="1" applyAlignment="1" applyProtection="1">
      <alignment vertical="center"/>
      <protection locked="0"/>
    </xf>
    <xf numFmtId="0" fontId="63" fillId="5" borderId="49" xfId="1" applyFont="1" applyFill="1" applyBorder="1" applyAlignment="1" applyProtection="1">
      <alignment vertical="center"/>
      <protection locked="0"/>
    </xf>
    <xf numFmtId="0" fontId="155" fillId="12" borderId="126" xfId="9" applyFont="1" applyFill="1" applyBorder="1" applyAlignment="1" applyProtection="1">
      <alignment vertical="center" wrapText="1"/>
    </xf>
    <xf numFmtId="0" fontId="155" fillId="12" borderId="155" xfId="9" applyFont="1" applyFill="1" applyBorder="1" applyAlignment="1" applyProtection="1">
      <alignment vertical="center" wrapText="1"/>
    </xf>
    <xf numFmtId="0" fontId="111" fillId="0" borderId="0" xfId="9" applyFont="1" applyFill="1" applyBorder="1" applyAlignment="1" applyProtection="1">
      <alignment horizontal="center" vertical="center"/>
      <protection locked="0"/>
    </xf>
    <xf numFmtId="0" fontId="156" fillId="14" borderId="0" xfId="9" applyFont="1" applyFill="1" applyBorder="1" applyAlignment="1" applyProtection="1">
      <alignment horizontal="center" vertical="center"/>
      <protection locked="0"/>
    </xf>
    <xf numFmtId="0" fontId="123" fillId="6" borderId="0" xfId="0" applyFont="1" applyFill="1" applyProtection="1">
      <alignment vertical="center"/>
      <protection locked="0"/>
    </xf>
    <xf numFmtId="0" fontId="155" fillId="12" borderId="126" xfId="9" applyFont="1" applyFill="1" applyBorder="1" applyAlignment="1" applyProtection="1">
      <alignment horizontal="center" vertical="center" wrapText="1"/>
    </xf>
    <xf numFmtId="0" fontId="148" fillId="16" borderId="0" xfId="9" applyFont="1" applyFill="1">
      <alignment vertical="center"/>
    </xf>
    <xf numFmtId="0" fontId="123" fillId="5" borderId="0" xfId="9" applyFont="1" applyFill="1">
      <alignment vertical="center"/>
    </xf>
    <xf numFmtId="0" fontId="111" fillId="16" borderId="0" xfId="9" applyFont="1" applyFill="1">
      <alignment vertical="center"/>
    </xf>
    <xf numFmtId="0" fontId="107" fillId="16" borderId="0" xfId="10" applyFont="1" applyFill="1" applyAlignment="1" applyProtection="1">
      <alignment horizontal="center" vertical="center"/>
    </xf>
    <xf numFmtId="0" fontId="25" fillId="16" borderId="0" xfId="10" applyFont="1" applyFill="1" applyAlignment="1" applyProtection="1">
      <alignment horizontal="center" vertical="center"/>
    </xf>
    <xf numFmtId="0" fontId="111" fillId="16" borderId="122" xfId="9" applyFont="1" applyFill="1" applyBorder="1" applyAlignment="1">
      <alignment horizontal="center" vertical="center"/>
    </xf>
    <xf numFmtId="0" fontId="111" fillId="16" borderId="0" xfId="9" applyFont="1" applyFill="1" applyBorder="1" applyAlignment="1">
      <alignment horizontal="center" vertical="center"/>
    </xf>
    <xf numFmtId="0" fontId="156" fillId="16" borderId="0" xfId="9" applyFont="1" applyFill="1" applyBorder="1" applyAlignment="1" applyProtection="1">
      <alignment horizontal="center" vertical="center"/>
      <protection locked="0"/>
    </xf>
    <xf numFmtId="0" fontId="111" fillId="16" borderId="0" xfId="9" applyFont="1" applyFill="1" applyAlignment="1">
      <alignment horizontal="center" vertical="center"/>
    </xf>
    <xf numFmtId="0" fontId="108" fillId="16" borderId="0" xfId="9" applyFont="1" applyFill="1" applyAlignment="1">
      <alignment horizontal="center" vertical="center"/>
    </xf>
    <xf numFmtId="10" fontId="108" fillId="16" borderId="0" xfId="9" applyNumberFormat="1" applyFont="1" applyFill="1" applyAlignment="1">
      <alignment horizontal="center" vertical="center"/>
    </xf>
    <xf numFmtId="0" fontId="150" fillId="16" borderId="0" xfId="9" applyFont="1" applyFill="1">
      <alignment vertical="center"/>
    </xf>
    <xf numFmtId="0" fontId="53" fillId="6" borderId="54"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xf>
    <xf numFmtId="0" fontId="53" fillId="6" borderId="36" xfId="0" applyFont="1" applyFill="1" applyBorder="1" applyAlignment="1" applyProtection="1">
      <alignment horizontal="left" vertical="center"/>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193" fillId="7" borderId="5" xfId="0" applyFont="1" applyFill="1" applyBorder="1" applyAlignment="1" applyProtection="1">
      <alignment vertical="center"/>
      <protection locked="0"/>
    </xf>
    <xf numFmtId="0" fontId="193" fillId="7" borderId="54" xfId="0" applyFont="1" applyFill="1" applyBorder="1" applyAlignment="1" applyProtection="1">
      <alignment vertical="center" wrapText="1"/>
      <protection locked="0"/>
    </xf>
    <xf numFmtId="0" fontId="109" fillId="2" borderId="24" xfId="0" applyFont="1" applyFill="1" applyBorder="1" applyAlignment="1" applyProtection="1">
      <alignment horizontal="center" vertical="center"/>
      <protection locked="0"/>
    </xf>
    <xf numFmtId="178" fontId="83" fillId="0" borderId="1" xfId="1" applyNumberFormat="1" applyFont="1" applyFill="1" applyBorder="1" applyAlignment="1" applyProtection="1">
      <alignment vertical="center"/>
      <protection locked="0" hidden="1"/>
    </xf>
    <xf numFmtId="0" fontId="228" fillId="0" borderId="24" xfId="0" applyFont="1" applyBorder="1" applyAlignment="1" applyProtection="1">
      <alignment horizontal="center" vertical="center" wrapText="1"/>
      <protection locked="0"/>
    </xf>
    <xf numFmtId="0" fontId="228" fillId="0" borderId="49" xfId="0" applyFont="1" applyBorder="1" applyAlignment="1" applyProtection="1">
      <alignment horizontal="center" vertical="center"/>
      <protection locked="0"/>
    </xf>
    <xf numFmtId="0" fontId="101" fillId="0" borderId="54" xfId="0" applyNumberFormat="1" applyFont="1" applyFill="1" applyBorder="1" applyAlignment="1" applyProtection="1">
      <alignment horizontal="center" vertical="center" wrapText="1"/>
      <protection locked="0"/>
    </xf>
    <xf numFmtId="0" fontId="140" fillId="0" borderId="44" xfId="0" applyNumberFormat="1" applyFont="1" applyFill="1" applyBorder="1" applyAlignment="1" applyProtection="1">
      <alignment horizontal="center" vertical="center" wrapText="1"/>
      <protection locked="0"/>
    </xf>
    <xf numFmtId="0" fontId="140" fillId="0" borderId="51" xfId="0" applyNumberFormat="1" applyFont="1" applyFill="1" applyBorder="1" applyAlignment="1" applyProtection="1">
      <alignment horizontal="center" vertical="center" wrapText="1"/>
      <protection locked="0"/>
    </xf>
    <xf numFmtId="0" fontId="101" fillId="0" borderId="37" xfId="0" applyNumberFormat="1" applyFont="1" applyFill="1" applyBorder="1" applyAlignment="1" applyProtection="1">
      <alignment horizontal="center" vertical="center" wrapText="1"/>
      <protection locked="0"/>
    </xf>
    <xf numFmtId="9" fontId="109" fillId="0" borderId="37" xfId="0" applyNumberFormat="1" applyFont="1" applyFill="1" applyBorder="1" applyAlignment="1" applyProtection="1">
      <alignment horizontal="center" vertical="center" wrapText="1"/>
      <protection locked="0"/>
    </xf>
    <xf numFmtId="0" fontId="140" fillId="0" borderId="46" xfId="0" applyFont="1" applyFill="1" applyBorder="1" applyAlignment="1" applyProtection="1">
      <alignment horizontal="center" vertical="center" wrapText="1"/>
      <protection locked="0"/>
    </xf>
    <xf numFmtId="58" fontId="50" fillId="0" borderId="44" xfId="0" applyNumberFormat="1" applyFont="1" applyFill="1" applyBorder="1" applyAlignment="1" applyProtection="1">
      <alignment horizontal="center" vertical="center" wrapText="1"/>
      <protection locked="0"/>
    </xf>
    <xf numFmtId="37" fontId="258" fillId="17" borderId="0" xfId="13" applyNumberFormat="1" applyFont="1" applyFill="1" applyAlignment="1">
      <alignment vertical="center" wrapText="1"/>
    </xf>
    <xf numFmtId="37" fontId="258" fillId="17" borderId="0" xfId="13" applyNumberFormat="1" applyFont="1" applyFill="1" applyAlignment="1">
      <alignment horizontal="center" vertical="center"/>
    </xf>
    <xf numFmtId="198" fontId="258" fillId="17" borderId="0" xfId="13" applyNumberFormat="1" applyFont="1" applyFill="1" applyAlignment="1">
      <alignment vertical="center"/>
    </xf>
    <xf numFmtId="0" fontId="3" fillId="0" borderId="0" xfId="14">
      <alignment vertical="center"/>
    </xf>
    <xf numFmtId="14" fontId="259" fillId="18" borderId="156" xfId="15" applyNumberFormat="1" applyFont="1" applyFill="1" applyBorder="1" applyAlignment="1">
      <alignment horizontal="left" vertical="center"/>
    </xf>
    <xf numFmtId="9" fontId="260" fillId="18" borderId="0" xfId="16" applyFont="1" applyFill="1" applyAlignment="1">
      <alignment horizontal="center" vertical="center"/>
    </xf>
    <xf numFmtId="0" fontId="261" fillId="18" borderId="0" xfId="14" applyFont="1" applyFill="1" applyAlignment="1">
      <alignment vertical="center"/>
    </xf>
    <xf numFmtId="200" fontId="262" fillId="18" borderId="0" xfId="17" applyNumberFormat="1" applyFont="1" applyFill="1" applyBorder="1" applyAlignment="1">
      <alignment horizontal="center" vertical="center"/>
    </xf>
    <xf numFmtId="201" fontId="262" fillId="0" borderId="0" xfId="17" quotePrefix="1" applyNumberFormat="1" applyFont="1" applyFill="1" applyBorder="1" applyAlignment="1">
      <alignment horizontal="center" vertical="center"/>
    </xf>
    <xf numFmtId="14" fontId="6" fillId="18" borderId="156" xfId="15" applyNumberFormat="1" applyFont="1" applyFill="1" applyBorder="1" applyAlignment="1">
      <alignment horizontal="center" vertical="center"/>
    </xf>
    <xf numFmtId="14" fontId="262" fillId="18" borderId="0" xfId="18" quotePrefix="1" applyNumberFormat="1" applyFont="1" applyFill="1" applyBorder="1" applyAlignment="1">
      <alignment horizontal="center" vertical="center"/>
    </xf>
    <xf numFmtId="202" fontId="263" fillId="18" borderId="157" xfId="19" applyNumberFormat="1" applyFont="1" applyFill="1" applyBorder="1" applyAlignment="1">
      <alignment horizontal="left" vertical="center"/>
    </xf>
    <xf numFmtId="14" fontId="259" fillId="18" borderId="0" xfId="15" applyNumberFormat="1" applyFont="1" applyFill="1" applyBorder="1" applyAlignment="1">
      <alignment horizontal="center" vertical="center"/>
    </xf>
    <xf numFmtId="176" fontId="264" fillId="18" borderId="0" xfId="18" applyFont="1" applyFill="1" applyBorder="1" applyAlignment="1">
      <alignment horizontal="left" vertical="center"/>
    </xf>
    <xf numFmtId="176" fontId="265" fillId="18" borderId="0" xfId="18" applyFont="1" applyFill="1" applyBorder="1" applyAlignment="1">
      <alignment horizontal="center" vertical="center"/>
    </xf>
    <xf numFmtId="203" fontId="266" fillId="18" borderId="0" xfId="14" applyNumberFormat="1" applyFont="1" applyFill="1" applyAlignment="1">
      <alignment vertical="center"/>
    </xf>
    <xf numFmtId="199" fontId="3" fillId="0" borderId="0" xfId="20" applyFont="1">
      <alignment vertical="center"/>
    </xf>
    <xf numFmtId="176" fontId="262" fillId="18" borderId="0" xfId="18" applyFont="1" applyFill="1" applyBorder="1" applyAlignment="1">
      <alignment horizontal="left" vertical="center"/>
    </xf>
    <xf numFmtId="203" fontId="261" fillId="18" borderId="0" xfId="14" applyNumberFormat="1" applyFont="1" applyFill="1" applyAlignment="1">
      <alignment vertical="center"/>
    </xf>
    <xf numFmtId="0" fontId="265" fillId="18" borderId="0" xfId="12" applyFont="1" applyFill="1" applyAlignment="1">
      <alignment horizontal="right" vertical="center"/>
    </xf>
    <xf numFmtId="0" fontId="261" fillId="18" borderId="0" xfId="12" applyFont="1" applyFill="1" applyAlignment="1">
      <alignment horizontal="right" vertical="center"/>
    </xf>
    <xf numFmtId="9" fontId="261" fillId="18" borderId="0" xfId="21" applyFont="1" applyFill="1" applyAlignment="1">
      <alignment vertical="center"/>
    </xf>
    <xf numFmtId="202" fontId="268" fillId="18" borderId="157" xfId="19" applyNumberFormat="1" applyFont="1" applyFill="1" applyBorder="1" applyAlignment="1">
      <alignment horizontal="left" vertical="center"/>
    </xf>
    <xf numFmtId="203" fontId="269" fillId="18" borderId="0" xfId="14" applyNumberFormat="1" applyFont="1" applyFill="1" applyAlignment="1">
      <alignment vertical="center"/>
    </xf>
    <xf numFmtId="0" fontId="257" fillId="0" borderId="0" xfId="14" applyFont="1">
      <alignment vertical="center"/>
    </xf>
    <xf numFmtId="204" fontId="257" fillId="0" borderId="0" xfId="20" applyNumberFormat="1" applyFont="1">
      <alignment vertical="center"/>
    </xf>
    <xf numFmtId="176" fontId="262" fillId="18" borderId="0" xfId="18" applyFont="1" applyFill="1" applyBorder="1" applyAlignment="1">
      <alignment horizontal="right" vertical="center"/>
    </xf>
    <xf numFmtId="9" fontId="265" fillId="18" borderId="0" xfId="21" applyFont="1" applyFill="1" applyBorder="1" applyAlignment="1">
      <alignment horizontal="right" vertical="center"/>
    </xf>
    <xf numFmtId="184" fontId="265" fillId="18" borderId="0" xfId="18" applyNumberFormat="1" applyFont="1" applyFill="1" applyBorder="1" applyAlignment="1">
      <alignment horizontal="right" vertical="center"/>
    </xf>
    <xf numFmtId="0" fontId="261" fillId="18" borderId="0" xfId="14" applyFont="1" applyFill="1" applyAlignment="1">
      <alignment horizontal="center" vertical="center"/>
    </xf>
    <xf numFmtId="203" fontId="271" fillId="18" borderId="0" xfId="14" applyNumberFormat="1" applyFont="1" applyFill="1" applyAlignment="1">
      <alignment vertical="center"/>
    </xf>
    <xf numFmtId="0" fontId="265" fillId="18" borderId="0" xfId="14" applyFont="1" applyFill="1" applyAlignment="1">
      <alignment horizontal="right" vertical="center"/>
    </xf>
    <xf numFmtId="10" fontId="261" fillId="18" borderId="0" xfId="21" applyNumberFormat="1" applyFont="1" applyFill="1" applyAlignment="1">
      <alignment vertical="center"/>
    </xf>
    <xf numFmtId="0" fontId="3" fillId="0" borderId="0" xfId="14" applyFont="1">
      <alignment vertical="center"/>
    </xf>
    <xf numFmtId="9" fontId="3" fillId="0" borderId="0" xfId="14" applyNumberFormat="1" applyAlignment="1">
      <alignment horizontal="center" vertical="center"/>
    </xf>
    <xf numFmtId="205" fontId="3" fillId="0" borderId="0" xfId="14" applyNumberFormat="1">
      <alignment vertical="center"/>
    </xf>
    <xf numFmtId="0" fontId="3" fillId="0" borderId="0" xfId="14" applyAlignment="1">
      <alignment horizontal="center" vertical="center"/>
    </xf>
    <xf numFmtId="0" fontId="0" fillId="0" borderId="0" xfId="0" applyAlignment="1">
      <alignment horizontal="left" vertical="center"/>
    </xf>
    <xf numFmtId="0" fontId="102" fillId="0" borderId="0" xfId="0" applyFont="1" applyAlignment="1">
      <alignment horizontal="left" vertical="center" wrapText="1"/>
    </xf>
    <xf numFmtId="57" fontId="0" fillId="0" borderId="0" xfId="0" applyNumberFormat="1" applyAlignment="1">
      <alignment horizontal="left" vertical="center"/>
    </xf>
    <xf numFmtId="0" fontId="101" fillId="0" borderId="9" xfId="0" applyNumberFormat="1" applyFont="1" applyFill="1" applyBorder="1" applyAlignment="1" applyProtection="1">
      <alignment horizontal="center" vertical="center" wrapText="1"/>
      <protection locked="0"/>
    </xf>
    <xf numFmtId="0" fontId="53" fillId="6" borderId="10" xfId="0"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178" fillId="6" borderId="1" xfId="0" applyFont="1" applyFill="1" applyBorder="1" applyAlignment="1">
      <alignment horizontal="center" vertical="center" wrapText="1"/>
    </xf>
    <xf numFmtId="0" fontId="53" fillId="6" borderId="5"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53" fillId="6" borderId="54"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48"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0" fillId="0" borderId="0" xfId="0" applyAlignment="1">
      <alignment horizontal="left" vertical="center"/>
    </xf>
    <xf numFmtId="0" fontId="102" fillId="0" borderId="0" xfId="0" applyFont="1" applyAlignment="1">
      <alignment horizontal="left" vertical="center"/>
    </xf>
    <xf numFmtId="14" fontId="0" fillId="0" borderId="0" xfId="0" applyNumberFormat="1" applyAlignment="1">
      <alignment horizontal="left" vertical="center"/>
    </xf>
    <xf numFmtId="0" fontId="2" fillId="0" borderId="0" xfId="22">
      <alignment vertical="center"/>
    </xf>
    <xf numFmtId="0" fontId="186" fillId="0" borderId="0" xfId="22" applyFont="1">
      <alignment vertical="center"/>
    </xf>
    <xf numFmtId="0" fontId="186" fillId="0" borderId="0" xfId="22" applyFont="1" applyAlignment="1">
      <alignment horizontal="left" vertical="center" wrapText="1"/>
    </xf>
    <xf numFmtId="0" fontId="2" fillId="5" borderId="0" xfId="22" applyFill="1">
      <alignment vertical="center"/>
    </xf>
    <xf numFmtId="0" fontId="186" fillId="5" borderId="0" xfId="22" applyFont="1" applyFill="1">
      <alignment vertical="center"/>
    </xf>
    <xf numFmtId="0" fontId="186" fillId="5" borderId="0" xfId="22" applyFont="1" applyFill="1" applyAlignment="1">
      <alignment horizontal="left" vertical="center" wrapText="1"/>
    </xf>
    <xf numFmtId="0" fontId="102" fillId="0" borderId="0" xfId="0" applyFont="1" applyAlignment="1">
      <alignment vertical="center"/>
    </xf>
    <xf numFmtId="0" fontId="0" fillId="0" borderId="0" xfId="0" applyAlignment="1">
      <alignment horizontal="left" vertical="center" wrapText="1"/>
    </xf>
    <xf numFmtId="0" fontId="0" fillId="0" borderId="0" xfId="0" applyFill="1" applyAlignment="1">
      <alignment horizontal="left" vertical="center"/>
    </xf>
    <xf numFmtId="0" fontId="0" fillId="0" borderId="0" xfId="0" applyFill="1">
      <alignment vertical="center"/>
    </xf>
    <xf numFmtId="0" fontId="125" fillId="2" borderId="13" xfId="0" applyFont="1" applyFill="1" applyBorder="1" applyAlignment="1" applyProtection="1">
      <alignment horizontal="center" vertical="center"/>
      <protection locked="0"/>
    </xf>
    <xf numFmtId="0" fontId="57" fillId="6" borderId="0" xfId="0" applyNumberFormat="1" applyFont="1" applyFill="1" applyBorder="1" applyAlignment="1" applyProtection="1">
      <alignment horizontal="center" vertical="center"/>
      <protection locked="0"/>
    </xf>
    <xf numFmtId="0" fontId="57" fillId="6" borderId="1" xfId="0" applyNumberFormat="1" applyFont="1" applyFill="1" applyBorder="1" applyAlignment="1" applyProtection="1">
      <alignment horizontal="center" vertical="center" wrapText="1"/>
    </xf>
    <xf numFmtId="0" fontId="57" fillId="6" borderId="5" xfId="0" applyNumberFormat="1" applyFont="1" applyFill="1" applyBorder="1" applyAlignment="1" applyProtection="1">
      <alignment horizontal="center" vertical="center"/>
    </xf>
    <xf numFmtId="0" fontId="57" fillId="6" borderId="3" xfId="0"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xf>
    <xf numFmtId="0" fontId="57" fillId="0" borderId="0" xfId="0" applyNumberFormat="1" applyFont="1" applyFill="1" applyAlignment="1" applyProtection="1">
      <alignment horizontal="center" vertical="center"/>
      <protection locked="0"/>
    </xf>
    <xf numFmtId="49" fontId="101" fillId="2" borderId="35" xfId="0" applyNumberFormat="1" applyFont="1" applyFill="1" applyBorder="1" applyAlignment="1" applyProtection="1">
      <alignment horizontal="center" vertical="center" wrapText="1"/>
      <protection locked="0"/>
    </xf>
    <xf numFmtId="0" fontId="1" fillId="0" borderId="0" xfId="22" applyFont="1">
      <alignment vertical="center"/>
    </xf>
    <xf numFmtId="14" fontId="50" fillId="0" borderId="41" xfId="0" applyNumberFormat="1" applyFont="1" applyFill="1" applyBorder="1" applyAlignment="1" applyProtection="1">
      <alignment horizontal="center" vertical="center" wrapText="1"/>
      <protection locked="0"/>
    </xf>
    <xf numFmtId="0" fontId="109" fillId="6" borderId="5" xfId="0" applyFont="1" applyFill="1" applyBorder="1" applyAlignment="1" applyProtection="1">
      <alignment horizontal="center" vertical="center" wrapText="1"/>
    </xf>
    <xf numFmtId="49" fontId="109" fillId="2" borderId="23" xfId="0" applyNumberFormat="1" applyFont="1" applyFill="1" applyBorder="1" applyAlignment="1" applyProtection="1">
      <alignment horizontal="center" vertical="center" wrapText="1"/>
      <protection locked="0"/>
    </xf>
    <xf numFmtId="0" fontId="109" fillId="6" borderId="24" xfId="0" applyNumberFormat="1" applyFont="1" applyFill="1" applyBorder="1" applyAlignment="1" applyProtection="1">
      <alignment horizontal="center" vertical="center" wrapText="1"/>
    </xf>
    <xf numFmtId="49" fontId="109" fillId="2" borderId="3" xfId="0" applyNumberFormat="1" applyFont="1" applyFill="1" applyBorder="1" applyAlignment="1" applyProtection="1">
      <alignment horizontal="center" vertical="center" wrapText="1"/>
      <protection locked="0"/>
    </xf>
    <xf numFmtId="0" fontId="109" fillId="6" borderId="5" xfId="0" applyNumberFormat="1" applyFont="1" applyFill="1" applyBorder="1" applyAlignment="1" applyProtection="1">
      <alignment horizontal="center" vertical="center" wrapText="1"/>
    </xf>
    <xf numFmtId="0" fontId="189" fillId="0" borderId="3" xfId="0" applyNumberFormat="1" applyFont="1" applyFill="1" applyBorder="1" applyAlignment="1" applyProtection="1">
      <alignment horizontal="center" vertical="center" wrapText="1"/>
      <protection locked="0"/>
    </xf>
    <xf numFmtId="0" fontId="118" fillId="6" borderId="14" xfId="0" applyFont="1" applyFill="1" applyBorder="1" applyAlignment="1" applyProtection="1">
      <alignment vertical="center" textRotation="255" wrapText="1"/>
    </xf>
    <xf numFmtId="182" fontId="109" fillId="6" borderId="0" xfId="0" applyNumberFormat="1" applyFont="1" applyFill="1" applyBorder="1" applyAlignment="1" applyProtection="1">
      <alignment horizontal="center" vertical="center" wrapText="1"/>
      <protection locked="0"/>
    </xf>
    <xf numFmtId="0" fontId="109" fillId="6" borderId="0" xfId="0" applyFont="1" applyFill="1" applyBorder="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189" fontId="109" fillId="6" borderId="5" xfId="0" applyNumberFormat="1" applyFont="1" applyFill="1" applyBorder="1" applyAlignment="1" applyProtection="1">
      <alignment horizontal="center" vertical="center"/>
    </xf>
    <xf numFmtId="49" fontId="109" fillId="6" borderId="3" xfId="0" applyNumberFormat="1" applyFont="1" applyFill="1" applyBorder="1" applyAlignment="1" applyProtection="1">
      <alignment horizontal="center" vertical="center"/>
    </xf>
    <xf numFmtId="0" fontId="109" fillId="6" borderId="15" xfId="0" applyFont="1" applyFill="1" applyBorder="1" applyAlignment="1" applyProtection="1">
      <alignment horizontal="center" vertical="center"/>
    </xf>
    <xf numFmtId="0" fontId="109" fillId="6" borderId="1" xfId="0" applyFont="1" applyFill="1" applyBorder="1" applyAlignment="1" applyProtection="1">
      <alignment horizontal="center" vertical="center"/>
    </xf>
    <xf numFmtId="0" fontId="109" fillId="6" borderId="1" xfId="0" applyNumberFormat="1" applyFont="1" applyFill="1" applyBorder="1" applyAlignment="1" applyProtection="1">
      <alignment horizontal="center" vertical="center"/>
    </xf>
    <xf numFmtId="0" fontId="109" fillId="0" borderId="0" xfId="0" applyFont="1" applyFill="1" applyAlignment="1" applyProtection="1">
      <alignment horizontal="center" vertical="center"/>
      <protection locked="0"/>
    </xf>
    <xf numFmtId="0" fontId="57" fillId="6" borderId="1" xfId="0" applyNumberFormat="1" applyFont="1" applyFill="1" applyBorder="1" applyAlignment="1" applyProtection="1">
      <alignment horizontal="center" vertical="center"/>
    </xf>
    <xf numFmtId="0" fontId="0" fillId="0" borderId="0" xfId="0" applyAlignment="1">
      <alignment horizontal="left" vertical="center"/>
    </xf>
    <xf numFmtId="14" fontId="0" fillId="0" borderId="0" xfId="0" applyNumberFormat="1" applyAlignment="1">
      <alignment horizontal="left" vertical="center"/>
    </xf>
    <xf numFmtId="0" fontId="102" fillId="0" borderId="0" xfId="0" applyFont="1" applyAlignment="1">
      <alignment horizontal="left" vertical="center"/>
    </xf>
    <xf numFmtId="0" fontId="102" fillId="0" borderId="0" xfId="0" applyFont="1" applyAlignment="1">
      <alignment horizontal="left" vertical="center" wrapText="1"/>
    </xf>
    <xf numFmtId="14" fontId="50" fillId="0" borderId="7"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57" fillId="2" borderId="69" xfId="0" applyNumberFormat="1" applyFont="1" applyFill="1" applyBorder="1" applyAlignment="1" applyProtection="1">
      <alignment horizontal="center" vertical="center" wrapText="1"/>
      <protection locked="0"/>
    </xf>
    <xf numFmtId="0" fontId="57" fillId="2" borderId="12" xfId="0" applyNumberFormat="1" applyFont="1" applyFill="1" applyBorder="1" applyAlignment="1" applyProtection="1">
      <alignment horizontal="center" vertical="center" wrapText="1"/>
      <protection locked="0"/>
    </xf>
    <xf numFmtId="0" fontId="57" fillId="6" borderId="76" xfId="0" applyNumberFormat="1" applyFont="1" applyFill="1" applyBorder="1" applyAlignment="1" applyProtection="1">
      <alignment horizontal="center" vertical="center" wrapText="1"/>
    </xf>
    <xf numFmtId="182" fontId="114" fillId="6" borderId="65" xfId="0" applyNumberFormat="1" applyFont="1" applyFill="1" applyBorder="1" applyAlignment="1" applyProtection="1">
      <alignment horizontal="center" vertical="center"/>
      <protection locked="0"/>
    </xf>
    <xf numFmtId="0" fontId="206" fillId="0" borderId="0" xfId="5" applyFont="1" applyAlignment="1" applyProtection="1">
      <alignment horizontal="left" vertical="top" wrapText="1"/>
    </xf>
    <xf numFmtId="0" fontId="51" fillId="0" borderId="13" xfId="7" applyFont="1" applyFill="1" applyBorder="1" applyAlignment="1" applyProtection="1">
      <alignment horizontal="left" vertical="center" wrapText="1"/>
    </xf>
    <xf numFmtId="0" fontId="51" fillId="0" borderId="15" xfId="7" applyFont="1" applyFill="1" applyBorder="1" applyAlignment="1" applyProtection="1">
      <alignment horizontal="left" vertical="center" wrapText="1"/>
    </xf>
    <xf numFmtId="0" fontId="51" fillId="0" borderId="77" xfId="7" applyFont="1" applyFill="1" applyBorder="1" applyAlignment="1" applyProtection="1">
      <alignment horizontal="left" vertical="center" wrapText="1"/>
    </xf>
    <xf numFmtId="0" fontId="216" fillId="0" borderId="87" xfId="7" applyFont="1" applyBorder="1" applyAlignment="1" applyProtection="1">
      <alignment horizontal="center" vertical="center"/>
    </xf>
    <xf numFmtId="0" fontId="142" fillId="0" borderId="0" xfId="7" applyFont="1" applyAlignment="1" applyProtection="1">
      <alignment horizontal="left" vertical="center" wrapText="1"/>
    </xf>
    <xf numFmtId="0" fontId="216" fillId="0" borderId="0" xfId="7" applyFont="1" applyAlignment="1" applyProtection="1">
      <alignment horizontal="center" vertical="center"/>
    </xf>
    <xf numFmtId="0" fontId="51" fillId="0" borderId="2" xfId="7" applyFont="1" applyFill="1" applyBorder="1" applyAlignment="1" applyProtection="1">
      <alignment horizontal="left" vertical="center" wrapText="1"/>
    </xf>
    <xf numFmtId="0" fontId="51" fillId="0" borderId="13" xfId="7" applyFont="1" applyFill="1" applyBorder="1" applyAlignment="1" applyProtection="1">
      <alignment vertical="center" wrapText="1"/>
    </xf>
    <xf numFmtId="0" fontId="51" fillId="0" borderId="15" xfId="7" applyFont="1" applyFill="1" applyBorder="1" applyAlignment="1" applyProtection="1">
      <alignment vertical="center" wrapText="1"/>
    </xf>
    <xf numFmtId="0" fontId="51" fillId="0" borderId="2" xfId="7" applyFont="1" applyFill="1" applyBorder="1" applyAlignment="1" applyProtection="1">
      <alignment vertical="center" wrapText="1"/>
    </xf>
    <xf numFmtId="0" fontId="67" fillId="0" borderId="78" xfId="0" applyFont="1" applyFill="1" applyBorder="1" applyAlignment="1" applyProtection="1">
      <alignment horizontal="center" vertical="center" wrapText="1"/>
    </xf>
    <xf numFmtId="183" fontId="67" fillId="0" borderId="78"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51" fillId="0" borderId="1"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183" fontId="67" fillId="0" borderId="1" xfId="0" applyNumberFormat="1" applyFont="1" applyFill="1" applyBorder="1" applyAlignment="1" applyProtection="1">
      <alignment horizontal="center" vertical="center" wrapText="1"/>
    </xf>
    <xf numFmtId="183" fontId="67" fillId="0" borderId="5" xfId="0" applyNumberFormat="1" applyFont="1" applyFill="1" applyBorder="1" applyAlignment="1" applyProtection="1">
      <alignment horizontal="center" vertical="center" wrapText="1"/>
    </xf>
    <xf numFmtId="183" fontId="67" fillId="0" borderId="54" xfId="0" applyNumberFormat="1" applyFont="1" applyFill="1" applyBorder="1" applyAlignment="1" applyProtection="1">
      <alignment horizontal="center" vertical="center" wrapText="1"/>
    </xf>
    <xf numFmtId="183" fontId="67" fillId="0" borderId="3"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xf>
    <xf numFmtId="0" fontId="6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5" fontId="220" fillId="0" borderId="0" xfId="0" applyNumberFormat="1" applyFont="1" applyAlignment="1" applyProtection="1">
      <alignment horizontal="right" vertical="center"/>
      <protection locked="0"/>
    </xf>
    <xf numFmtId="0" fontId="233" fillId="0" borderId="0" xfId="0" applyFont="1" applyBorder="1" applyAlignment="1" applyProtection="1">
      <alignment horizontal="left" vertical="center" wrapText="1"/>
      <protection locked="0"/>
    </xf>
    <xf numFmtId="0" fontId="107" fillId="0" borderId="0" xfId="0" applyFont="1" applyAlignment="1" applyProtection="1">
      <alignment vertical="center" wrapText="1"/>
    </xf>
    <xf numFmtId="0" fontId="181" fillId="0" borderId="0" xfId="0" applyFont="1" applyAlignment="1" applyProtection="1">
      <alignment vertical="center" wrapText="1"/>
      <protection locked="0"/>
    </xf>
    <xf numFmtId="0" fontId="135" fillId="0" borderId="0" xfId="0" applyFont="1" applyBorder="1" applyAlignment="1" applyProtection="1">
      <alignment horizontal="left" vertical="center" wrapText="1"/>
    </xf>
    <xf numFmtId="0" fontId="216" fillId="0" borderId="0" xfId="0" applyFont="1" applyBorder="1" applyAlignment="1" applyProtection="1">
      <alignment horizontal="left" vertical="center"/>
    </xf>
    <xf numFmtId="0" fontId="216" fillId="0" borderId="0" xfId="0" applyFont="1" applyBorder="1" applyAlignment="1" applyProtection="1">
      <alignment horizontal="justify" vertical="center" wrapText="1"/>
    </xf>
    <xf numFmtId="0" fontId="67" fillId="0" borderId="0" xfId="0" applyFont="1" applyBorder="1" applyAlignment="1" applyProtection="1">
      <alignment horizontal="left" vertical="center" wrapText="1"/>
    </xf>
    <xf numFmtId="0" fontId="237" fillId="0" borderId="5" xfId="0" applyFont="1" applyBorder="1" applyAlignment="1" applyProtection="1">
      <alignment horizontal="left" vertical="center"/>
    </xf>
    <xf numFmtId="0" fontId="102" fillId="0" borderId="3" xfId="0" applyFont="1" applyBorder="1" applyAlignment="1" applyProtection="1">
      <alignment horizontal="left" vertical="center"/>
    </xf>
    <xf numFmtId="0" fontId="102" fillId="0" borderId="5" xfId="0" applyFont="1" applyBorder="1" applyAlignment="1" applyProtection="1">
      <alignment horizontal="left" vertical="center"/>
    </xf>
    <xf numFmtId="0" fontId="102" fillId="0" borderId="1" xfId="0" applyFont="1" applyBorder="1" applyAlignment="1" applyProtection="1">
      <alignment horizontal="left" vertical="center"/>
    </xf>
    <xf numFmtId="0" fontId="102" fillId="9" borderId="1" xfId="0" applyFont="1" applyFill="1" applyBorder="1" applyAlignment="1" applyProtection="1">
      <alignment horizontal="left" vertical="center"/>
    </xf>
    <xf numFmtId="0" fontId="102" fillId="5" borderId="13" xfId="0" applyFont="1" applyFill="1" applyBorder="1" applyAlignment="1" applyProtection="1">
      <alignment horizontal="left" vertical="center"/>
    </xf>
    <xf numFmtId="0" fontId="102" fillId="5" borderId="15" xfId="0"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0" fontId="128" fillId="5" borderId="1" xfId="5" applyFont="1" applyFill="1" applyBorder="1" applyAlignment="1">
      <alignment horizontal="center" vertical="center"/>
    </xf>
    <xf numFmtId="0" fontId="129" fillId="0" borderId="1" xfId="5" applyFont="1" applyBorder="1" applyAlignment="1">
      <alignment horizontal="center" vertical="center"/>
    </xf>
    <xf numFmtId="0" fontId="129" fillId="0" borderId="5" xfId="5" applyFont="1" applyBorder="1" applyAlignment="1">
      <alignment horizontal="center" vertical="center"/>
    </xf>
    <xf numFmtId="0" fontId="129" fillId="0" borderId="154" xfId="5" applyFont="1" applyBorder="1" applyAlignment="1">
      <alignment horizontal="center" vertical="center"/>
    </xf>
    <xf numFmtId="0" fontId="102"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6" borderId="2" xfId="0" applyFont="1" applyFill="1" applyBorder="1" applyAlignment="1" applyProtection="1">
      <alignment horizontal="left" vertical="center"/>
    </xf>
    <xf numFmtId="0" fontId="67" fillId="0" borderId="5" xfId="0" applyFont="1" applyBorder="1" applyAlignment="1" applyProtection="1">
      <alignment horizontal="left" vertical="center" wrapText="1"/>
      <protection locked="0"/>
    </xf>
    <xf numFmtId="0" fontId="67" fillId="0" borderId="3" xfId="0" applyFont="1" applyBorder="1" applyAlignment="1" applyProtection="1">
      <alignment horizontal="left" vertical="center" wrapText="1"/>
      <protection locked="0"/>
    </xf>
    <xf numFmtId="0" fontId="67" fillId="6" borderId="22" xfId="0" applyFont="1" applyFill="1" applyBorder="1" applyAlignment="1" applyProtection="1">
      <alignment horizontal="left" vertical="center"/>
    </xf>
    <xf numFmtId="0" fontId="67" fillId="6" borderId="35" xfId="0" applyFont="1" applyFill="1" applyBorder="1" applyAlignment="1" applyProtection="1">
      <alignment horizontal="left" vertical="center"/>
    </xf>
    <xf numFmtId="0" fontId="67" fillId="6" borderId="1" xfId="0" applyNumberFormat="1" applyFont="1" applyFill="1" applyBorder="1" applyAlignment="1" applyProtection="1">
      <alignment horizontal="center" vertical="center" wrapText="1"/>
    </xf>
    <xf numFmtId="0" fontId="67" fillId="6" borderId="34" xfId="0" applyFont="1" applyFill="1" applyBorder="1" applyAlignment="1" applyProtection="1">
      <alignment horizontal="left" vertical="center" wrapText="1"/>
    </xf>
    <xf numFmtId="0" fontId="67" fillId="6" borderId="64" xfId="0" applyFont="1" applyFill="1" applyBorder="1" applyAlignment="1" applyProtection="1">
      <alignment horizontal="left" vertical="center" wrapText="1"/>
    </xf>
    <xf numFmtId="0" fontId="67" fillId="6" borderId="65" xfId="0" applyFont="1" applyFill="1" applyBorder="1" applyAlignment="1" applyProtection="1">
      <alignment horizontal="left" vertical="center" wrapText="1"/>
    </xf>
    <xf numFmtId="0" fontId="67" fillId="6" borderId="13" xfId="0" applyFont="1" applyFill="1" applyBorder="1" applyAlignment="1" applyProtection="1">
      <alignment horizontal="center" vertical="center" wrapText="1"/>
    </xf>
    <xf numFmtId="0" fontId="67" fillId="6" borderId="104"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3" fillId="6" borderId="51" xfId="0" applyFont="1" applyFill="1" applyBorder="1" applyAlignment="1" applyProtection="1">
      <alignment horizontal="center" vertical="center"/>
    </xf>
    <xf numFmtId="0" fontId="53" fillId="6" borderId="20" xfId="0" applyFont="1" applyFill="1" applyBorder="1" applyAlignment="1" applyProtection="1">
      <alignment horizontal="center" vertical="center"/>
    </xf>
    <xf numFmtId="49" fontId="233" fillId="0" borderId="4" xfId="0" applyNumberFormat="1" applyFont="1" applyFill="1" applyBorder="1" applyAlignment="1" applyProtection="1">
      <alignment horizontal="left" vertical="center"/>
      <protection locked="0"/>
    </xf>
    <xf numFmtId="49" fontId="233" fillId="0" borderId="54" xfId="0" applyNumberFormat="1" applyFont="1" applyFill="1" applyBorder="1" applyAlignment="1" applyProtection="1">
      <alignment horizontal="left" vertical="center"/>
      <protection locked="0"/>
    </xf>
    <xf numFmtId="49" fontId="233" fillId="0" borderId="3" xfId="0" applyNumberFormat="1" applyFont="1" applyFill="1" applyBorder="1" applyAlignment="1" applyProtection="1">
      <alignment horizontal="left" vertical="center"/>
      <protection locked="0"/>
    </xf>
    <xf numFmtId="0" fontId="233" fillId="0" borderId="5" xfId="0" applyNumberFormat="1" applyFont="1" applyBorder="1" applyAlignment="1" applyProtection="1">
      <alignment horizontal="left" vertical="center"/>
      <protection locked="0"/>
    </xf>
    <xf numFmtId="0" fontId="233" fillId="0" borderId="54" xfId="0" applyNumberFormat="1" applyFont="1" applyBorder="1" applyAlignment="1" applyProtection="1">
      <alignment horizontal="left" vertical="center"/>
      <protection locked="0"/>
    </xf>
    <xf numFmtId="0" fontId="233" fillId="0" borderId="3" xfId="0" applyNumberFormat="1" applyFont="1" applyBorder="1" applyAlignment="1" applyProtection="1">
      <alignment horizontal="left" vertical="center"/>
      <protection locked="0"/>
    </xf>
    <xf numFmtId="49" fontId="233" fillId="7" borderId="5" xfId="0" applyNumberFormat="1" applyFont="1" applyFill="1" applyBorder="1" applyAlignment="1" applyProtection="1">
      <alignment horizontal="left" vertical="center"/>
      <protection locked="0"/>
    </xf>
    <xf numFmtId="49" fontId="233" fillId="7" borderId="54" xfId="0" applyNumberFormat="1" applyFont="1" applyFill="1" applyBorder="1" applyAlignment="1" applyProtection="1">
      <alignment horizontal="left" vertical="center"/>
      <protection locked="0"/>
    </xf>
    <xf numFmtId="49" fontId="233" fillId="7" borderId="3" xfId="0" applyNumberFormat="1" applyFont="1" applyFill="1" applyBorder="1" applyAlignment="1" applyProtection="1">
      <alignment horizontal="left" vertical="center"/>
      <protection locked="0"/>
    </xf>
    <xf numFmtId="49" fontId="233" fillId="7" borderId="85" xfId="0" applyNumberFormat="1" applyFont="1" applyFill="1" applyBorder="1" applyAlignment="1" applyProtection="1">
      <alignment horizontal="left" vertical="center"/>
      <protection locked="0"/>
    </xf>
    <xf numFmtId="49" fontId="233" fillId="7" borderId="88" xfId="0" applyNumberFormat="1" applyFont="1" applyFill="1" applyBorder="1" applyAlignment="1" applyProtection="1">
      <alignment horizontal="left" vertical="center"/>
      <protection locked="0"/>
    </xf>
    <xf numFmtId="49" fontId="233" fillId="7" borderId="119" xfId="0" applyNumberFormat="1" applyFont="1" applyFill="1" applyBorder="1" applyAlignment="1" applyProtection="1">
      <alignment horizontal="left" vertical="center"/>
      <protection locked="0"/>
    </xf>
    <xf numFmtId="0" fontId="26"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50" fillId="6" borderId="6"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2" fillId="6" borderId="40"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0" fontId="52"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49" fillId="6" borderId="106" xfId="0" applyFont="1" applyFill="1" applyBorder="1" applyAlignment="1" applyProtection="1">
      <alignment horizontal="center" vertical="center"/>
    </xf>
    <xf numFmtId="0" fontId="49" fillId="6" borderId="102" xfId="0" applyFont="1" applyFill="1" applyBorder="1" applyAlignment="1" applyProtection="1">
      <alignment horizontal="center" vertical="center"/>
    </xf>
    <xf numFmtId="0" fontId="0" fillId="0" borderId="0" xfId="0" applyAlignment="1">
      <alignment horizontal="left" vertical="center"/>
    </xf>
    <xf numFmtId="14" fontId="0" fillId="0" borderId="0" xfId="0" applyNumberFormat="1" applyAlignment="1">
      <alignment horizontal="left" vertical="center"/>
    </xf>
    <xf numFmtId="0" fontId="102" fillId="0" borderId="0" xfId="0" applyFont="1" applyAlignment="1">
      <alignment horizontal="left" vertical="center"/>
    </xf>
    <xf numFmtId="14" fontId="0" fillId="0" borderId="0" xfId="0" applyNumberFormat="1" applyFill="1" applyAlignment="1">
      <alignment horizontal="left" vertical="center"/>
    </xf>
    <xf numFmtId="0" fontId="0" fillId="0" borderId="0" xfId="0" applyFill="1" applyAlignment="1">
      <alignment horizontal="left" vertical="center"/>
    </xf>
    <xf numFmtId="0" fontId="0" fillId="0" borderId="0" xfId="0" applyAlignment="1">
      <alignment horizontal="center" vertical="center"/>
    </xf>
    <xf numFmtId="0" fontId="102" fillId="0" borderId="0" xfId="0" applyFont="1" applyAlignment="1">
      <alignment horizontal="left" vertical="center" wrapText="1"/>
    </xf>
    <xf numFmtId="0" fontId="102" fillId="0" borderId="0" xfId="0" applyFont="1" applyAlignment="1">
      <alignment vertical="center"/>
    </xf>
    <xf numFmtId="0" fontId="102" fillId="0" borderId="0" xfId="0" applyFont="1" applyAlignment="1">
      <alignment vertical="center" wrapText="1"/>
    </xf>
    <xf numFmtId="0" fontId="102" fillId="0" borderId="0" xfId="0" applyFont="1" applyAlignment="1">
      <alignment horizontal="center" vertical="center" wrapText="1"/>
    </xf>
    <xf numFmtId="14" fontId="102" fillId="0" borderId="0" xfId="0" applyNumberFormat="1" applyFont="1" applyAlignment="1">
      <alignment horizontal="left" vertical="center"/>
    </xf>
    <xf numFmtId="0" fontId="102" fillId="0" borderId="0" xfId="0" applyFont="1" applyFill="1" applyAlignment="1">
      <alignment horizontal="left" vertical="center" wrapText="1"/>
    </xf>
    <xf numFmtId="0" fontId="102" fillId="0" borderId="0" xfId="0" applyFont="1" applyFill="1" applyAlignment="1">
      <alignment horizontal="left" vertical="center"/>
    </xf>
    <xf numFmtId="0" fontId="53" fillId="6" borderId="54" xfId="0" applyFont="1" applyFill="1" applyBorder="1" applyAlignment="1" applyProtection="1">
      <alignment horizontal="left" vertical="center" wrapText="1"/>
    </xf>
    <xf numFmtId="0" fontId="58" fillId="6" borderId="51" xfId="0"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21" xfId="0" applyFont="1" applyFill="1" applyBorder="1" applyAlignment="1" applyProtection="1">
      <alignment horizontal="center" vertical="center" wrapText="1"/>
    </xf>
    <xf numFmtId="0" fontId="58" fillId="6" borderId="46" xfId="0" applyFont="1" applyFill="1" applyBorder="1" applyAlignment="1" applyProtection="1">
      <alignment horizontal="left" vertical="center" wrapText="1"/>
    </xf>
    <xf numFmtId="0" fontId="58" fillId="6" borderId="36" xfId="0" applyFont="1" applyFill="1" applyBorder="1" applyAlignment="1" applyProtection="1">
      <alignment horizontal="left" vertical="center" wrapText="1"/>
    </xf>
    <xf numFmtId="0" fontId="58" fillId="6" borderId="22" xfId="0" applyFont="1" applyFill="1" applyBorder="1" applyAlignment="1" applyProtection="1">
      <alignment horizontal="left" vertical="center" wrapText="1"/>
    </xf>
    <xf numFmtId="0" fontId="52" fillId="6" borderId="40" xfId="0" applyFont="1" applyFill="1" applyBorder="1" applyAlignment="1" applyProtection="1">
      <alignment horizontal="left" vertical="center" wrapText="1"/>
    </xf>
    <xf numFmtId="0" fontId="52" fillId="6" borderId="41" xfId="0"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0" fontId="52" fillId="6" borderId="21"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0" fillId="6" borderId="1"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0" fillId="0" borderId="13" xfId="0" applyFont="1" applyBorder="1" applyAlignment="1" applyProtection="1">
      <alignment horizontal="center" vertical="center"/>
      <protection locked="0"/>
    </xf>
    <xf numFmtId="0" fontId="50" fillId="0" borderId="15" xfId="0"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10" fontId="53" fillId="6" borderId="48" xfId="0" applyNumberFormat="1" applyFont="1" applyFill="1" applyBorder="1" applyAlignment="1" applyProtection="1">
      <alignment horizontal="left" vertical="center" wrapText="1"/>
    </xf>
    <xf numFmtId="10" fontId="123" fillId="6" borderId="5" xfId="0" applyNumberFormat="1" applyFont="1" applyFill="1" applyBorder="1" applyAlignment="1" applyProtection="1">
      <alignment horizontal="left" vertical="center" wrapText="1"/>
    </xf>
    <xf numFmtId="10" fontId="123" fillId="6" borderId="54" xfId="0" applyNumberFormat="1" applyFont="1" applyFill="1" applyBorder="1" applyAlignment="1" applyProtection="1">
      <alignment horizontal="left" vertical="center" wrapText="1"/>
    </xf>
    <xf numFmtId="10" fontId="123" fillId="6" borderId="48"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2" fillId="6" borderId="40"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2" xfId="0" applyFont="1" applyFill="1" applyBorder="1" applyAlignment="1" applyProtection="1">
      <alignment horizontal="center" vertical="center" wrapText="1"/>
    </xf>
    <xf numFmtId="0" fontId="60" fillId="6" borderId="6" xfId="0" applyFont="1" applyFill="1" applyBorder="1" applyAlignment="1" applyProtection="1">
      <alignment horizontal="center" vertical="center" wrapText="1"/>
    </xf>
    <xf numFmtId="0" fontId="60" fillId="6" borderId="9"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3" fillId="6" borderId="11" xfId="0" applyFont="1" applyFill="1" applyBorder="1" applyAlignment="1" applyProtection="1">
      <alignment horizontal="left" vertical="center" wrapText="1"/>
    </xf>
    <xf numFmtId="0" fontId="109" fillId="6" borderId="63" xfId="0" applyFont="1" applyFill="1" applyBorder="1" applyAlignment="1" applyProtection="1">
      <alignment horizontal="center" vertical="center"/>
    </xf>
    <xf numFmtId="0" fontId="109" fillId="6" borderId="64" xfId="0" applyFont="1" applyFill="1" applyBorder="1" applyAlignment="1" applyProtection="1">
      <alignment horizontal="center" vertical="center"/>
    </xf>
    <xf numFmtId="0" fontId="109" fillId="6" borderId="65"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3" fillId="6" borderId="69" xfId="0"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0" fontId="53" fillId="6" borderId="3" xfId="0" applyFont="1" applyFill="1" applyBorder="1" applyAlignment="1" applyProtection="1">
      <alignment horizontal="center" vertical="center" wrapText="1"/>
    </xf>
    <xf numFmtId="0" fontId="52" fillId="6" borderId="23"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53" fillId="6" borderId="19" xfId="0" applyFont="1" applyFill="1" applyBorder="1" applyAlignment="1" applyProtection="1">
      <alignment horizontal="left" vertical="center" wrapText="1"/>
    </xf>
    <xf numFmtId="0" fontId="50" fillId="5" borderId="13" xfId="0" applyFont="1" applyFill="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left" vertical="center" wrapText="1"/>
    </xf>
    <xf numFmtId="0" fontId="60" fillId="6" borderId="18"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183" fontId="50" fillId="6" borderId="5" xfId="0" applyNumberFormat="1" applyFont="1" applyFill="1" applyBorder="1" applyAlignment="1" applyProtection="1">
      <alignment horizontal="center" vertical="center" wrapText="1"/>
    </xf>
    <xf numFmtId="183" fontId="50" fillId="6" borderId="54" xfId="0" applyNumberFormat="1" applyFont="1" applyFill="1" applyBorder="1" applyAlignment="1" applyProtection="1">
      <alignment horizontal="center" vertical="center" wrapText="1"/>
    </xf>
    <xf numFmtId="183" fontId="50" fillId="6" borderId="3" xfId="0" applyNumberFormat="1" applyFont="1" applyFill="1" applyBorder="1" applyAlignment="1" applyProtection="1">
      <alignment horizontal="center" vertical="center" wrapText="1"/>
    </xf>
    <xf numFmtId="0" fontId="50" fillId="5" borderId="1"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3" fillId="6" borderId="36" xfId="0" applyFont="1" applyFill="1" applyBorder="1" applyAlignment="1" applyProtection="1">
      <alignment horizontal="left" vertical="center"/>
    </xf>
    <xf numFmtId="0" fontId="50" fillId="5" borderId="5" xfId="0" applyFont="1" applyFill="1" applyBorder="1" applyAlignment="1" applyProtection="1">
      <alignment horizontal="center" vertical="center" wrapText="1"/>
      <protection locked="0"/>
    </xf>
    <xf numFmtId="0" fontId="50" fillId="5" borderId="3"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53" fillId="6" borderId="25"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61"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113" fillId="6" borderId="107" xfId="0" applyFont="1" applyFill="1" applyBorder="1" applyProtection="1">
      <alignment vertical="center"/>
    </xf>
    <xf numFmtId="0" fontId="113" fillId="6" borderId="108" xfId="0" applyFont="1" applyFill="1" applyBorder="1" applyProtection="1">
      <alignment vertical="center"/>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2" fillId="5" borderId="37" xfId="0" applyFont="1" applyFill="1" applyBorder="1" applyAlignment="1" applyProtection="1">
      <alignment horizontal="left" vertical="center" wrapText="1"/>
      <protection locked="0"/>
    </xf>
    <xf numFmtId="0" fontId="52" fillId="5" borderId="3" xfId="0" applyFont="1" applyFill="1" applyBorder="1" applyAlignment="1" applyProtection="1">
      <alignment horizontal="left" vertical="center" wrapText="1"/>
      <protection locked="0"/>
    </xf>
    <xf numFmtId="0" fontId="137" fillId="6" borderId="1" xfId="0" applyFont="1" applyFill="1" applyBorder="1" applyAlignment="1" applyProtection="1">
      <alignment horizontal="center" vertical="center" wrapText="1"/>
      <protection locked="0"/>
    </xf>
    <xf numFmtId="193" fontId="137" fillId="6" borderId="1" xfId="0" applyNumberFormat="1" applyFont="1" applyFill="1" applyBorder="1" applyAlignment="1" applyProtection="1">
      <alignment horizontal="center" vertical="center" wrapText="1"/>
    </xf>
    <xf numFmtId="0" fontId="137" fillId="6" borderId="1" xfId="0" applyFont="1" applyFill="1" applyBorder="1" applyAlignment="1" applyProtection="1">
      <alignment horizontal="center" vertical="center" wrapText="1"/>
    </xf>
    <xf numFmtId="0" fontId="52" fillId="6" borderId="3" xfId="0" applyFont="1" applyFill="1" applyBorder="1" applyAlignment="1" applyProtection="1">
      <alignment horizontal="left" vertical="center"/>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178" fillId="6" borderId="1" xfId="0" applyFont="1" applyFill="1" applyBorder="1" applyAlignment="1">
      <alignment horizontal="center" vertical="center" wrapText="1"/>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9" fillId="6" borderId="61" xfId="0" applyFont="1" applyFill="1" applyBorder="1" applyAlignment="1" applyProtection="1">
      <alignment horizontal="left" vertical="center"/>
    </xf>
    <xf numFmtId="0" fontId="59" fillId="6" borderId="53" xfId="0" applyFont="1" applyFill="1" applyBorder="1" applyAlignment="1" applyProtection="1">
      <alignment horizontal="left" vertical="center"/>
    </xf>
    <xf numFmtId="0" fontId="59" fillId="6" borderId="8" xfId="0" applyFont="1" applyFill="1" applyBorder="1" applyAlignment="1" applyProtection="1">
      <alignment horizontal="left" vertical="center"/>
    </xf>
    <xf numFmtId="0" fontId="57" fillId="6" borderId="23"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38" xfId="0" applyFont="1" applyFill="1" applyBorder="1" applyAlignment="1" applyProtection="1">
      <alignment horizontal="center" vertical="center" wrapText="1"/>
    </xf>
    <xf numFmtId="0" fontId="57" fillId="6" borderId="66" xfId="0"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xf>
    <xf numFmtId="0" fontId="57" fillId="6" borderId="11" xfId="0" applyFont="1" applyFill="1" applyBorder="1" applyAlignment="1" applyProtection="1">
      <alignment horizontal="center" vertical="center" wrapText="1"/>
    </xf>
    <xf numFmtId="0" fontId="57" fillId="6" borderId="14" xfId="0"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11" xfId="0" applyFont="1" applyFill="1" applyBorder="1" applyAlignment="1" applyProtection="1">
      <alignment horizontal="center" vertical="center" textRotation="255" wrapText="1"/>
    </xf>
    <xf numFmtId="0" fontId="57" fillId="6" borderId="14" xfId="0" applyFont="1" applyFill="1" applyBorder="1" applyAlignment="1" applyProtection="1">
      <alignment horizontal="center" vertical="center" textRotation="255" wrapText="1"/>
    </xf>
    <xf numFmtId="0" fontId="57" fillId="6" borderId="41" xfId="0" applyFont="1" applyFill="1" applyBorder="1" applyAlignment="1" applyProtection="1">
      <alignment horizontal="center" vertical="center" textRotation="255" wrapText="1"/>
    </xf>
    <xf numFmtId="0" fontId="57" fillId="6" borderId="15" xfId="0" applyFont="1" applyFill="1" applyBorder="1" applyAlignment="1" applyProtection="1">
      <alignment horizontal="center" vertical="center" textRotation="255" wrapText="1"/>
    </xf>
    <xf numFmtId="0" fontId="57" fillId="6" borderId="2" xfId="0" applyFont="1" applyFill="1" applyBorder="1" applyAlignment="1" applyProtection="1">
      <alignment horizontal="center" vertical="center" textRotation="255" wrapText="1"/>
    </xf>
    <xf numFmtId="0" fontId="57" fillId="6" borderId="62" xfId="0" applyFont="1" applyFill="1" applyBorder="1" applyAlignment="1" applyProtection="1">
      <alignment horizontal="center" vertical="center"/>
    </xf>
    <xf numFmtId="0" fontId="57" fillId="6" borderId="53" xfId="0" applyFont="1" applyFill="1" applyBorder="1" applyAlignment="1" applyProtection="1">
      <alignment horizontal="center" vertical="center"/>
    </xf>
    <xf numFmtId="0" fontId="57" fillId="6" borderId="8"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7" fillId="6" borderId="30" xfId="0" applyFont="1" applyFill="1" applyBorder="1" applyAlignment="1" applyProtection="1">
      <alignment horizontal="center" vertical="center" wrapText="1"/>
    </xf>
    <xf numFmtId="0" fontId="57" fillId="6" borderId="28" xfId="0"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18" xfId="0" applyFont="1" applyFill="1" applyBorder="1" applyAlignment="1" applyProtection="1">
      <alignment horizontal="center" vertical="center" wrapText="1"/>
    </xf>
    <xf numFmtId="0" fontId="57" fillId="6" borderId="35" xfId="0" applyFont="1" applyFill="1" applyBorder="1" applyAlignment="1" applyProtection="1">
      <alignment horizontal="center" vertical="center" wrapText="1"/>
    </xf>
    <xf numFmtId="0" fontId="57" fillId="6" borderId="69" xfId="0" applyFont="1" applyFill="1" applyBorder="1" applyAlignment="1" applyProtection="1">
      <alignment horizontal="center" vertical="center" wrapText="1"/>
    </xf>
    <xf numFmtId="0" fontId="57" fillId="6" borderId="7" xfId="0"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xf>
    <xf numFmtId="0" fontId="57" fillId="6" borderId="39"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0" fontId="57" fillId="6" borderId="35" xfId="0" applyFont="1" applyFill="1" applyBorder="1" applyAlignment="1" applyProtection="1">
      <alignment horizontal="center" vertical="center"/>
    </xf>
    <xf numFmtId="0" fontId="57" fillId="6" borderId="4" xfId="0" applyFont="1" applyFill="1" applyBorder="1" applyAlignment="1" applyProtection="1">
      <alignment horizontal="center" vertical="center"/>
    </xf>
    <xf numFmtId="0" fontId="57" fillId="6" borderId="7" xfId="0"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228" fillId="0" borderId="11" xfId="0" applyFont="1" applyFill="1" applyBorder="1" applyAlignment="1" applyProtection="1">
      <alignment horizontal="center" vertical="center" wrapText="1"/>
      <protection locked="0"/>
    </xf>
    <xf numFmtId="0" fontId="181" fillId="0" borderId="61" xfId="0" applyFont="1" applyFill="1" applyBorder="1" applyAlignment="1" applyProtection="1">
      <alignment horizontal="center" vertical="center" wrapText="1"/>
      <protection locked="0"/>
    </xf>
    <xf numFmtId="0" fontId="228" fillId="0" borderId="23" xfId="0" applyFont="1" applyFill="1" applyBorder="1" applyAlignment="1" applyProtection="1">
      <alignment horizontal="center" vertical="center" wrapText="1"/>
      <protection locked="0"/>
    </xf>
    <xf numFmtId="0" fontId="181" fillId="0" borderId="24" xfId="0" applyFont="1" applyFill="1" applyBorder="1" applyAlignment="1" applyProtection="1">
      <alignment horizontal="center" vertical="center" wrapText="1"/>
      <protection locked="0"/>
    </xf>
    <xf numFmtId="0" fontId="50" fillId="6" borderId="37"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81" fillId="0" borderId="23" xfId="0" applyFont="1" applyFill="1" applyBorder="1" applyAlignment="1" applyProtection="1">
      <alignment horizontal="center" vertical="center" wrapText="1"/>
      <protection locked="0"/>
    </xf>
    <xf numFmtId="0" fontId="181" fillId="0" borderId="11" xfId="0" applyFont="1" applyFill="1" applyBorder="1" applyAlignment="1" applyProtection="1">
      <alignment horizontal="center" vertical="center" wrapText="1"/>
      <protection locked="0"/>
    </xf>
    <xf numFmtId="0" fontId="228" fillId="0" borderId="22" xfId="0" applyFont="1" applyFill="1" applyBorder="1" applyAlignment="1" applyProtection="1">
      <alignment horizontal="center" vertical="center" wrapText="1"/>
      <protection locked="0"/>
    </xf>
    <xf numFmtId="0" fontId="181" fillId="0" borderId="46" xfId="0" applyFont="1" applyFill="1" applyBorder="1" applyAlignment="1" applyProtection="1">
      <alignment horizontal="center" vertical="center" wrapText="1"/>
      <protection locked="0"/>
    </xf>
    <xf numFmtId="0" fontId="57" fillId="6" borderId="17" xfId="0" applyFont="1" applyFill="1" applyBorder="1" applyAlignment="1" applyProtection="1">
      <alignment horizontal="center" vertical="center"/>
    </xf>
    <xf numFmtId="0" fontId="57" fillId="6" borderId="15" xfId="0" applyFont="1" applyFill="1" applyBorder="1" applyAlignment="1" applyProtection="1">
      <alignment horizontal="center" vertical="center"/>
    </xf>
    <xf numFmtId="0" fontId="57" fillId="6" borderId="2" xfId="0" applyFont="1" applyFill="1" applyBorder="1" applyAlignment="1" applyProtection="1">
      <alignment horizontal="center" vertical="center"/>
    </xf>
    <xf numFmtId="0" fontId="228" fillId="0" borderId="3" xfId="0" applyFont="1" applyFill="1" applyBorder="1" applyAlignment="1" applyProtection="1">
      <alignment horizontal="center" vertical="center" wrapText="1"/>
      <protection locked="0"/>
    </xf>
    <xf numFmtId="0" fontId="181" fillId="0" borderId="5" xfId="0"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3"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7" fillId="6" borderId="13" xfId="0" applyFont="1" applyFill="1" applyBorder="1" applyAlignment="1" applyProtection="1">
      <alignment horizontal="center" vertical="center"/>
    </xf>
    <xf numFmtId="0" fontId="57" fillId="6" borderId="40"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7" fillId="6" borderId="46"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7" fillId="6" borderId="58"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0" fontId="57" fillId="6" borderId="46" xfId="0" applyFont="1" applyFill="1" applyBorder="1" applyAlignment="1" applyProtection="1">
      <alignment horizontal="center" vertical="center"/>
    </xf>
    <xf numFmtId="0" fontId="57" fillId="6" borderId="22" xfId="0" applyFont="1" applyFill="1" applyBorder="1" applyAlignment="1" applyProtection="1">
      <alignment horizontal="center" vertical="center"/>
    </xf>
    <xf numFmtId="0" fontId="228" fillId="0" borderId="6" xfId="0" applyFont="1" applyFill="1" applyBorder="1" applyAlignment="1" applyProtection="1">
      <alignment horizontal="center" vertical="center" wrapText="1"/>
      <protection locked="0"/>
    </xf>
    <xf numFmtId="0" fontId="181" fillId="0" borderId="10" xfId="0" applyFont="1" applyFill="1" applyBorder="1" applyAlignment="1" applyProtection="1">
      <alignment horizontal="center" vertical="center" wrapText="1"/>
      <protection locked="0"/>
    </xf>
    <xf numFmtId="0" fontId="181" fillId="0" borderId="22" xfId="0" applyFont="1" applyFill="1" applyBorder="1" applyAlignment="1" applyProtection="1">
      <alignment horizontal="center" vertical="center" wrapText="1"/>
      <protection locked="0"/>
    </xf>
    <xf numFmtId="0" fontId="57" fillId="6" borderId="13" xfId="0" applyFont="1" applyFill="1" applyBorder="1" applyAlignment="1" applyProtection="1">
      <alignment horizontal="center" vertical="center" textRotation="255" wrapText="1"/>
    </xf>
    <xf numFmtId="0" fontId="224" fillId="6" borderId="1" xfId="0" applyFont="1" applyFill="1" applyBorder="1" applyAlignment="1">
      <alignment horizontal="center" vertical="center"/>
    </xf>
    <xf numFmtId="0" fontId="123" fillId="6" borderId="34" xfId="0" applyFont="1" applyFill="1" applyBorder="1" applyAlignment="1" applyProtection="1">
      <alignment horizontal="left" vertical="center" wrapText="1"/>
    </xf>
    <xf numFmtId="0" fontId="123" fillId="6" borderId="65" xfId="0" applyFont="1" applyFill="1" applyBorder="1" applyAlignment="1" applyProtection="1">
      <alignment horizontal="left" vertical="center" wrapText="1"/>
    </xf>
    <xf numFmtId="0" fontId="53" fillId="6" borderId="13" xfId="0" applyFont="1" applyFill="1" applyBorder="1" applyAlignment="1" applyProtection="1">
      <alignment vertical="top" wrapText="1"/>
    </xf>
    <xf numFmtId="0" fontId="53" fillId="6" borderId="15" xfId="0" applyFont="1" applyFill="1" applyBorder="1" applyAlignment="1" applyProtection="1">
      <alignment vertical="top" wrapText="1"/>
    </xf>
    <xf numFmtId="0" fontId="53" fillId="6" borderId="2" xfId="0" applyFont="1" applyFill="1" applyBorder="1" applyAlignment="1" applyProtection="1">
      <alignment vertical="top" wrapText="1"/>
    </xf>
    <xf numFmtId="0" fontId="148" fillId="11" borderId="5" xfId="0" applyFont="1" applyFill="1" applyBorder="1" applyAlignment="1">
      <alignment horizontal="left" vertical="center"/>
    </xf>
    <xf numFmtId="0" fontId="148" fillId="11" borderId="54" xfId="0" applyFont="1" applyFill="1" applyBorder="1" applyAlignment="1">
      <alignment horizontal="left" vertical="center"/>
    </xf>
    <xf numFmtId="0" fontId="148" fillId="11" borderId="3" xfId="0" applyFont="1" applyFill="1" applyBorder="1" applyAlignment="1">
      <alignment horizontal="left" vertical="center"/>
    </xf>
    <xf numFmtId="0" fontId="87" fillId="11" borderId="1" xfId="0" applyFont="1" applyFill="1" applyBorder="1" applyAlignment="1">
      <alignment horizontal="center" vertical="center"/>
    </xf>
    <xf numFmtId="0" fontId="22" fillId="0" borderId="1" xfId="0" applyFont="1" applyBorder="1" applyAlignment="1">
      <alignment horizontal="center"/>
    </xf>
    <xf numFmtId="0" fontId="22" fillId="0" borderId="1" xfId="0" applyFont="1" applyBorder="1" applyAlignment="1"/>
    <xf numFmtId="0" fontId="87" fillId="6" borderId="23" xfId="0" applyFont="1" applyFill="1" applyBorder="1" applyAlignment="1">
      <alignment horizontal="left" vertical="center" wrapText="1"/>
    </xf>
    <xf numFmtId="0" fontId="22" fillId="0" borderId="1" xfId="0" applyFont="1" applyFill="1" applyBorder="1" applyAlignment="1">
      <alignment horizontal="center" vertical="center"/>
    </xf>
    <xf numFmtId="0" fontId="87" fillId="0" borderId="1" xfId="0" applyFont="1" applyFill="1" applyBorder="1" applyAlignment="1">
      <alignment horizontal="center" vertical="center"/>
    </xf>
    <xf numFmtId="0" fontId="87" fillId="6" borderId="1" xfId="0" applyFont="1" applyFill="1" applyBorder="1" applyAlignment="1">
      <alignment horizontal="left" vertical="center" wrapText="1"/>
    </xf>
    <xf numFmtId="0" fontId="148" fillId="6" borderId="55" xfId="0" applyFont="1" applyFill="1" applyBorder="1" applyAlignment="1">
      <alignment vertical="center"/>
    </xf>
    <xf numFmtId="0" fontId="148" fillId="6" borderId="36" xfId="0" applyFont="1" applyFill="1" applyBorder="1" applyAlignment="1">
      <alignment vertical="center"/>
    </xf>
    <xf numFmtId="0" fontId="148" fillId="6" borderId="22" xfId="0" applyFont="1" applyFill="1" applyBorder="1" applyAlignment="1">
      <alignment vertical="center"/>
    </xf>
    <xf numFmtId="0" fontId="148" fillId="6" borderId="42" xfId="0" applyFont="1" applyFill="1" applyBorder="1" applyAlignment="1">
      <alignment vertical="center"/>
    </xf>
    <xf numFmtId="0" fontId="148" fillId="6" borderId="47" xfId="0" applyFont="1" applyFill="1" applyBorder="1" applyAlignment="1">
      <alignment vertical="center"/>
    </xf>
    <xf numFmtId="0" fontId="148" fillId="6" borderId="73" xfId="0" applyFont="1" applyFill="1" applyBorder="1" applyAlignment="1">
      <alignment vertical="center"/>
    </xf>
    <xf numFmtId="0" fontId="145" fillId="6" borderId="37" xfId="0" applyFont="1" applyFill="1" applyBorder="1" applyAlignment="1">
      <alignment horizontal="left" vertical="center"/>
    </xf>
    <xf numFmtId="0" fontId="145" fillId="6" borderId="54" xfId="0" applyFont="1" applyFill="1" applyBorder="1" applyAlignment="1">
      <alignment horizontal="left" vertical="center"/>
    </xf>
    <xf numFmtId="0" fontId="145" fillId="6" borderId="3" xfId="0" applyFont="1" applyFill="1" applyBorder="1" applyAlignment="1">
      <alignment horizontal="left" vertical="center"/>
    </xf>
    <xf numFmtId="0" fontId="147" fillId="6" borderId="1" xfId="0" applyFont="1" applyFill="1" applyBorder="1" applyAlignment="1">
      <alignment horizontal="center" vertical="center"/>
    </xf>
    <xf numFmtId="0" fontId="147" fillId="6" borderId="24" xfId="0" applyFont="1" applyFill="1" applyBorder="1" applyAlignment="1">
      <alignment horizontal="center" vertical="center"/>
    </xf>
    <xf numFmtId="0" fontId="181" fillId="0" borderId="3" xfId="0" applyFont="1" applyFill="1" applyBorder="1" applyAlignment="1" applyProtection="1">
      <alignment horizontal="center" vertical="center" wrapText="1"/>
      <protection locked="0"/>
    </xf>
    <xf numFmtId="187" fontId="57" fillId="6" borderId="1" xfId="0" applyNumberFormat="1" applyFont="1" applyFill="1" applyBorder="1" applyAlignment="1" applyProtection="1">
      <alignment horizontal="center" vertical="center"/>
    </xf>
    <xf numFmtId="187" fontId="56" fillId="6" borderId="1"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wrapText="1"/>
    </xf>
    <xf numFmtId="0" fontId="108" fillId="6" borderId="23" xfId="0" applyFont="1" applyFill="1" applyBorder="1" applyAlignment="1" applyProtection="1">
      <alignment horizontal="center" vertical="center"/>
    </xf>
    <xf numFmtId="0" fontId="57" fillId="0" borderId="11" xfId="0" applyFont="1" applyFill="1" applyBorder="1" applyAlignment="1" applyProtection="1">
      <alignment horizontal="center" vertical="center" wrapText="1"/>
      <protection locked="0"/>
    </xf>
    <xf numFmtId="0" fontId="57" fillId="0" borderId="61" xfId="0" applyFont="1" applyFill="1" applyBorder="1" applyAlignment="1" applyProtection="1">
      <alignment horizontal="center" vertical="center" wrapText="1"/>
      <protection locked="0"/>
    </xf>
    <xf numFmtId="0" fontId="57" fillId="0" borderId="22" xfId="0" applyFont="1" applyFill="1" applyBorder="1" applyAlignment="1" applyProtection="1">
      <alignment horizontal="center" vertical="center" wrapText="1"/>
      <protection locked="0"/>
    </xf>
    <xf numFmtId="0" fontId="57" fillId="0" borderId="46" xfId="0" applyFont="1" applyFill="1" applyBorder="1" applyAlignment="1" applyProtection="1">
      <alignment horizontal="center" vertical="center" wrapText="1"/>
      <protection locked="0"/>
    </xf>
    <xf numFmtId="0" fontId="59" fillId="6" borderId="54"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center" vertical="center" wrapText="1"/>
      <protection locked="0"/>
    </xf>
    <xf numFmtId="0" fontId="63" fillId="6" borderId="5" xfId="0" applyFont="1" applyFill="1" applyBorder="1" applyAlignment="1" applyProtection="1">
      <alignment horizontal="center" vertical="center" wrapText="1"/>
    </xf>
    <xf numFmtId="0" fontId="63" fillId="6" borderId="54" xfId="0" applyFont="1" applyFill="1" applyBorder="1" applyAlignment="1" applyProtection="1">
      <alignment horizontal="center" vertical="center" wrapText="1"/>
    </xf>
    <xf numFmtId="0" fontId="63" fillId="6" borderId="0" xfId="0" applyFont="1" applyFill="1" applyBorder="1" applyAlignment="1" applyProtection="1">
      <alignment horizontal="center" vertical="center" wrapText="1"/>
    </xf>
    <xf numFmtId="0" fontId="63" fillId="6" borderId="22" xfId="0" applyFont="1" applyFill="1" applyBorder="1" applyAlignment="1" applyProtection="1">
      <alignment horizontal="center" vertical="center" wrapText="1"/>
    </xf>
    <xf numFmtId="49" fontId="59" fillId="6" borderId="40" xfId="0" applyNumberFormat="1" applyFont="1" applyFill="1" applyBorder="1" applyAlignment="1" applyProtection="1">
      <alignment horizontal="center" vertical="center" wrapText="1"/>
    </xf>
    <xf numFmtId="49" fontId="59" fillId="6" borderId="14" xfId="0" applyNumberFormat="1" applyFont="1" applyFill="1" applyBorder="1" applyAlignment="1" applyProtection="1">
      <alignment horizontal="center" vertical="center" wrapText="1"/>
    </xf>
    <xf numFmtId="49" fontId="107" fillId="6" borderId="18" xfId="0" applyNumberFormat="1" applyFont="1" applyFill="1" applyBorder="1" applyAlignment="1" applyProtection="1">
      <alignment horizontal="center" vertical="center" wrapText="1"/>
    </xf>
    <xf numFmtId="49" fontId="107" fillId="6" borderId="12"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0" borderId="0" xfId="0" applyFont="1" applyAlignment="1" applyProtection="1">
      <alignment horizontal="left" vertical="center"/>
    </xf>
    <xf numFmtId="0" fontId="108" fillId="6" borderId="1" xfId="0" applyFont="1" applyFill="1" applyBorder="1" applyAlignment="1" applyProtection="1">
      <alignment horizontal="center" vertical="center"/>
    </xf>
    <xf numFmtId="0" fontId="108" fillId="6" borderId="13" xfId="0" applyFont="1" applyFill="1" applyBorder="1" applyAlignment="1" applyProtection="1">
      <alignment horizontal="center" vertical="center"/>
    </xf>
    <xf numFmtId="0" fontId="108" fillId="6" borderId="15" xfId="0" applyFont="1" applyFill="1" applyBorder="1" applyAlignment="1" applyProtection="1">
      <alignment horizontal="center" vertical="center"/>
    </xf>
    <xf numFmtId="0" fontId="108" fillId="6" borderId="2" xfId="0" applyFont="1" applyFill="1" applyBorder="1" applyAlignment="1" applyProtection="1">
      <alignment horizontal="center" vertical="center"/>
    </xf>
    <xf numFmtId="0" fontId="151" fillId="6" borderId="13" xfId="0" applyFont="1" applyFill="1" applyBorder="1" applyAlignment="1" applyProtection="1">
      <alignment vertical="center" wrapText="1"/>
    </xf>
    <xf numFmtId="0" fontId="151" fillId="6" borderId="15" xfId="0" applyFont="1" applyFill="1" applyBorder="1" applyAlignment="1" applyProtection="1">
      <alignment vertical="center" wrapText="1"/>
    </xf>
    <xf numFmtId="0" fontId="151" fillId="6" borderId="2" xfId="0" applyFont="1" applyFill="1" applyBorder="1" applyAlignment="1" applyProtection="1">
      <alignment vertical="center" wrapText="1"/>
    </xf>
    <xf numFmtId="0" fontId="116" fillId="6" borderId="1" xfId="0" applyFont="1" applyFill="1" applyBorder="1" applyAlignment="1" applyProtection="1">
      <alignment horizontal="center" vertical="center"/>
    </xf>
    <xf numFmtId="0" fontId="155" fillId="12" borderId="132" xfId="9" applyFont="1" applyFill="1" applyBorder="1" applyAlignment="1" applyProtection="1">
      <alignment horizontal="center" vertical="center" wrapText="1"/>
    </xf>
    <xf numFmtId="0" fontId="155" fillId="12" borderId="126" xfId="9" applyFont="1" applyFill="1" applyBorder="1" applyAlignment="1" applyProtection="1">
      <alignment horizontal="center" vertical="center" wrapText="1"/>
    </xf>
    <xf numFmtId="0" fontId="155" fillId="12" borderId="128" xfId="9" applyFont="1" applyFill="1" applyBorder="1" applyAlignment="1" applyProtection="1">
      <alignment horizontal="center" vertical="center" wrapText="1"/>
    </xf>
    <xf numFmtId="0" fontId="148" fillId="0" borderId="0" xfId="9" applyFont="1" applyAlignment="1">
      <alignment horizontal="center" vertical="center"/>
    </xf>
    <xf numFmtId="0" fontId="111" fillId="0" borderId="0" xfId="9" applyFont="1" applyAlignment="1">
      <alignment horizontal="center" vertical="center"/>
    </xf>
    <xf numFmtId="0" fontId="153" fillId="0" borderId="0" xfId="9" applyFont="1" applyAlignment="1">
      <alignment horizontal="center" vertical="center"/>
    </xf>
    <xf numFmtId="0" fontId="155" fillId="12" borderId="123" xfId="9" applyFont="1" applyFill="1" applyBorder="1" applyAlignment="1" applyProtection="1">
      <alignment horizontal="center" vertical="center" wrapText="1"/>
    </xf>
    <xf numFmtId="0" fontId="108" fillId="12" borderId="132" xfId="9" applyFont="1" applyFill="1" applyBorder="1" applyAlignment="1" applyProtection="1">
      <alignment horizontal="center" vertical="center" wrapText="1"/>
    </xf>
    <xf numFmtId="0" fontId="108" fillId="12" borderId="126" xfId="9" applyFont="1" applyFill="1" applyBorder="1" applyAlignment="1" applyProtection="1">
      <alignment horizontal="center" vertical="center" wrapText="1"/>
    </xf>
    <xf numFmtId="0" fontId="108" fillId="12" borderId="128" xfId="9"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xf>
    <xf numFmtId="0" fontId="53" fillId="6" borderId="75" xfId="0" applyFont="1" applyFill="1" applyBorder="1" applyAlignment="1" applyProtection="1">
      <alignment horizontal="center" vertical="center"/>
      <protection locked="0"/>
    </xf>
    <xf numFmtId="0" fontId="53" fillId="6" borderId="47" xfId="0" applyFont="1" applyFill="1" applyBorder="1" applyAlignment="1" applyProtection="1">
      <alignment horizontal="center" vertical="center"/>
      <protection locked="0"/>
    </xf>
    <xf numFmtId="0" fontId="53" fillId="6" borderId="73" xfId="0" applyFont="1" applyFill="1" applyBorder="1" applyAlignment="1" applyProtection="1">
      <alignment horizontal="center" vertical="center"/>
      <protection locked="0"/>
    </xf>
    <xf numFmtId="0" fontId="132" fillId="6" borderId="0" xfId="0" applyFont="1" applyFill="1" applyAlignment="1" applyProtection="1">
      <alignment horizontal="center" vertical="center"/>
    </xf>
    <xf numFmtId="0" fontId="121" fillId="6" borderId="0" xfId="0" applyFont="1" applyFill="1" applyBorder="1" applyAlignment="1" applyProtection="1">
      <alignment horizontal="left" vertical="center"/>
    </xf>
    <xf numFmtId="0" fontId="120" fillId="6" borderId="6" xfId="0" applyFont="1" applyFill="1" applyBorder="1" applyAlignment="1" applyProtection="1">
      <alignment horizontal="center" vertical="center" wrapText="1"/>
    </xf>
    <xf numFmtId="0" fontId="120" fillId="6" borderId="25" xfId="0" applyFont="1" applyFill="1" applyBorder="1" applyAlignment="1" applyProtection="1">
      <alignment horizontal="center" vertical="center" wrapText="1"/>
    </xf>
  </cellXfs>
  <cellStyles count="45">
    <cellStyle name="Comma 2" xfId="15"/>
    <cellStyle name="Comma 30 2" xfId="13"/>
    <cellStyle name="Normal 3" xfId="14"/>
    <cellStyle name="Percent 2" xfId="16"/>
    <cellStyle name="百分比 2" xfId="21"/>
    <cellStyle name="常规" xfId="0" builtinId="0"/>
    <cellStyle name="常规 10" xfId="22"/>
    <cellStyle name="常规 16" xfId="10"/>
    <cellStyle name="常规 2" xfId="1"/>
    <cellStyle name="常规 2 2" xfId="8"/>
    <cellStyle name="常规 2 2 2" xfId="19"/>
    <cellStyle name="常规 2 3" xfId="17"/>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23" builtinId="8" hidden="1"/>
    <cellStyle name="超链接" xfId="25" builtinId="8" hidden="1"/>
    <cellStyle name="超链接" xfId="27" builtinId="8" hidden="1"/>
    <cellStyle name="超链接" xfId="29" builtinId="8" hidden="1"/>
    <cellStyle name="超链接" xfId="31" builtinId="8" hidden="1"/>
    <cellStyle name="超链接" xfId="33" builtinId="8" hidden="1"/>
    <cellStyle name="超链接" xfId="35" builtinId="8" hidden="1"/>
    <cellStyle name="超链接" xfId="37" builtinId="8" hidden="1"/>
    <cellStyle name="超链接" xfId="39" builtinId="8" hidden="1"/>
    <cellStyle name="超链接" xfId="41" builtinId="8" hidden="1"/>
    <cellStyle name="超链接" xfId="43" builtinId="8" hidden="1"/>
    <cellStyle name="千位分隔 2" xfId="20"/>
    <cellStyle name="千位分隔 3 4" xfId="18"/>
    <cellStyle name="已访问的超链接" xfId="24" builtinId="9" hidden="1"/>
    <cellStyle name="已访问的超链接" xfId="26" builtinId="9" hidden="1"/>
    <cellStyle name="已访问的超链接" xfId="28" builtinId="9" hidden="1"/>
    <cellStyle name="已访问的超链接" xfId="30" builtinId="9" hidden="1"/>
    <cellStyle name="已访问的超链接" xfId="32" builtinId="9" hidden="1"/>
    <cellStyle name="已访问的超链接" xfId="34" builtinId="9" hidden="1"/>
    <cellStyle name="已访问的超链接" xfId="36" builtinId="9" hidden="1"/>
    <cellStyle name="已访问的超链接" xfId="38" builtinId="9" hidden="1"/>
    <cellStyle name="已访问的超链接" xfId="40" builtinId="9" hidden="1"/>
    <cellStyle name="已访问的超链接" xfId="42" builtinId="9" hidden="1"/>
    <cellStyle name="已访问的超链接" xfId="44" builtinId="9" hidden="1"/>
  </cellStyles>
  <dxfs count="234">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50</xdr:row>
      <xdr:rowOff>161925</xdr:rowOff>
    </xdr:from>
    <xdr:to>
      <xdr:col>10</xdr:col>
      <xdr:colOff>316235</xdr:colOff>
      <xdr:row>78</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734425"/>
          <a:ext cx="7174235" cy="4686300"/>
        </a:xfrm>
        <a:prstGeom prst="rect">
          <a:avLst/>
        </a:prstGeom>
      </xdr:spPr>
    </xdr:pic>
    <xdr:clientData/>
  </xdr:twoCellAnchor>
  <xdr:twoCellAnchor editAs="oneCell">
    <xdr:from>
      <xdr:col>0</xdr:col>
      <xdr:colOff>0</xdr:colOff>
      <xdr:row>0</xdr:row>
      <xdr:rowOff>0</xdr:rowOff>
    </xdr:from>
    <xdr:to>
      <xdr:col>10</xdr:col>
      <xdr:colOff>269100</xdr:colOff>
      <xdr:row>24</xdr:row>
      <xdr:rowOff>107201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127100" cy="4222001"/>
        </a:xfrm>
        <a:prstGeom prst="rect">
          <a:avLst/>
        </a:prstGeom>
      </xdr:spPr>
    </xdr:pic>
    <xdr:clientData/>
  </xdr:twoCellAnchor>
  <xdr:twoCellAnchor editAs="oneCell">
    <xdr:from>
      <xdr:col>0</xdr:col>
      <xdr:colOff>0</xdr:colOff>
      <xdr:row>25</xdr:row>
      <xdr:rowOff>14250</xdr:rowOff>
    </xdr:from>
    <xdr:to>
      <xdr:col>10</xdr:col>
      <xdr:colOff>267778</xdr:colOff>
      <xdr:row>50</xdr:row>
      <xdr:rowOff>104775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300500"/>
          <a:ext cx="7125778" cy="4376775"/>
        </a:xfrm>
        <a:prstGeom prst="rect">
          <a:avLst/>
        </a:prstGeom>
      </xdr:spPr>
    </xdr:pic>
    <xdr:clientData/>
  </xdr:twoCellAnchor>
  <xdr:twoCellAnchor editAs="oneCell">
    <xdr:from>
      <xdr:col>10</xdr:col>
      <xdr:colOff>333375</xdr:colOff>
      <xdr:row>0</xdr:row>
      <xdr:rowOff>0</xdr:rowOff>
    </xdr:from>
    <xdr:to>
      <xdr:col>18</xdr:col>
      <xdr:colOff>485775</xdr:colOff>
      <xdr:row>28</xdr:row>
      <xdr:rowOff>66675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91375" y="0"/>
          <a:ext cx="5638800" cy="48672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zoomScalePageLayoutView="80" workbookViewId="0">
      <selection activeCell="B28" sqref="B28"/>
    </sheetView>
  </sheetViews>
  <sheetFormatPr defaultColWidth="8.875" defaultRowHeight="14.25"/>
  <cols>
    <col min="1" max="1" width="35.625" style="1580" customWidth="1"/>
    <col min="2" max="2" width="81" style="1597" customWidth="1"/>
    <col min="3" max="16384" width="8.875" style="1595"/>
  </cols>
  <sheetData>
    <row r="1" spans="1:2" s="1583" customFormat="1" ht="16.5" thickBot="1">
      <c r="A1" s="1582" t="s">
        <v>1219</v>
      </c>
      <c r="B1" s="1581" t="s">
        <v>1298</v>
      </c>
    </row>
    <row r="2" spans="1:2" s="1586" customFormat="1" ht="15" thickTop="1">
      <c r="A2" s="1584" t="s">
        <v>1220</v>
      </c>
      <c r="B2" s="1585" t="str">
        <f>'预评函-封皮'!B37:I37</f>
        <v>北京市海淀区西四环北路160号房地产抵押价值预评估</v>
      </c>
    </row>
    <row r="3" spans="1:2" s="1589" customFormat="1">
      <c r="A3" s="1587" t="s">
        <v>1221</v>
      </c>
      <c r="B3" s="1588" t="str">
        <f>'预评函-封皮'!B40</f>
        <v>昆仑信托有限责任公司</v>
      </c>
    </row>
    <row r="4" spans="1:2" s="1589" customFormat="1">
      <c r="A4" s="1587" t="s">
        <v>1222</v>
      </c>
      <c r="B4" s="1588" t="str">
        <f>'预评函-封皮'!B46</f>
        <v>（注册号：0)、（注册号：0)</v>
      </c>
    </row>
    <row r="5" spans="1:2" s="1583" customFormat="1" ht="15" thickBot="1">
      <c r="A5" s="1590" t="s">
        <v>1223</v>
      </c>
      <c r="B5" s="1591" t="str">
        <f>'预评函-封皮'!B49</f>
        <v>康正预评字2018-1-0214-P01DYGJ3号</v>
      </c>
    </row>
    <row r="6" spans="1:2" s="1586" customFormat="1" ht="15" thickTop="1">
      <c r="A6" s="1584" t="s">
        <v>1224</v>
      </c>
      <c r="B6" s="1585" t="str">
        <f>'预评函-1'!A4</f>
        <v>受贵公司委托，我公司对北京市海淀区西四环北路160号房地产抵押价值进行了预评估。</v>
      </c>
    </row>
    <row r="7" spans="1:2" s="1589" customFormat="1">
      <c r="A7" s="1587" t="s">
        <v>1264</v>
      </c>
      <c r="B7" s="1588" t="str">
        <f>'预评函-1'!A7</f>
        <v>估价对象为北京市海淀区西四环北路160号房地产，为北京碧生源物业管理有限公司所有。根据，估价对象（分摊）出让国有建设用地使用权面积为966.97平方米。根据《不动产权证书》[]、《抵押物清单》，估价对象建筑面积为11628.21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海淀区西四环北路160号房地产,属北京碧生源物业管理有限公司开发建设的办公项目，该项目尚在开发建设中。根据，估价对象（分摊）出让国有建设用地使用权面积为966.97平方米。根据《不动产权证书》[]、《抵押物清单》，估价对象规划建筑面积为11628.21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2018年3月26日（评估专业人员实地查勘之日）</v>
      </c>
    </row>
    <row r="13" spans="1:2" s="1589" customFormat="1">
      <c r="A13" s="1587" t="s">
        <v>1227</v>
      </c>
      <c r="B13" s="1588" t="str">
        <f>'预评函-1'!A18</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本次评估采用的主估价方法为比较法和收益法。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37508</v>
      </c>
    </row>
    <row r="21" spans="1:2" s="1589" customFormat="1">
      <c r="A21" s="1587" t="s">
        <v>1235</v>
      </c>
      <c r="B21" s="1588">
        <f ca="1">'预评函-2'!D7</f>
        <v>43960</v>
      </c>
    </row>
    <row r="22" spans="1:2" s="1589" customFormat="1">
      <c r="A22" s="1587" t="s">
        <v>1236</v>
      </c>
      <c r="B22" s="1588" t="str">
        <f ca="1">'预评函-2'!D6</f>
        <v>叁亿柒仟伍佰零捌万元整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37508</v>
      </c>
    </row>
    <row r="31" spans="1:2" s="1589" customFormat="1">
      <c r="A31" s="1587" t="s">
        <v>1274</v>
      </c>
      <c r="B31" s="1588">
        <f ca="1">'预评函-2'!D15</f>
        <v>32256</v>
      </c>
    </row>
    <row r="32" spans="1:2" s="1589" customFormat="1">
      <c r="A32" s="1587" t="s">
        <v>1241</v>
      </c>
      <c r="B32" s="1588" t="str">
        <f ca="1">'预评函-2'!D14</f>
        <v>叁亿柒仟伍佰零捌万元整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北京市海淀区西四环北路160号房地产</v>
      </c>
    </row>
    <row r="42" spans="1:2" s="1589" customFormat="1">
      <c r="A42" s="1587" t="s">
        <v>1288</v>
      </c>
      <c r="B42" s="1588" t="str">
        <f>'预评函-3'!B2</f>
        <v>建筑面积</v>
      </c>
    </row>
    <row r="43" spans="1:2" s="1589" customFormat="1">
      <c r="A43" s="1587" t="s">
        <v>1289</v>
      </c>
      <c r="B43" s="1588">
        <f>'预评函-3'!B4</f>
        <v>11628.210000000001</v>
      </c>
    </row>
    <row r="44" spans="1:2" s="1589" customFormat="1">
      <c r="A44" s="1587" t="s">
        <v>1273</v>
      </c>
      <c r="B44" s="1588" t="str">
        <f>'预评函-3'!C2</f>
        <v>(分摊)土地面积</v>
      </c>
    </row>
    <row r="45" spans="1:2" s="1589" customFormat="1">
      <c r="A45" s="1587" t="s">
        <v>1245</v>
      </c>
      <c r="B45" s="1588">
        <f>'预评函-3'!C4</f>
        <v>966.97</v>
      </c>
    </row>
    <row r="46" spans="1:2" s="1589" customFormat="1">
      <c r="A46" s="1587" t="s">
        <v>1271</v>
      </c>
      <c r="B46" s="1588" t="str">
        <f>'预评函-3'!D2</f>
        <v>出让国有建设用地使用权价值</v>
      </c>
    </row>
    <row r="47" spans="1:2" s="1589" customFormat="1">
      <c r="A47" s="1587" t="s">
        <v>1246</v>
      </c>
      <c r="B47" s="1588">
        <f ca="1">'预评函-3'!D4</f>
        <v>37508</v>
      </c>
    </row>
    <row r="48" spans="1:2" s="1589" customFormat="1">
      <c r="A48" s="1587" t="s">
        <v>1247</v>
      </c>
      <c r="B48" s="1588">
        <f ca="1">'预评函-3'!E4</f>
        <v>43960</v>
      </c>
    </row>
    <row r="49" spans="1:2" s="1589" customFormat="1">
      <c r="A49" s="1587" t="s">
        <v>1248</v>
      </c>
      <c r="B49" s="1588" t="str">
        <f ca="1">'预评函-3'!D5</f>
        <v>叁亿柒仟伍佰零捌万元整</v>
      </c>
    </row>
    <row r="50" spans="1:2" s="1589" customFormat="1">
      <c r="A50" s="1587" t="s">
        <v>1272</v>
      </c>
      <c r="B50" s="1588" t="str">
        <f>'预评函-3'!F2</f>
        <v>建筑物价值</v>
      </c>
    </row>
    <row r="51" spans="1:2" s="1589" customFormat="1">
      <c r="A51" s="1587" t="s">
        <v>1249</v>
      </c>
      <c r="B51" s="1588">
        <f ca="1">'预评函-3'!F4</f>
        <v>0</v>
      </c>
    </row>
    <row r="52" spans="1:2" s="1589" customFormat="1">
      <c r="A52" s="1587" t="s">
        <v>1250</v>
      </c>
      <c r="B52" s="1588">
        <f ca="1">'预评函-3'!G4</f>
        <v>0</v>
      </c>
    </row>
    <row r="53" spans="1:2" s="1589" customFormat="1">
      <c r="A53" s="1587" t="s">
        <v>1278</v>
      </c>
      <c r="B53" s="1588" t="str">
        <f ca="1">'预评函-3'!F5</f>
        <v>零元整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（1）根据估价对象《不动产权证书》复印件、，截至价值时点，估价对象抵押权未见登记。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f>'预评函-4'!A4</f>
        <v>0</v>
      </c>
    </row>
    <row r="71" spans="1:2">
      <c r="A71" s="1587" t="s">
        <v>1261</v>
      </c>
      <c r="B71" s="1588">
        <f>'预评函-4'!B4</f>
        <v>0</v>
      </c>
    </row>
    <row r="72" spans="1:2">
      <c r="A72" s="1587" t="s">
        <v>1262</v>
      </c>
      <c r="B72" s="1596">
        <f>'预评函-4'!A5</f>
        <v>0</v>
      </c>
    </row>
    <row r="73" spans="1:2" s="1583" customFormat="1" ht="15" thickBot="1">
      <c r="A73" s="1590" t="s">
        <v>1263</v>
      </c>
      <c r="B73" s="1591">
        <f>'预评函-4'!B5</f>
        <v>0</v>
      </c>
    </row>
    <row r="74" spans="1:2" ht="15" thickTop="1">
      <c r="A74" s="1580" t="s">
        <v>1299</v>
      </c>
      <c r="B74" s="1597" t="str">
        <f>'预评函-4'!A8</f>
        <v>XX</v>
      </c>
    </row>
  </sheetData>
  <sheetProtection sheet="1" objects="1" scenarios="1"/>
  <phoneticPr fontId="146"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W23" sqref="W23"/>
    </sheetView>
  </sheetViews>
  <sheetFormatPr defaultColWidth="8.875" defaultRowHeight="13.5"/>
  <cols>
    <col min="1" max="1" width="13.5" style="2020" customWidth="1"/>
    <col min="2" max="2" width="23.125" style="1971" customWidth="1"/>
    <col min="3" max="3" width="13" style="2015" hidden="1" customWidth="1"/>
    <col min="4" max="4" width="5.62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8.875" style="1971"/>
  </cols>
  <sheetData>
    <row r="1" spans="1:23" s="2009" customFormat="1" ht="27">
      <c r="A1" s="2003" t="s">
        <v>71</v>
      </c>
      <c r="B1" s="2004" t="s">
        <v>1691</v>
      </c>
      <c r="C1" s="2005" t="s">
        <v>759</v>
      </c>
      <c r="D1" s="2006" t="s">
        <v>1692</v>
      </c>
      <c r="E1" s="2006" t="s">
        <v>1693</v>
      </c>
      <c r="F1" s="2006" t="s">
        <v>1694</v>
      </c>
      <c r="G1" s="2006" t="s">
        <v>1695</v>
      </c>
      <c r="H1" s="2006" t="s">
        <v>1696</v>
      </c>
      <c r="I1" s="2006" t="s">
        <v>1697</v>
      </c>
      <c r="J1" s="2006" t="s">
        <v>1698</v>
      </c>
      <c r="K1" s="2006" t="s">
        <v>1699</v>
      </c>
      <c r="L1" s="2006" t="s">
        <v>1700</v>
      </c>
      <c r="M1" s="2006" t="s">
        <v>1701</v>
      </c>
      <c r="N1" s="2006" t="s">
        <v>1702</v>
      </c>
      <c r="O1" s="2006" t="s">
        <v>1703</v>
      </c>
      <c r="P1" s="2007" t="s">
        <v>753</v>
      </c>
      <c r="Q1" s="2007" t="s">
        <v>1144</v>
      </c>
      <c r="R1" s="2006" t="s">
        <v>1138</v>
      </c>
      <c r="S1" s="2006" t="s">
        <v>1704</v>
      </c>
      <c r="T1" s="2008" t="s">
        <v>1705</v>
      </c>
      <c r="U1" s="2006" t="s">
        <v>1706</v>
      </c>
      <c r="V1" s="2006" t="s">
        <v>1707</v>
      </c>
      <c r="W1" s="2006" t="s">
        <v>755</v>
      </c>
    </row>
    <row r="2" spans="1:23">
      <c r="A2" s="2010" t="s">
        <v>22</v>
      </c>
      <c r="B2" s="2010" t="s">
        <v>1708</v>
      </c>
      <c r="C2" s="2011" t="s">
        <v>760</v>
      </c>
      <c r="D2" s="2012" t="s">
        <v>1709</v>
      </c>
      <c r="E2" s="2012" t="s">
        <v>1710</v>
      </c>
      <c r="F2" s="2012" t="s">
        <v>1711</v>
      </c>
      <c r="G2" s="2012">
        <v>40</v>
      </c>
      <c r="H2" s="2012" t="s">
        <v>1711</v>
      </c>
      <c r="I2" s="2012" t="s">
        <v>1712</v>
      </c>
      <c r="J2" s="2012" t="s">
        <v>1713</v>
      </c>
      <c r="K2" s="2012" t="s">
        <v>1714</v>
      </c>
      <c r="L2" s="2012" t="s">
        <v>1714</v>
      </c>
      <c r="M2" s="2012" t="s">
        <v>1714</v>
      </c>
      <c r="N2" s="2012" t="s">
        <v>1714</v>
      </c>
      <c r="O2" s="2012" t="s">
        <v>1714</v>
      </c>
      <c r="P2" s="2012" t="s">
        <v>1714</v>
      </c>
      <c r="Q2" s="2012" t="s">
        <v>1714</v>
      </c>
      <c r="R2" s="2012" t="s">
        <v>1140</v>
      </c>
      <c r="S2" s="2012" t="s">
        <v>1714</v>
      </c>
      <c r="T2" s="2012" t="s">
        <v>1715</v>
      </c>
      <c r="U2" s="2012" t="s">
        <v>1714</v>
      </c>
      <c r="V2" s="2012" t="s">
        <v>1716</v>
      </c>
      <c r="W2" s="2012" t="s">
        <v>1714</v>
      </c>
    </row>
    <row r="3" spans="1:23">
      <c r="A3" s="2010" t="s">
        <v>1717</v>
      </c>
      <c r="B3" s="2013" t="s">
        <v>1145</v>
      </c>
      <c r="C3" s="2014" t="s">
        <v>761</v>
      </c>
      <c r="D3" s="2012" t="s">
        <v>1718</v>
      </c>
      <c r="E3" s="2012" t="s">
        <v>16</v>
      </c>
      <c r="F3" s="2012" t="s">
        <v>1719</v>
      </c>
      <c r="G3" s="2012">
        <v>50</v>
      </c>
      <c r="H3" s="2012" t="s">
        <v>1719</v>
      </c>
      <c r="I3" s="2012" t="s">
        <v>1720</v>
      </c>
      <c r="J3" s="2012" t="s">
        <v>1721</v>
      </c>
      <c r="K3" s="2012" t="s">
        <v>1722</v>
      </c>
      <c r="L3" s="2012" t="s">
        <v>1722</v>
      </c>
      <c r="M3" s="2012" t="s">
        <v>1722</v>
      </c>
      <c r="N3" s="2012" t="s">
        <v>1722</v>
      </c>
      <c r="O3" s="2012" t="s">
        <v>1722</v>
      </c>
      <c r="P3" s="2012" t="s">
        <v>1722</v>
      </c>
      <c r="Q3" s="2012" t="s">
        <v>1722</v>
      </c>
      <c r="R3" s="2012" t="s">
        <v>1139</v>
      </c>
      <c r="S3" s="2012" t="s">
        <v>1722</v>
      </c>
      <c r="T3" s="2012" t="s">
        <v>1723</v>
      </c>
      <c r="U3" s="2012" t="s">
        <v>1722</v>
      </c>
      <c r="V3" s="2012" t="s">
        <v>1724</v>
      </c>
      <c r="W3" s="2012" t="s">
        <v>1722</v>
      </c>
    </row>
    <row r="4" spans="1:23">
      <c r="A4" s="2010" t="s">
        <v>1725</v>
      </c>
      <c r="B4" s="2010" t="s">
        <v>1726</v>
      </c>
      <c r="C4" s="2011" t="s">
        <v>762</v>
      </c>
      <c r="D4" s="2012" t="s">
        <v>868</v>
      </c>
      <c r="E4" s="2012" t="s">
        <v>1727</v>
      </c>
      <c r="F4" s="2012" t="s">
        <v>1728</v>
      </c>
      <c r="G4" s="2012">
        <v>70</v>
      </c>
      <c r="H4" s="2012" t="s">
        <v>1728</v>
      </c>
      <c r="I4" s="2012" t="s">
        <v>1729</v>
      </c>
      <c r="K4" s="2012" t="s">
        <v>1730</v>
      </c>
      <c r="L4" s="2012" t="s">
        <v>1730</v>
      </c>
      <c r="M4" s="2012" t="s">
        <v>1730</v>
      </c>
      <c r="N4" s="2012" t="s">
        <v>1730</v>
      </c>
      <c r="O4" s="2012" t="s">
        <v>1730</v>
      </c>
      <c r="P4" s="2012" t="s">
        <v>1730</v>
      </c>
      <c r="Q4" s="2012" t="s">
        <v>1730</v>
      </c>
      <c r="R4" s="2012" t="s">
        <v>1141</v>
      </c>
      <c r="S4" s="2012" t="s">
        <v>1730</v>
      </c>
      <c r="T4" s="2012" t="s">
        <v>1731</v>
      </c>
      <c r="U4" s="2012" t="s">
        <v>1730</v>
      </c>
      <c r="W4" s="2012" t="s">
        <v>1730</v>
      </c>
    </row>
    <row r="5" spans="1:23">
      <c r="A5" s="2010" t="s">
        <v>1732</v>
      </c>
      <c r="B5" s="2010" t="s">
        <v>1733</v>
      </c>
      <c r="C5" s="2011" t="s">
        <v>763</v>
      </c>
      <c r="F5" s="2012" t="s">
        <v>1734</v>
      </c>
      <c r="H5" s="2012" t="s">
        <v>1735</v>
      </c>
      <c r="I5" s="2012" t="s">
        <v>1736</v>
      </c>
      <c r="K5" s="2012" t="s">
        <v>1737</v>
      </c>
      <c r="L5" s="2012" t="s">
        <v>1737</v>
      </c>
      <c r="M5" s="2012" t="s">
        <v>1737</v>
      </c>
      <c r="N5" s="2012" t="s">
        <v>1737</v>
      </c>
      <c r="O5" s="2012" t="s">
        <v>1737</v>
      </c>
      <c r="P5" s="2012" t="s">
        <v>1737</v>
      </c>
      <c r="Q5" s="2012" t="s">
        <v>1737</v>
      </c>
      <c r="R5" s="2012" t="s">
        <v>1142</v>
      </c>
      <c r="S5" s="2012" t="s">
        <v>1737</v>
      </c>
      <c r="T5" s="2012" t="s">
        <v>1738</v>
      </c>
      <c r="U5" s="2012" t="s">
        <v>1737</v>
      </c>
      <c r="W5" s="2012" t="s">
        <v>1737</v>
      </c>
    </row>
    <row r="6" spans="1:23">
      <c r="A6" s="2010" t="s">
        <v>1739</v>
      </c>
      <c r="B6" s="2013" t="s">
        <v>1146</v>
      </c>
      <c r="C6" s="2016" t="s">
        <v>30</v>
      </c>
      <c r="F6" s="2012" t="s">
        <v>1735</v>
      </c>
      <c r="H6" s="2012" t="s">
        <v>1740</v>
      </c>
      <c r="I6" s="2012" t="s">
        <v>1741</v>
      </c>
      <c r="K6" s="2012" t="s">
        <v>1742</v>
      </c>
      <c r="L6" s="2012" t="s">
        <v>1742</v>
      </c>
      <c r="M6" s="2012" t="s">
        <v>1742</v>
      </c>
      <c r="N6" s="2012" t="s">
        <v>1742</v>
      </c>
      <c r="O6" s="2012" t="s">
        <v>1742</v>
      </c>
      <c r="P6" s="2012" t="s">
        <v>1742</v>
      </c>
      <c r="Q6" s="2012" t="s">
        <v>1742</v>
      </c>
      <c r="R6" s="2012" t="s">
        <v>1143</v>
      </c>
      <c r="S6" s="2012" t="s">
        <v>1742</v>
      </c>
      <c r="T6" s="2012"/>
      <c r="U6" s="2012" t="s">
        <v>1742</v>
      </c>
      <c r="W6" s="2012" t="s">
        <v>1742</v>
      </c>
    </row>
    <row r="7" spans="1:23">
      <c r="A7" s="2010" t="s">
        <v>1743</v>
      </c>
      <c r="B7" s="2013" t="s">
        <v>1147</v>
      </c>
      <c r="C7" s="2011" t="s">
        <v>31</v>
      </c>
      <c r="F7" s="2012" t="s">
        <v>1744</v>
      </c>
      <c r="H7" s="2012" t="s">
        <v>1745</v>
      </c>
      <c r="I7" s="2012" t="s">
        <v>1746</v>
      </c>
    </row>
    <row r="8" spans="1:23">
      <c r="A8" s="2010" t="s">
        <v>1747</v>
      </c>
      <c r="B8" s="2010" t="s">
        <v>1748</v>
      </c>
      <c r="C8" s="2011" t="s">
        <v>764</v>
      </c>
      <c r="F8" s="2012" t="s">
        <v>1749</v>
      </c>
      <c r="H8" s="2012"/>
      <c r="I8" s="2012" t="s">
        <v>1750</v>
      </c>
    </row>
    <row r="9" spans="1:23">
      <c r="A9" s="2010" t="s">
        <v>1751</v>
      </c>
      <c r="B9" s="2010" t="s">
        <v>1752</v>
      </c>
      <c r="C9" s="2011" t="s">
        <v>765</v>
      </c>
      <c r="F9" s="2012" t="s">
        <v>1753</v>
      </c>
      <c r="H9" s="2012"/>
    </row>
    <row r="10" spans="1:23">
      <c r="A10" s="2010" t="s">
        <v>1754</v>
      </c>
      <c r="B10" s="2010" t="s">
        <v>1755</v>
      </c>
      <c r="C10" s="2011" t="s">
        <v>766</v>
      </c>
      <c r="F10" s="2012" t="s">
        <v>16</v>
      </c>
    </row>
    <row r="11" spans="1:23">
      <c r="A11" s="2010" t="s">
        <v>1756</v>
      </c>
      <c r="B11" s="2010" t="s">
        <v>1757</v>
      </c>
      <c r="C11" s="2011" t="s">
        <v>767</v>
      </c>
    </row>
    <row r="12" spans="1:23">
      <c r="A12" s="2010" t="s">
        <v>1758</v>
      </c>
      <c r="B12" s="2010" t="s">
        <v>1759</v>
      </c>
      <c r="C12" s="2011" t="s">
        <v>768</v>
      </c>
    </row>
    <row r="13" spans="1:23">
      <c r="A13" s="2010" t="s">
        <v>1760</v>
      </c>
      <c r="B13" s="2010" t="s">
        <v>1761</v>
      </c>
      <c r="C13" s="2011" t="s">
        <v>769</v>
      </c>
    </row>
    <row r="14" spans="1:23">
      <c r="A14" s="2010" t="s">
        <v>1762</v>
      </c>
      <c r="B14" s="2010" t="s">
        <v>1763</v>
      </c>
      <c r="C14" s="2012" t="s">
        <v>16</v>
      </c>
    </row>
    <row r="15" spans="1:23">
      <c r="A15" s="2010" t="s">
        <v>1764</v>
      </c>
      <c r="B15" s="2010" t="s">
        <v>1765</v>
      </c>
      <c r="C15" s="2011"/>
    </row>
    <row r="16" spans="1:23">
      <c r="A16" s="2010" t="s">
        <v>1766</v>
      </c>
      <c r="B16" s="2010" t="s">
        <v>756</v>
      </c>
      <c r="C16" s="2011"/>
    </row>
    <row r="17" spans="1:3">
      <c r="A17" s="2010" t="s">
        <v>1767</v>
      </c>
      <c r="B17" s="2010" t="s">
        <v>757</v>
      </c>
      <c r="C17" s="2011"/>
    </row>
    <row r="18" spans="1:3">
      <c r="A18" s="2010" t="s">
        <v>1768</v>
      </c>
      <c r="B18" s="2010" t="s">
        <v>3070</v>
      </c>
      <c r="C18" s="2011"/>
    </row>
    <row r="19" spans="1:3">
      <c r="A19" s="2010" t="s">
        <v>1769</v>
      </c>
      <c r="B19" s="2010" t="s">
        <v>3071</v>
      </c>
      <c r="C19" s="2011"/>
    </row>
    <row r="20" spans="1:3">
      <c r="A20" s="2010" t="s">
        <v>1770</v>
      </c>
      <c r="B20" s="2010" t="s">
        <v>3072</v>
      </c>
      <c r="C20" s="2011"/>
    </row>
    <row r="21" spans="1:3">
      <c r="A21" s="2010" t="s">
        <v>1771</v>
      </c>
      <c r="B21" s="2010" t="s">
        <v>757</v>
      </c>
      <c r="C21" s="2011"/>
    </row>
    <row r="22" spans="1:3">
      <c r="A22" s="2010" t="s">
        <v>1772</v>
      </c>
      <c r="B22" s="2010" t="s">
        <v>757</v>
      </c>
      <c r="C22" s="2011"/>
    </row>
    <row r="23" spans="1:3">
      <c r="A23" s="2010" t="s">
        <v>1773</v>
      </c>
      <c r="B23" s="2010" t="s">
        <v>757</v>
      </c>
      <c r="C23" s="2011"/>
    </row>
    <row r="24" spans="1:3">
      <c r="A24" s="2010" t="s">
        <v>1774</v>
      </c>
      <c r="B24" s="2010" t="s">
        <v>757</v>
      </c>
      <c r="C24" s="2011"/>
    </row>
    <row r="25" spans="1:3">
      <c r="A25" s="2010" t="s">
        <v>1775</v>
      </c>
      <c r="B25" s="2010" t="s">
        <v>757</v>
      </c>
      <c r="C25" s="2011"/>
    </row>
    <row r="26" spans="1:3">
      <c r="A26" s="2010" t="s">
        <v>1776</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105"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5"/>
      <c r="B54" s="2018" t="s">
        <v>864</v>
      </c>
      <c r="C54" s="2015" t="s">
        <v>1281</v>
      </c>
    </row>
    <row r="55" spans="1:4">
      <c r="A55" s="3105"/>
      <c r="B55" s="2018" t="s">
        <v>865</v>
      </c>
      <c r="C55" s="2015" t="s">
        <v>1282</v>
      </c>
    </row>
    <row r="56" spans="1:4">
      <c r="A56" s="3105"/>
      <c r="B56" s="2018" t="s">
        <v>866</v>
      </c>
      <c r="C56" s="2015" t="s">
        <v>1286</v>
      </c>
    </row>
    <row r="57" spans="1:4">
      <c r="A57" s="3105"/>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F13" sqref="F13"/>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62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1777</v>
      </c>
      <c r="B1" s="3114" t="str">
        <f>IF(B10="北京市","北京市",C10)&amp;F10&amp;IF(结果表!G1="在建","出让国有建设用地使用权及在建建筑物",IF(结果表!G1="土地","出让国有建设用地使用权",))&amp;B9&amp;"预评估"</f>
        <v>北京市海淀区西四环北路160号房地产抵押价值预评估</v>
      </c>
      <c r="C1" s="3115"/>
      <c r="D1" s="3115"/>
      <c r="E1" s="3115"/>
      <c r="F1" s="3115"/>
      <c r="G1" s="3115"/>
      <c r="H1" s="3115"/>
      <c r="I1" s="3116"/>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北京市海淀区西四环北路160号房地产抵押价值</v>
      </c>
    </row>
    <row r="2" spans="1:19" ht="18" customHeight="1">
      <c r="A2" s="2022" t="s">
        <v>1778</v>
      </c>
      <c r="B2" s="1035" t="s">
        <v>3032</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北京市海淀区西四环北路160号房地产</v>
      </c>
    </row>
    <row r="3" spans="1:19" ht="18" customHeight="1">
      <c r="A3" s="2031" t="s">
        <v>1779</v>
      </c>
      <c r="B3" s="2032">
        <v>43185</v>
      </c>
      <c r="C3" s="2033" t="s">
        <v>1780</v>
      </c>
      <c r="D3" s="2032">
        <f>B3</f>
        <v>43185</v>
      </c>
      <c r="E3" s="2022"/>
      <c r="F3" s="2022"/>
      <c r="G3" s="2022"/>
      <c r="H3" s="2022"/>
      <c r="I3" s="2022"/>
      <c r="J3" s="2022"/>
      <c r="K3" s="2023"/>
      <c r="L3" s="2024"/>
      <c r="M3" s="2024"/>
      <c r="N3" s="2025"/>
      <c r="O3" s="2026"/>
      <c r="P3" s="2025"/>
      <c r="Q3" s="2025"/>
      <c r="R3" s="2025"/>
      <c r="S3" s="2027"/>
    </row>
    <row r="4" spans="1:19" ht="18" customHeight="1" thickBot="1">
      <c r="A4" s="2034" t="s">
        <v>1781</v>
      </c>
      <c r="B4" s="2035"/>
      <c r="C4" s="1033">
        <f>SUMIF(注册房地产估价师,B4,估价师及机构信息!B3:B24)</f>
        <v>0</v>
      </c>
      <c r="D4" s="2035"/>
      <c r="E4" s="1034">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CONCATENATE(B4,"（注册号：",C4,")、",D4,"（注册号：",E4,")")</f>
        <v>（注册号：0)、（注册号：0)</v>
      </c>
      <c r="L4" s="2024"/>
      <c r="M4" s="2024"/>
      <c r="N4" s="2025"/>
      <c r="O4" s="2026"/>
      <c r="P4" s="2025"/>
      <c r="Q4" s="2025"/>
      <c r="R4" s="2025"/>
      <c r="S4" s="2027"/>
    </row>
    <row r="5" spans="1:19" ht="18" customHeight="1" thickTop="1">
      <c r="A5" s="2040" t="s">
        <v>1782</v>
      </c>
      <c r="B5" s="2041" t="str">
        <f>B6</f>
        <v>昆仑信托有限责任公司</v>
      </c>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1783</v>
      </c>
      <c r="B6" s="2943" t="s">
        <v>3033</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4" t="s">
        <v>1784</v>
      </c>
      <c r="B7" s="2048" t="str">
        <f>C11</f>
        <v>北京碧生源物业管理有限公司</v>
      </c>
      <c r="C7" s="2045"/>
      <c r="D7" s="2046"/>
      <c r="E7" s="2030"/>
      <c r="F7" s="2038"/>
      <c r="G7" s="2038"/>
      <c r="H7" s="2038"/>
      <c r="I7" s="2038"/>
      <c r="J7" s="2038"/>
      <c r="K7" s="2049"/>
      <c r="L7" s="2024"/>
      <c r="M7" s="2024"/>
      <c r="N7" s="2025"/>
      <c r="O7" s="2026"/>
      <c r="P7" s="2025"/>
      <c r="Q7" s="2025"/>
      <c r="R7" s="2025"/>
    </row>
    <row r="8" spans="1:19" ht="18" customHeight="1">
      <c r="A8" s="2044" t="s">
        <v>1785</v>
      </c>
      <c r="B8" s="2050" t="s">
        <v>3034</v>
      </c>
      <c r="C8" s="2051"/>
      <c r="D8" s="3117" t="s">
        <v>1786</v>
      </c>
      <c r="E8" s="2052" t="s">
        <v>3035</v>
      </c>
      <c r="F8" s="2053"/>
      <c r="G8" s="2022"/>
      <c r="H8" s="2022"/>
      <c r="I8" s="2022"/>
      <c r="J8" s="2038"/>
      <c r="K8" s="2039"/>
      <c r="L8" s="2024"/>
      <c r="M8" s="2024"/>
      <c r="N8" s="2025"/>
      <c r="O8" s="2026"/>
      <c r="P8" s="2025"/>
      <c r="Q8" s="2025"/>
      <c r="R8" s="2025"/>
    </row>
    <row r="9" spans="1:19" ht="18" customHeight="1" thickBot="1">
      <c r="A9" s="2036" t="s">
        <v>1787</v>
      </c>
      <c r="B9" s="2054" t="s">
        <v>3035</v>
      </c>
      <c r="C9" s="2055"/>
      <c r="D9" s="3118"/>
      <c r="E9" s="2054" t="s">
        <v>70</v>
      </c>
      <c r="F9" s="2056"/>
      <c r="G9" s="2057"/>
      <c r="H9" s="2057"/>
      <c r="I9" s="2057"/>
      <c r="J9" s="2038"/>
      <c r="K9" s="2049"/>
      <c r="L9" s="2024"/>
      <c r="M9" s="2024"/>
      <c r="N9" s="2025"/>
      <c r="O9" s="2026"/>
      <c r="P9" s="2025"/>
      <c r="Q9" s="2025"/>
      <c r="R9" s="2025"/>
    </row>
    <row r="10" spans="1:19" ht="18" customHeight="1" thickTop="1">
      <c r="A10" s="2058" t="s">
        <v>1788</v>
      </c>
      <c r="B10" s="2059" t="s">
        <v>3036</v>
      </c>
      <c r="C10" s="2060"/>
      <c r="D10" s="2043"/>
      <c r="E10" s="2061" t="s">
        <v>1789</v>
      </c>
      <c r="F10" s="2062" t="s">
        <v>3039</v>
      </c>
      <c r="G10" s="2063"/>
      <c r="H10" s="2064"/>
      <c r="I10" s="2043"/>
      <c r="J10" s="2038"/>
      <c r="K10" s="2049"/>
      <c r="L10" s="2024"/>
      <c r="M10" s="2024"/>
      <c r="N10" s="2025"/>
      <c r="O10" s="2026"/>
      <c r="P10" s="2025"/>
      <c r="Q10" s="2025"/>
      <c r="R10" s="2025"/>
    </row>
    <row r="11" spans="1:19" ht="18" customHeight="1">
      <c r="A11" s="2065" t="s">
        <v>1790</v>
      </c>
      <c r="B11" s="2066" t="s">
        <v>3037</v>
      </c>
      <c r="C11" s="2944" t="s">
        <v>3038</v>
      </c>
      <c r="D11" s="2067"/>
      <c r="E11" s="2038"/>
      <c r="F11" s="2038"/>
      <c r="G11" s="2038"/>
      <c r="H11" s="2038"/>
      <c r="I11" s="2038"/>
      <c r="J11" s="2038"/>
      <c r="K11" s="2049"/>
      <c r="L11" s="2024"/>
      <c r="M11" s="2024"/>
      <c r="N11" s="2025"/>
      <c r="O11" s="2026"/>
      <c r="P11" s="2025"/>
      <c r="Q11" s="2025"/>
      <c r="R11" s="2025"/>
    </row>
    <row r="12" spans="1:19" ht="18" customHeight="1">
      <c r="A12" s="2068" t="s">
        <v>1791</v>
      </c>
      <c r="B12" s="2066" t="s">
        <v>3099</v>
      </c>
      <c r="C12" s="2069" t="s">
        <v>1792</v>
      </c>
      <c r="D12" s="2070" t="s">
        <v>1793</v>
      </c>
      <c r="E12" s="2070" t="s">
        <v>1794</v>
      </c>
      <c r="F12" s="2070" t="s">
        <v>1795</v>
      </c>
      <c r="G12" s="2070" t="s">
        <v>1796</v>
      </c>
      <c r="H12" s="2070" t="s">
        <v>1797</v>
      </c>
      <c r="I12" s="2070" t="s">
        <v>1798</v>
      </c>
      <c r="J12" s="2038"/>
      <c r="K12" s="2049"/>
      <c r="L12" s="2024"/>
      <c r="M12" s="2024"/>
      <c r="N12" s="2025"/>
      <c r="O12" s="2026"/>
      <c r="P12" s="2025"/>
      <c r="Q12" s="2025"/>
      <c r="R12" s="2025"/>
    </row>
    <row r="13" spans="1:19" ht="18" customHeight="1">
      <c r="A13" s="2071"/>
      <c r="B13" s="2072"/>
      <c r="C13" s="2073" t="s">
        <v>1799</v>
      </c>
      <c r="D13" s="2074"/>
      <c r="E13" s="2074">
        <v>54584</v>
      </c>
      <c r="F13" s="2074">
        <v>58236</v>
      </c>
      <c r="G13" s="2074">
        <v>58236</v>
      </c>
      <c r="H13" s="2074"/>
      <c r="I13" s="1043"/>
      <c r="J13" s="2038"/>
      <c r="K13" s="2049"/>
      <c r="L13" s="2024"/>
      <c r="M13" s="2024"/>
      <c r="N13" s="2025"/>
      <c r="O13" s="2026"/>
      <c r="P13" s="2025"/>
      <c r="Q13" s="2025"/>
      <c r="R13" s="2025"/>
    </row>
    <row r="14" spans="1:19" ht="18" customHeight="1">
      <c r="A14" s="2071"/>
      <c r="B14" s="2072"/>
      <c r="C14" s="2073" t="s">
        <v>1800</v>
      </c>
      <c r="D14" s="1046"/>
      <c r="E14" s="1046">
        <v>40</v>
      </c>
      <c r="F14" s="1046">
        <v>50</v>
      </c>
      <c r="G14" s="1046">
        <v>50</v>
      </c>
      <c r="H14" s="1046"/>
      <c r="I14" s="1046"/>
      <c r="J14" s="2038"/>
      <c r="K14" s="2075"/>
      <c r="L14" s="2024"/>
      <c r="M14" s="2024"/>
      <c r="N14" s="2025"/>
      <c r="O14" s="2026"/>
      <c r="P14" s="2025"/>
      <c r="Q14" s="2025"/>
      <c r="R14" s="2025"/>
    </row>
    <row r="15" spans="1:19" ht="18" customHeight="1">
      <c r="A15" s="2058"/>
      <c r="B15" s="2076"/>
      <c r="C15" s="2073" t="s">
        <v>1801</v>
      </c>
      <c r="D15" s="1045" t="str">
        <f>IF(B12="出让",IF(D13="","",ROUNDDOWN(MIN((D13-$D$3)/365,D14),2)),D14)</f>
        <v/>
      </c>
      <c r="E15" s="1045">
        <f>IF(B12="出让",IF(E13="","",ROUNDDOWN(MIN((E13-$D$3)/365,E14),2)),E14)</f>
        <v>31.23</v>
      </c>
      <c r="F15" s="1045">
        <f>IF(B12="出让",IF(F13="","",ROUNDDOWN(MIN((F13-$D$3)/365,F14),2)),F14)</f>
        <v>41.23</v>
      </c>
      <c r="G15" s="1045">
        <f>IF(B12="出让",IF(G13="","",ROUNDDOWN(MIN((G13-$D$3)/365,G14),2)),G14)</f>
        <v>41.23</v>
      </c>
      <c r="H15" s="1045" t="str">
        <f>IF(B12="出让",IF(H13="","",ROUNDDOWN(MIN((H13-$D$3)/365,H14),2)),H14)</f>
        <v/>
      </c>
      <c r="I15" s="1045" t="str">
        <f>IF(B12="出让",IF(I13="","",ROUNDDOWN(MIN((I13-$D$3)/365,I14),2)),I14)</f>
        <v/>
      </c>
      <c r="J15" s="2038"/>
      <c r="K15" s="2077"/>
      <c r="L15" s="2078"/>
      <c r="M15" s="2078"/>
      <c r="N15" s="2079"/>
      <c r="O15" s="2078"/>
      <c r="P15" s="2079"/>
      <c r="Q15" s="2025"/>
      <c r="R15" s="2025"/>
    </row>
    <row r="16" spans="1:19" ht="30.75" customHeight="1">
      <c r="A16" s="2061" t="s">
        <v>1802</v>
      </c>
      <c r="B16" s="3124"/>
      <c r="C16" s="3125"/>
      <c r="D16" s="3126"/>
      <c r="E16" s="2080" t="s">
        <v>1803</v>
      </c>
      <c r="F16" s="3127"/>
      <c r="G16" s="3128"/>
      <c r="H16" s="3128"/>
      <c r="I16" s="3129"/>
      <c r="J16" s="2025"/>
      <c r="K16" s="2077"/>
      <c r="L16" s="2078"/>
      <c r="M16" s="2078"/>
      <c r="N16" s="2079"/>
      <c r="O16" s="2078"/>
      <c r="P16" s="2079"/>
      <c r="Q16" s="2025"/>
      <c r="R16" s="2025"/>
    </row>
    <row r="17" spans="1:22" ht="18" customHeight="1">
      <c r="A17" s="2081" t="s">
        <v>1804</v>
      </c>
      <c r="B17" s="2031" t="s">
        <v>1805</v>
      </c>
      <c r="C17" s="1050">
        <f>'数据-汇总表'!E3</f>
        <v>11628.210000000001</v>
      </c>
      <c r="D17" s="2082" t="s">
        <v>1806</v>
      </c>
      <c r="E17" s="3130" t="s">
        <v>3040</v>
      </c>
      <c r="F17" s="3131"/>
      <c r="G17" s="3131"/>
      <c r="H17" s="3131"/>
      <c r="I17" s="3132"/>
      <c r="J17" s="2025"/>
      <c r="K17" s="2083"/>
      <c r="L17" s="2078"/>
      <c r="M17" s="2078"/>
      <c r="N17" s="2079"/>
      <c r="O17" s="2078"/>
      <c r="P17" s="2079"/>
      <c r="Q17" s="2025"/>
      <c r="R17" s="2025"/>
      <c r="S17" s="2025"/>
      <c r="T17" s="2025"/>
      <c r="U17" s="2025"/>
      <c r="V17" s="2025"/>
    </row>
    <row r="18" spans="1:22" ht="36" customHeight="1" thickBot="1">
      <c r="A18" s="2084" t="s">
        <v>70</v>
      </c>
      <c r="B18" s="2034" t="s">
        <v>1807</v>
      </c>
      <c r="C18" s="1440">
        <f>'数据-汇总表'!D3</f>
        <v>966.97</v>
      </c>
      <c r="D18" s="2085" t="s">
        <v>1806</v>
      </c>
      <c r="E18" s="3133"/>
      <c r="F18" s="3134"/>
      <c r="G18" s="3134"/>
      <c r="H18" s="3134"/>
      <c r="I18" s="3135"/>
      <c r="J18" s="2025"/>
      <c r="K18" s="2083"/>
      <c r="L18" s="2078"/>
      <c r="M18" s="2078"/>
      <c r="N18" s="2079"/>
      <c r="O18" s="2078"/>
      <c r="P18" s="2079"/>
      <c r="Q18" s="2025"/>
      <c r="R18" s="2025"/>
      <c r="S18" s="2025"/>
      <c r="T18" s="2025"/>
      <c r="U18" s="2025"/>
      <c r="V18" s="2025"/>
    </row>
    <row r="19" spans="1:22" ht="37.5" customHeight="1" thickTop="1" thickBot="1">
      <c r="A19" s="373" t="s">
        <v>1808</v>
      </c>
      <c r="B19" s="352" t="s">
        <v>1809</v>
      </c>
      <c r="C19" s="2086" t="s">
        <v>3041</v>
      </c>
      <c r="D19" s="2087" t="s">
        <v>1810</v>
      </c>
      <c r="E19" s="2088" t="s">
        <v>70</v>
      </c>
      <c r="F19" s="2089" t="str">
        <f>IF(AND(C19="是",E19="否"),"是否提供他项权证或相关说明","")</f>
        <v/>
      </c>
      <c r="G19" s="2090"/>
      <c r="H19" s="2038"/>
      <c r="I19" s="2038"/>
      <c r="J19" s="2038"/>
      <c r="K19" s="2049"/>
      <c r="L19" s="2024"/>
      <c r="M19" s="2024"/>
      <c r="N19" s="2079"/>
      <c r="O19" s="2078"/>
      <c r="P19" s="2079"/>
      <c r="Q19" s="2025"/>
      <c r="R19" s="2025"/>
      <c r="S19" s="2025"/>
      <c r="T19" s="2025"/>
      <c r="U19" s="2025"/>
      <c r="V19" s="2025"/>
    </row>
    <row r="20" spans="1:22" ht="18" customHeight="1">
      <c r="A20" s="2091" t="s">
        <v>1811</v>
      </c>
      <c r="B20" s="3120" t="s">
        <v>1812</v>
      </c>
      <c r="C20" s="3121"/>
      <c r="D20" s="3122" t="s">
        <v>1813</v>
      </c>
      <c r="E20" s="3123"/>
      <c r="F20" s="2092" t="s">
        <v>1814</v>
      </c>
      <c r="G20" s="2038"/>
      <c r="H20" s="2038"/>
      <c r="I20" s="2038"/>
      <c r="J20" s="2038"/>
      <c r="K20" s="3119" t="s">
        <v>1815</v>
      </c>
      <c r="L20" s="746"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4"/>
      <c r="N20" s="2079"/>
      <c r="O20" s="2078"/>
      <c r="P20" s="2079"/>
      <c r="Q20" s="2025"/>
      <c r="R20" s="2025"/>
      <c r="S20" s="2025"/>
      <c r="T20" s="2025"/>
      <c r="U20" s="2025"/>
      <c r="V20" s="2025"/>
    </row>
    <row r="21" spans="1:22" ht="24.75" customHeight="1">
      <c r="A21" s="2091"/>
      <c r="B21" s="2093" t="s">
        <v>3042</v>
      </c>
      <c r="C21" s="2094" t="s">
        <v>3043</v>
      </c>
      <c r="D21" s="2095"/>
      <c r="E21" s="2096"/>
      <c r="F21" s="2097"/>
      <c r="G21" s="2038"/>
      <c r="H21" s="2038"/>
      <c r="I21" s="2038"/>
      <c r="J21" s="2038"/>
      <c r="K21" s="3119"/>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9"/>
      <c r="O21" s="2078"/>
      <c r="P21" s="2079"/>
      <c r="Q21" s="2025"/>
      <c r="R21" s="2025"/>
      <c r="S21" s="2025"/>
      <c r="T21" s="2025"/>
      <c r="U21" s="2025"/>
      <c r="V21" s="2025"/>
    </row>
    <row r="22" spans="1:22" ht="24.75" customHeight="1" thickBot="1">
      <c r="A22" s="2091"/>
      <c r="B22" s="2098"/>
      <c r="C22" s="2094"/>
      <c r="D22" s="2022"/>
      <c r="E22" s="2022"/>
      <c r="F22" s="2099"/>
      <c r="G22" s="2038"/>
      <c r="H22" s="2038"/>
      <c r="I22" s="2038"/>
      <c r="J22" s="2038"/>
      <c r="K22" s="3119"/>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1816</v>
      </c>
      <c r="B23" s="183" t="s">
        <v>1817</v>
      </c>
      <c r="C23" s="2101"/>
      <c r="D23" s="2102" t="s">
        <v>1817</v>
      </c>
      <c r="E23" s="2103"/>
      <c r="F23" s="2099"/>
      <c r="G23" s="2038"/>
      <c r="H23" s="2038"/>
      <c r="I23" s="2038"/>
      <c r="J23" s="2038"/>
      <c r="K23" s="2104"/>
      <c r="L23" s="746"/>
      <c r="M23" s="2024"/>
      <c r="N23" s="2079"/>
      <c r="O23" s="2078"/>
      <c r="P23" s="2079"/>
      <c r="Q23" s="2025"/>
      <c r="R23" s="2025"/>
      <c r="S23" s="2025"/>
      <c r="T23" s="2025"/>
      <c r="U23" s="2025"/>
      <c r="V23" s="2025"/>
    </row>
    <row r="24" spans="1:22" ht="18" customHeight="1">
      <c r="A24" s="2105"/>
      <c r="B24" s="183" t="s">
        <v>1818</v>
      </c>
      <c r="C24" s="2106"/>
      <c r="D24" s="2100" t="s">
        <v>1818</v>
      </c>
      <c r="E24" s="2107"/>
      <c r="F24" s="2099"/>
      <c r="G24" s="2038"/>
      <c r="H24" s="2038"/>
      <c r="I24" s="2038"/>
      <c r="J24" s="2038"/>
      <c r="K24" s="2104"/>
      <c r="L24" s="746"/>
      <c r="M24" s="2024"/>
      <c r="N24" s="2079"/>
      <c r="O24" s="2078"/>
      <c r="P24" s="2079"/>
      <c r="Q24" s="2025"/>
      <c r="R24" s="2025"/>
      <c r="S24" s="2025"/>
      <c r="T24" s="2025"/>
      <c r="U24" s="2025"/>
      <c r="V24" s="2025"/>
    </row>
    <row r="25" spans="1:22" ht="18" customHeight="1">
      <c r="A25" s="2105"/>
      <c r="B25" s="183" t="s">
        <v>1819</v>
      </c>
      <c r="C25" s="2106"/>
      <c r="D25" s="2100" t="s">
        <v>1819</v>
      </c>
      <c r="E25" s="2107"/>
      <c r="F25" s="2099"/>
      <c r="G25" s="2038"/>
      <c r="H25" s="2038"/>
      <c r="I25" s="2038"/>
      <c r="J25" s="2038"/>
      <c r="K25" s="2049"/>
      <c r="L25" s="2024"/>
      <c r="M25" s="2024"/>
      <c r="N25" s="2079"/>
      <c r="O25" s="2078"/>
      <c r="P25" s="2079"/>
      <c r="Q25" s="2025"/>
      <c r="R25" s="2025"/>
      <c r="S25" s="2025"/>
      <c r="T25" s="2025"/>
      <c r="U25" s="2025"/>
      <c r="V25" s="2025"/>
    </row>
    <row r="26" spans="1:22" ht="18" customHeight="1" thickBot="1">
      <c r="A26" s="2108"/>
      <c r="B26" s="2109" t="s">
        <v>1820</v>
      </c>
      <c r="C26" s="2110"/>
      <c r="D26" s="2111" t="s">
        <v>1821</v>
      </c>
      <c r="E26" s="2112"/>
      <c r="F26" s="2113"/>
      <c r="G26" s="2057"/>
      <c r="H26" s="2057"/>
      <c r="I26" s="2057"/>
      <c r="J26" s="2038"/>
      <c r="K26" s="2049"/>
      <c r="L26" s="2024"/>
      <c r="M26" s="2024"/>
      <c r="N26" s="2079"/>
      <c r="O26" s="2078"/>
      <c r="P26" s="2079"/>
      <c r="Q26" s="2025"/>
      <c r="R26" s="2025"/>
      <c r="S26" s="2025"/>
      <c r="T26" s="2025"/>
      <c r="U26" s="2025"/>
      <c r="V26" s="2025"/>
    </row>
    <row r="27" spans="1:22" ht="18" customHeight="1" thickTop="1">
      <c r="A27" s="3107" t="s">
        <v>1822</v>
      </c>
      <c r="B27" s="2058" t="s">
        <v>1823</v>
      </c>
      <c r="C27" s="2114" t="s">
        <v>3044</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107"/>
      <c r="B28" s="2031" t="s">
        <v>1824</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107"/>
      <c r="B29" s="2031" t="s">
        <v>1825</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108"/>
      <c r="B30" s="2031" t="s">
        <v>1826</v>
      </c>
      <c r="C30" s="3109"/>
      <c r="D30" s="3110"/>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111" t="s">
        <v>1827</v>
      </c>
      <c r="B31" s="2121" t="s">
        <v>3045</v>
      </c>
      <c r="C31" s="2122" t="str">
        <f>IF(B31="现房","成新及维护状况正常否",IF(B31="在建","工程状态是否正常",IF(B31="土地","是否闲置","-")))</f>
        <v>成新及维护状况正常否</v>
      </c>
      <c r="D31" s="2123"/>
      <c r="E31" s="2124"/>
      <c r="F31" s="2038"/>
      <c r="G31" s="2038"/>
      <c r="H31" s="2038"/>
      <c r="I31" s="2038"/>
      <c r="J31" s="2038"/>
      <c r="K31" s="2047"/>
      <c r="L31" s="2024"/>
      <c r="M31" s="2024"/>
      <c r="N31" s="2025"/>
      <c r="O31" s="2026"/>
      <c r="P31" s="2025"/>
      <c r="Q31" s="2025"/>
      <c r="R31" s="2025"/>
      <c r="S31" s="2025"/>
      <c r="T31" s="2025"/>
      <c r="U31" s="2025"/>
      <c r="V31" s="2025"/>
    </row>
    <row r="32" spans="1:22" ht="18" customHeight="1">
      <c r="A32" s="3112"/>
      <c r="B32" s="2121"/>
      <c r="C32" s="2122" t="str">
        <f>IF(B32="现房","成新及维护状况是否正常",IF(B32="在建","工程状态是否正常",IF(B32="土地","是否闲置","-")))</f>
        <v>-</v>
      </c>
      <c r="D32" s="2123"/>
      <c r="E32" s="2124"/>
      <c r="F32" s="2038"/>
      <c r="G32" s="2038"/>
      <c r="H32" s="2038"/>
      <c r="I32" s="2038"/>
      <c r="J32" s="2038"/>
      <c r="K32" s="2049"/>
      <c r="L32" s="2024"/>
      <c r="M32" s="2024"/>
      <c r="N32" s="2025"/>
      <c r="O32" s="2026"/>
      <c r="P32" s="2025"/>
      <c r="Q32" s="2025"/>
      <c r="R32" s="2025"/>
      <c r="S32" s="2025"/>
      <c r="T32" s="2025"/>
      <c r="U32" s="2025"/>
      <c r="V32" s="2025"/>
    </row>
    <row r="33" spans="1:22" ht="18" customHeight="1">
      <c r="A33" s="3112"/>
      <c r="B33" s="2125"/>
      <c r="C33" s="2065" t="str">
        <f>IF(B33="现房","成新及维护状况是否正常",IF(B33="在建","工程状态是否正常",IF(B33="土地","是否闲置","-")))</f>
        <v>-</v>
      </c>
      <c r="D33" s="2126"/>
      <c r="E33" s="2127"/>
      <c r="F33" s="2038"/>
      <c r="G33" s="2038"/>
      <c r="H33" s="2038"/>
      <c r="I33" s="2038"/>
      <c r="J33" s="2038"/>
      <c r="K33" s="2049"/>
      <c r="L33" s="2024"/>
      <c r="M33" s="2024"/>
      <c r="N33" s="2025"/>
      <c r="O33" s="2026"/>
      <c r="P33" s="2025"/>
      <c r="Q33" s="2025"/>
      <c r="R33" s="2025"/>
      <c r="S33" s="2025"/>
      <c r="T33" s="2025"/>
      <c r="U33" s="2025"/>
      <c r="V33" s="2025"/>
    </row>
    <row r="34" spans="1:22" ht="18" customHeight="1">
      <c r="A34" s="2031" t="s">
        <v>1828</v>
      </c>
      <c r="B34" s="2128" t="s">
        <v>3046</v>
      </c>
      <c r="C34" s="2128" t="s">
        <v>3047</v>
      </c>
      <c r="D34" s="2128" t="s">
        <v>3048</v>
      </c>
      <c r="E34" s="2128" t="s">
        <v>3049</v>
      </c>
      <c r="F34" s="2128" t="s">
        <v>3050</v>
      </c>
      <c r="G34" s="2128" t="s">
        <v>3051</v>
      </c>
      <c r="H34" s="2128"/>
      <c r="I34" s="2038"/>
      <c r="J34" s="2038"/>
      <c r="K34" s="1791">
        <f>COUNTIF(B34:H34,"——")</f>
        <v>0</v>
      </c>
      <c r="L34" s="2069" t="s">
        <v>1829</v>
      </c>
      <c r="M34" s="2069" t="s">
        <v>1830</v>
      </c>
      <c r="N34" s="2069" t="s">
        <v>1831</v>
      </c>
      <c r="O34" s="2069" t="s">
        <v>1832</v>
      </c>
      <c r="P34" s="2069" t="s">
        <v>1833</v>
      </c>
      <c r="Q34" s="2069" t="s">
        <v>1834</v>
      </c>
      <c r="R34" s="2069" t="s">
        <v>1835</v>
      </c>
      <c r="S34" s="3106" t="s">
        <v>1836</v>
      </c>
      <c r="T34" s="2129" t="str">
        <f>NUMBERSTRING(7-K34,1)&amp;"通"</f>
        <v>七通</v>
      </c>
      <c r="U34" s="2025"/>
      <c r="V34" s="2025"/>
    </row>
    <row r="35" spans="1:22" ht="18" customHeight="1">
      <c r="A35" s="2130"/>
      <c r="B35" s="3113" t="s">
        <v>1837</v>
      </c>
      <c r="C35" s="3113"/>
      <c r="D35" s="3113"/>
      <c r="E35" s="3113"/>
      <c r="F35" s="2131">
        <f>C10</f>
        <v>0</v>
      </c>
      <c r="G35" s="2038"/>
      <c r="H35" s="2038"/>
      <c r="I35" s="2038"/>
      <c r="J35" s="2038"/>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106"/>
      <c r="T35" s="48" t="str">
        <f>IF(T34="一通",L35,IF(T34="二通",M35,IF(T34="三通",N35,IF(T34="四通",O35,IF(T34="五通",P35,IF(T34="六通",Q35,R35))))))</f>
        <v>通路、通电、通讯、通上水、通下水、通热、</v>
      </c>
      <c r="U35" s="2025"/>
      <c r="V35" s="2025"/>
    </row>
    <row r="36" spans="1:22" ht="18" customHeight="1">
      <c r="A36" s="2132"/>
      <c r="B36" s="2131" t="s">
        <v>1838</v>
      </c>
      <c r="C36" s="2131" t="s">
        <v>1839</v>
      </c>
      <c r="D36" s="2131" t="s">
        <v>1840</v>
      </c>
      <c r="E36" s="2131" t="s">
        <v>1841</v>
      </c>
      <c r="F36" s="2133"/>
      <c r="G36" s="2038"/>
      <c r="H36" s="2038"/>
      <c r="I36" s="2038"/>
      <c r="J36" s="2038"/>
      <c r="K36" s="2049"/>
      <c r="L36" s="2024"/>
      <c r="M36" s="2024"/>
      <c r="N36" s="2025"/>
      <c r="O36" s="2026"/>
      <c r="P36" s="2025"/>
      <c r="Q36" s="2025"/>
      <c r="R36" s="2025"/>
      <c r="S36" s="2025"/>
      <c r="T36" s="2025"/>
      <c r="U36" s="2025"/>
      <c r="V36" s="2025"/>
    </row>
    <row r="37" spans="1:22" ht="18" customHeight="1">
      <c r="A37" s="2134" t="s">
        <v>1842</v>
      </c>
      <c r="B37" s="2135"/>
      <c r="C37" s="2135"/>
      <c r="D37" s="2135"/>
      <c r="E37" s="2135"/>
      <c r="F37" s="2133"/>
      <c r="G37" s="2038"/>
      <c r="H37" s="2038"/>
      <c r="I37" s="2038"/>
      <c r="J37" s="2038"/>
      <c r="K37" s="2049"/>
      <c r="L37" s="2024"/>
      <c r="M37" s="2024"/>
      <c r="N37" s="2025"/>
      <c r="O37" s="2026"/>
      <c r="P37" s="2025"/>
      <c r="Q37" s="2025"/>
      <c r="R37" s="2025"/>
      <c r="S37" s="2025"/>
      <c r="T37" s="2025"/>
      <c r="U37" s="2025"/>
      <c r="V37" s="2025"/>
    </row>
    <row r="38" spans="1:22" ht="18" customHeight="1" thickBot="1">
      <c r="A38" s="2136" t="s">
        <v>1843</v>
      </c>
      <c r="B38" s="2137"/>
      <c r="C38" s="2137"/>
      <c r="D38" s="2137"/>
      <c r="E38" s="2137"/>
      <c r="F38" s="2138"/>
      <c r="G38" s="2057"/>
      <c r="H38" s="2057"/>
      <c r="I38" s="2057"/>
      <c r="J38" s="2038"/>
      <c r="K38" s="2049"/>
      <c r="L38" s="2024"/>
      <c r="M38" s="2024"/>
      <c r="N38" s="2025"/>
      <c r="O38" s="2026"/>
      <c r="P38" s="2025"/>
      <c r="Q38" s="2025"/>
      <c r="R38" s="2025"/>
      <c r="S38" s="2025"/>
      <c r="T38" s="2025"/>
      <c r="U38" s="2025"/>
      <c r="V38" s="2025"/>
    </row>
    <row r="39" spans="1:22" s="2143" customFormat="1" ht="18" customHeight="1" thickTop="1" thickBot="1">
      <c r="A39" s="2139" t="s">
        <v>1844</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4"/>
      <c r="L40" s="2078"/>
      <c r="M40" s="2078"/>
      <c r="N40" s="2079"/>
      <c r="O40" s="2078"/>
      <c r="P40" s="2025"/>
      <c r="Q40" s="2025"/>
      <c r="R40" s="2025"/>
      <c r="S40" s="2025"/>
      <c r="T40" s="2025"/>
      <c r="U40" s="2025"/>
      <c r="V40" s="2025"/>
    </row>
    <row r="41" spans="1:22" ht="18" customHeight="1">
      <c r="A41" s="8" t="s">
        <v>1845</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1846</v>
      </c>
      <c r="B42" s="1791" t="s">
        <v>1847</v>
      </c>
      <c r="C42" s="1791" t="s">
        <v>1848</v>
      </c>
      <c r="D42" s="1791" t="s">
        <v>1849</v>
      </c>
      <c r="E42" s="1791" t="s">
        <v>1850</v>
      </c>
      <c r="F42" s="1791" t="s">
        <v>1851</v>
      </c>
      <c r="G42" s="1791" t="s">
        <v>1852</v>
      </c>
      <c r="H42" s="1791" t="s">
        <v>1853</v>
      </c>
      <c r="I42" s="1791" t="s">
        <v>1854</v>
      </c>
      <c r="J42" s="2147" t="s">
        <v>1855</v>
      </c>
      <c r="K42" s="2070" t="s">
        <v>1856</v>
      </c>
      <c r="L42" s="2070" t="s">
        <v>1857</v>
      </c>
      <c r="M42" s="2070" t="s">
        <v>1858</v>
      </c>
      <c r="N42" s="1791" t="s">
        <v>1859</v>
      </c>
      <c r="O42" s="1791" t="s">
        <v>1860</v>
      </c>
      <c r="P42" s="1791" t="s">
        <v>1861</v>
      </c>
      <c r="Q42" s="2069" t="s">
        <v>1862</v>
      </c>
      <c r="R42" s="2069" t="s">
        <v>1863</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9"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14" sqref="N1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hidden="1" customWidth="1"/>
    <col min="16" max="16" width="9.625" style="2154" hidden="1" customWidth="1"/>
    <col min="17" max="17" width="9.375" style="2154" hidden="1" customWidth="1"/>
    <col min="18" max="18" width="9.125" style="2154" hidden="1" customWidth="1"/>
    <col min="19" max="19" width="10.875" style="2154" hidden="1" customWidth="1"/>
    <col min="20" max="21" width="10.625" style="2154" hidden="1" customWidth="1"/>
    <col min="22" max="22" width="10.875" style="2154" hidden="1" customWidth="1"/>
    <col min="23" max="27" width="10.625" style="2154" hidden="1" customWidth="1"/>
    <col min="28" max="28" width="10.875" style="2154" hidden="1" customWidth="1"/>
    <col min="29" max="29" width="11" style="2154" bestFit="1" customWidth="1"/>
    <col min="30" max="30" width="10" style="2154" bestFit="1" customWidth="1"/>
    <col min="31" max="31" width="9.625" style="2154" customWidth="1"/>
    <col min="32" max="46" width="9.5" style="2154" customWidth="1"/>
    <col min="47" max="47" width="18.125" style="2154" customWidth="1"/>
    <col min="48" max="50" width="9.62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1866</v>
      </c>
      <c r="B2" s="11" t="s">
        <v>1867</v>
      </c>
      <c r="C2" s="11" t="s">
        <v>1868</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1869</v>
      </c>
      <c r="AZ2" s="1266" t="s">
        <v>1870</v>
      </c>
      <c r="BA2" s="11" t="s">
        <v>1871</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966.97</v>
      </c>
      <c r="B3" s="14">
        <f>IF(C3="否",G5-AT5,G5)</f>
        <v>11628.210000000001</v>
      </c>
      <c r="C3" s="2163" t="s">
        <v>1872</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1873</v>
      </c>
      <c r="B5" s="1799"/>
      <c r="C5" s="1799"/>
      <c r="D5" s="1802"/>
      <c r="E5" s="16" t="s">
        <v>1</v>
      </c>
      <c r="F5" s="16">
        <f>SUM(F13:F587)</f>
        <v>0</v>
      </c>
      <c r="G5" s="16">
        <f>SUM(G13:G587)</f>
        <v>11628.210000000001</v>
      </c>
      <c r="H5" s="16">
        <f t="shared" ref="H5:AT5" si="0">SUM(H13:H656)</f>
        <v>11628.210000000001</v>
      </c>
      <c r="I5" s="16">
        <f t="shared" si="0"/>
        <v>8532.39</v>
      </c>
      <c r="J5" s="16">
        <f t="shared" si="0"/>
        <v>0</v>
      </c>
      <c r="K5" s="16">
        <f t="shared" si="0"/>
        <v>2104.29</v>
      </c>
      <c r="L5" s="16">
        <f t="shared" si="0"/>
        <v>0</v>
      </c>
      <c r="M5" s="16">
        <f t="shared" si="0"/>
        <v>991.5300000000002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1873</v>
      </c>
      <c r="AW5" s="1799"/>
      <c r="AX5" s="1799"/>
      <c r="AY5" s="17" t="s">
        <v>3</v>
      </c>
      <c r="AZ5" s="18">
        <f t="shared" ref="AZ5:BT5" si="1">SUM(AZ13:AZ656)</f>
        <v>11628.210000000001</v>
      </c>
      <c r="BA5" s="18">
        <f t="shared" si="1"/>
        <v>11628.210000000001</v>
      </c>
      <c r="BB5" s="18">
        <f t="shared" si="1"/>
        <v>8532.39</v>
      </c>
      <c r="BC5" s="18">
        <f t="shared" si="1"/>
        <v>2104.29</v>
      </c>
      <c r="BD5" s="18">
        <f t="shared" si="1"/>
        <v>991.5300000000002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1874</v>
      </c>
      <c r="B6" s="2169"/>
      <c r="C6" s="2169"/>
      <c r="D6" s="2170"/>
      <c r="E6" s="16">
        <f>H6+AC6+AT6</f>
        <v>966.97</v>
      </c>
      <c r="F6" s="16" t="s">
        <v>1</v>
      </c>
      <c r="G6" s="16" t="s">
        <v>2</v>
      </c>
      <c r="H6" s="20">
        <f>SUMIF(I$12:AB$12,"总值",I6:AB6)</f>
        <v>966.97</v>
      </c>
      <c r="I6" s="16">
        <f t="shared" ref="I6:AB6" si="2">ROUND($A$3*I5/$B$3,2)</f>
        <v>709.53</v>
      </c>
      <c r="J6" s="16">
        <f t="shared" si="2"/>
        <v>0</v>
      </c>
      <c r="K6" s="16">
        <f t="shared" si="2"/>
        <v>174.99</v>
      </c>
      <c r="L6" s="16">
        <f t="shared" si="2"/>
        <v>0</v>
      </c>
      <c r="M6" s="16">
        <f t="shared" si="2"/>
        <v>82.45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1874</v>
      </c>
      <c r="AW6" s="2169"/>
      <c r="AX6" s="2169"/>
      <c r="AY6" s="21">
        <f>IF(AY3&gt;0,AY3,ROUND($A$3*AZ5/$B$3,2))</f>
        <v>966.97</v>
      </c>
      <c r="AZ6" s="16" t="s">
        <v>3</v>
      </c>
      <c r="BA6" s="16">
        <f>ROUND($AY$6*BA5/$AZ$5,2)</f>
        <v>966.97</v>
      </c>
      <c r="BB6" s="16">
        <f>ROUND($AY$6*BB5/$AZ$5,2)</f>
        <v>709.53</v>
      </c>
      <c r="BC6" s="16">
        <f t="shared" ref="BC6:BH6" si="4">ROUND($AY$6*BC5/$AZ$5,2)</f>
        <v>174.99</v>
      </c>
      <c r="BD6" s="16">
        <f t="shared" si="4"/>
        <v>82.45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1875</v>
      </c>
      <c r="B7" s="2104" t="s">
        <v>1876</v>
      </c>
      <c r="C7" s="2104" t="s">
        <v>1877</v>
      </c>
      <c r="D7" s="2104" t="s">
        <v>1878</v>
      </c>
      <c r="E7" s="2104" t="s">
        <v>1879</v>
      </c>
      <c r="F7" s="2104" t="s">
        <v>1880</v>
      </c>
      <c r="G7" s="2173" t="s">
        <v>1881</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1882</v>
      </c>
      <c r="AV7" s="23" t="s">
        <v>1883</v>
      </c>
      <c r="AW7" s="2161" t="s">
        <v>1884</v>
      </c>
      <c r="AX7" s="23" t="s">
        <v>1877</v>
      </c>
      <c r="AY7" s="1799" t="s">
        <v>1885</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1886</v>
      </c>
      <c r="H8" s="2179" t="s">
        <v>1887</v>
      </c>
      <c r="I8" s="2180"/>
      <c r="J8" s="1814"/>
      <c r="K8" s="1814"/>
      <c r="L8" s="1814"/>
      <c r="M8" s="1814"/>
      <c r="N8" s="1814"/>
      <c r="O8" s="1814"/>
      <c r="P8" s="1814"/>
      <c r="Q8" s="1814"/>
      <c r="R8" s="1814"/>
      <c r="S8" s="1814"/>
      <c r="T8" s="1814"/>
      <c r="U8" s="1814"/>
      <c r="V8" s="2181"/>
      <c r="W8" s="1814"/>
      <c r="X8" s="1814"/>
      <c r="Y8" s="1814"/>
      <c r="Z8" s="1814"/>
      <c r="AA8" s="2181"/>
      <c r="AB8" s="2182"/>
      <c r="AC8" s="977" t="s">
        <v>1888</v>
      </c>
      <c r="AD8" s="2183"/>
      <c r="AE8" s="2175"/>
      <c r="AF8" s="1814"/>
      <c r="AG8" s="1814"/>
      <c r="AH8" s="1814"/>
      <c r="AI8" s="1814"/>
      <c r="AJ8" s="1814"/>
      <c r="AK8" s="1814"/>
      <c r="AL8" s="1814"/>
      <c r="AM8" s="1814"/>
      <c r="AN8" s="1814"/>
      <c r="AO8" s="1814"/>
      <c r="AP8" s="1814"/>
      <c r="AQ8" s="1814"/>
      <c r="AR8" s="1814"/>
      <c r="AS8" s="1814"/>
      <c r="AT8" s="1288" t="s">
        <v>1889</v>
      </c>
      <c r="AU8" s="2177" t="s">
        <v>1890</v>
      </c>
      <c r="AV8" s="1288"/>
      <c r="AW8" s="2160"/>
      <c r="AX8" s="1288"/>
      <c r="AY8" s="2161" t="s">
        <v>1891</v>
      </c>
      <c r="AZ8" s="1813" t="s">
        <v>1892</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4" customFormat="1" ht="12.75">
      <c r="A9" s="2177"/>
      <c r="B9" s="2177"/>
      <c r="C9" s="2177"/>
      <c r="D9" s="2177"/>
      <c r="E9" s="2177"/>
      <c r="F9" s="2177"/>
      <c r="G9" s="1288"/>
      <c r="H9" s="2185" t="s">
        <v>1893</v>
      </c>
      <c r="I9" s="2186" t="s">
        <v>3057</v>
      </c>
      <c r="J9" s="977"/>
      <c r="K9" s="2186" t="s">
        <v>3057</v>
      </c>
      <c r="L9" s="977"/>
      <c r="M9" s="2186" t="s">
        <v>3058</v>
      </c>
      <c r="N9" s="977"/>
      <c r="O9" s="2186"/>
      <c r="P9" s="977"/>
      <c r="Q9" s="2186"/>
      <c r="R9" s="977"/>
      <c r="S9" s="2186"/>
      <c r="T9" s="977"/>
      <c r="U9" s="2186"/>
      <c r="V9" s="977"/>
      <c r="W9" s="2186"/>
      <c r="X9" s="2187"/>
      <c r="Y9" s="2186"/>
      <c r="Z9" s="977"/>
      <c r="AA9" s="2186"/>
      <c r="AB9" s="977"/>
      <c r="AC9" s="2178"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188"/>
      <c r="AT9" s="2177"/>
      <c r="AU9" s="2177" t="s">
        <v>1896</v>
      </c>
      <c r="AV9" s="1288"/>
      <c r="AW9" s="2160"/>
      <c r="AX9" s="1288"/>
      <c r="AY9" s="28"/>
      <c r="AZ9" s="28" t="s">
        <v>1886</v>
      </c>
      <c r="BA9" s="2189" t="s">
        <v>1897</v>
      </c>
      <c r="BB9" s="2190"/>
      <c r="BC9" s="1334"/>
      <c r="BD9" s="1334"/>
      <c r="BE9" s="1334"/>
      <c r="BF9" s="1334"/>
      <c r="BG9" s="1334"/>
      <c r="BH9" s="1334"/>
      <c r="BI9" s="1334"/>
      <c r="BJ9" s="1334"/>
      <c r="BK9" s="2191"/>
      <c r="BL9" s="15" t="s">
        <v>1898</v>
      </c>
      <c r="BM9" s="1814"/>
      <c r="BN9" s="2180"/>
      <c r="BO9" s="1814"/>
      <c r="BP9" s="1814"/>
      <c r="BQ9" s="1814"/>
      <c r="BR9" s="1814"/>
      <c r="BS9" s="1814"/>
      <c r="BT9" s="26"/>
    </row>
    <row r="10" spans="1:72" s="2184" customFormat="1" ht="12.75">
      <c r="A10" s="2177"/>
      <c r="B10" s="2177"/>
      <c r="C10" s="2177"/>
      <c r="D10" s="2177"/>
      <c r="E10" s="2177"/>
      <c r="F10" s="2177"/>
      <c r="G10" s="1288"/>
      <c r="H10" s="28"/>
      <c r="I10" s="2186" t="s">
        <v>27</v>
      </c>
      <c r="J10" s="977"/>
      <c r="K10" s="2192" t="s">
        <v>1377</v>
      </c>
      <c r="L10" s="977"/>
      <c r="M10" s="2192" t="s">
        <v>3059</v>
      </c>
      <c r="N10" s="977"/>
      <c r="O10" s="2192"/>
      <c r="P10" s="977"/>
      <c r="Q10" s="2192"/>
      <c r="R10" s="977"/>
      <c r="S10" s="2192"/>
      <c r="T10" s="977"/>
      <c r="U10" s="2192"/>
      <c r="V10" s="977"/>
      <c r="W10" s="2192"/>
      <c r="X10" s="977"/>
      <c r="Y10" s="2192"/>
      <c r="Z10" s="977"/>
      <c r="AA10" s="2192"/>
      <c r="AB10" s="977"/>
      <c r="AC10" s="1288"/>
      <c r="AD10" s="15" t="s">
        <v>1899</v>
      </c>
      <c r="AE10" s="2193"/>
      <c r="AF10" s="15" t="s">
        <v>1899</v>
      </c>
      <c r="AG10" s="2193"/>
      <c r="AH10" s="15" t="s">
        <v>1900</v>
      </c>
      <c r="AI10" s="2193"/>
      <c r="AJ10" s="15" t="s">
        <v>1900</v>
      </c>
      <c r="AK10" s="2193"/>
      <c r="AL10" s="15" t="s">
        <v>1901</v>
      </c>
      <c r="AM10" s="1294"/>
      <c r="AN10" s="15" t="s">
        <v>1901</v>
      </c>
      <c r="AO10" s="1294"/>
      <c r="AP10" s="15" t="s">
        <v>1902</v>
      </c>
      <c r="AQ10" s="1294"/>
      <c r="AR10" s="15" t="s">
        <v>1902</v>
      </c>
      <c r="AS10" s="1294"/>
      <c r="AT10" s="2177"/>
      <c r="AU10" s="2177"/>
      <c r="AV10" s="1288"/>
      <c r="AW10" s="2160"/>
      <c r="AX10" s="1288"/>
      <c r="AY10" s="28"/>
      <c r="AZ10" s="28"/>
      <c r="BA10" s="2194" t="s">
        <v>1893</v>
      </c>
      <c r="BB10" s="2195" t="str">
        <f>I9</f>
        <v>地上</v>
      </c>
      <c r="BC10" s="29" t="str">
        <f>K9</f>
        <v>地上</v>
      </c>
      <c r="BD10" s="29" t="str">
        <f>M9</f>
        <v>地下</v>
      </c>
      <c r="BE10" s="29">
        <f>O9</f>
        <v>0</v>
      </c>
      <c r="BF10" s="29">
        <f>Q9</f>
        <v>0</v>
      </c>
      <c r="BG10" s="29">
        <f>S9</f>
        <v>0</v>
      </c>
      <c r="BH10" s="29">
        <f>U9</f>
        <v>0</v>
      </c>
      <c r="BI10" s="29">
        <f>W9</f>
        <v>0</v>
      </c>
      <c r="BJ10" s="29">
        <f>Y9</f>
        <v>0</v>
      </c>
      <c r="BK10" s="29">
        <f>AA9</f>
        <v>0</v>
      </c>
      <c r="BL10" s="25" t="s">
        <v>1893</v>
      </c>
      <c r="BM10" s="1813" t="str">
        <f>AD9</f>
        <v>地上</v>
      </c>
      <c r="BN10" s="29" t="str">
        <f>AF9</f>
        <v>地下</v>
      </c>
      <c r="BO10" s="1813" t="str">
        <f>AH9</f>
        <v>地上</v>
      </c>
      <c r="BP10" s="29" t="str">
        <f>AJ9</f>
        <v>地下</v>
      </c>
      <c r="BQ10" s="1813" t="str">
        <f>AL9</f>
        <v>地上</v>
      </c>
      <c r="BR10" s="29" t="str">
        <f>AN9</f>
        <v>地下</v>
      </c>
      <c r="BS10" s="1813" t="str">
        <f>AP9</f>
        <v>地上</v>
      </c>
      <c r="BT10" s="2196" t="str">
        <f>AR9</f>
        <v>地下</v>
      </c>
    </row>
    <row r="11" spans="1:72" s="2184" customFormat="1" ht="12.75">
      <c r="A11" s="2177"/>
      <c r="B11" s="2177"/>
      <c r="C11" s="2177"/>
      <c r="D11" s="2177"/>
      <c r="E11" s="2177"/>
      <c r="F11" s="2177"/>
      <c r="G11" s="1288"/>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8"/>
      <c r="AD11" s="2199" t="s">
        <v>1903</v>
      </c>
      <c r="AE11" s="1815"/>
      <c r="AF11" s="2199" t="s">
        <v>1903</v>
      </c>
      <c r="AG11" s="1815"/>
      <c r="AH11" s="2199" t="s">
        <v>1904</v>
      </c>
      <c r="AI11" s="2200"/>
      <c r="AJ11" s="2199" t="s">
        <v>1904</v>
      </c>
      <c r="AK11" s="1815"/>
      <c r="AL11" s="1813"/>
      <c r="AM11" s="1815"/>
      <c r="AN11" s="1813"/>
      <c r="AO11" s="1815"/>
      <c r="AP11" s="1813"/>
      <c r="AQ11" s="1815"/>
      <c r="AR11" s="1813"/>
      <c r="AS11" s="1815"/>
      <c r="AT11" s="2160"/>
      <c r="AU11" s="2177"/>
      <c r="AV11" s="1288"/>
      <c r="AW11" s="2160"/>
      <c r="AX11" s="1288"/>
      <c r="AY11" s="28"/>
      <c r="AZ11" s="28"/>
      <c r="BA11" s="28"/>
      <c r="BB11" s="2182" t="str">
        <f>I10</f>
        <v>办公</v>
      </c>
      <c r="BC11" s="2182" t="str">
        <f>K10</f>
        <v>商业</v>
      </c>
      <c r="BD11" s="2182" t="str">
        <f>M10</f>
        <v>车库—办公</v>
      </c>
      <c r="BE11" s="2182">
        <f>O10</f>
        <v>0</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2"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8" t="s">
        <v>1906</v>
      </c>
      <c r="W12" s="11" t="s">
        <v>1905</v>
      </c>
      <c r="X12" s="11" t="s">
        <v>1906</v>
      </c>
      <c r="Y12" s="11" t="s">
        <v>1905</v>
      </c>
      <c r="Z12" s="11" t="s">
        <v>1906</v>
      </c>
      <c r="AA12" s="11" t="s">
        <v>1905</v>
      </c>
      <c r="AB12" s="11" t="s">
        <v>1906</v>
      </c>
      <c r="AC12" s="2204"/>
      <c r="AD12" s="1802"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2" t="s">
        <v>1906</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1268"/>
      <c r="C13" s="1268"/>
      <c r="D13" s="2208" t="s">
        <v>3052</v>
      </c>
      <c r="E13" s="16">
        <f>IF($C$3="是",ROUND($A$3*G13/$B$3,2),ROUND($A$3*(G13-AT13)/$B$3,2))</f>
        <v>966.97</v>
      </c>
      <c r="F13" s="32"/>
      <c r="G13" s="33">
        <f>H13+AC13+AT13</f>
        <v>11628.210000000001</v>
      </c>
      <c r="H13" s="20">
        <f>SUMIF(I$12:AB$12,"总值",I13:AB13)</f>
        <v>11628.210000000001</v>
      </c>
      <c r="I13" s="2209">
        <f>抵押物清单!I104</f>
        <v>8532.39</v>
      </c>
      <c r="J13" s="2209"/>
      <c r="K13" s="2209">
        <f>抵押物清单!I4</f>
        <v>2104.29</v>
      </c>
      <c r="L13" s="2209"/>
      <c r="M13" s="2209">
        <f>抵押物清单!I128</f>
        <v>991.5300000000002</v>
      </c>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2">
        <f>ROUND($AY$6*AZ13/$AZ$5,2)</f>
        <v>966.97</v>
      </c>
      <c r="AZ13" s="16">
        <f>BA13+BL13</f>
        <v>11628.210000000001</v>
      </c>
      <c r="BA13" s="16">
        <f>SUM(BB13:BK13)</f>
        <v>11628.210000000001</v>
      </c>
      <c r="BB13" s="16">
        <f>IF($D13="是",I13-J13,0)</f>
        <v>8532.39</v>
      </c>
      <c r="BC13" s="16">
        <f>IF($D13="是",K13-L13,0)</f>
        <v>2104.29</v>
      </c>
      <c r="BD13" s="16">
        <f>IF($D13="是",M13-N13,0)</f>
        <v>991.5300000000002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68"/>
      <c r="B14" s="1268"/>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1268"/>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8"/>
      <c r="B16" s="1268"/>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1268"/>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136" t="s">
        <v>0</v>
      </c>
      <c r="B1" s="3136" t="s">
        <v>4</v>
      </c>
      <c r="C1" s="3136" t="s">
        <v>5</v>
      </c>
      <c r="D1" s="3137" t="s">
        <v>53</v>
      </c>
      <c r="E1" s="3137" t="s">
        <v>54</v>
      </c>
      <c r="F1" s="3137"/>
      <c r="G1" s="3137"/>
      <c r="H1" s="3137"/>
      <c r="I1" s="3137"/>
      <c r="J1" s="3137"/>
      <c r="K1" s="3137"/>
      <c r="L1" s="3137"/>
      <c r="M1" s="3137"/>
    </row>
    <row r="2" spans="1:13" ht="27" customHeight="1">
      <c r="A2" s="3136"/>
      <c r="B2" s="3136"/>
      <c r="C2" s="3136"/>
      <c r="D2" s="3137"/>
      <c r="E2" s="3137" t="s">
        <v>37</v>
      </c>
      <c r="F2" s="3137" t="s">
        <v>38</v>
      </c>
      <c r="G2" s="3137"/>
      <c r="H2" s="3137"/>
      <c r="I2" s="3137"/>
      <c r="J2" s="3137" t="s">
        <v>39</v>
      </c>
      <c r="K2" s="3137"/>
      <c r="L2" s="3137"/>
      <c r="M2" s="3137"/>
    </row>
    <row r="3" spans="1:13" ht="28.5">
      <c r="A3" s="3136"/>
      <c r="B3" s="3136"/>
      <c r="C3" s="3136"/>
      <c r="D3" s="3137"/>
      <c r="E3" s="31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7" t="s">
        <v>55</v>
      </c>
      <c r="B9" s="3137"/>
      <c r="C9" s="31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5"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topLeftCell="A100" workbookViewId="0">
      <selection activeCell="D107" sqref="D107"/>
    </sheetView>
  </sheetViews>
  <sheetFormatPr defaultColWidth="8.875" defaultRowHeight="16.5"/>
  <cols>
    <col min="1" max="1" width="8.875" style="3015"/>
    <col min="2" max="2" width="20.375" style="3017" customWidth="1"/>
    <col min="3" max="3" width="19.125" style="3017" customWidth="1"/>
    <col min="4" max="4" width="20.625" style="3017" customWidth="1"/>
    <col min="5" max="5" width="19.125" style="3017" customWidth="1"/>
    <col min="6" max="6" width="10.625" style="3017" customWidth="1"/>
    <col min="7" max="7" width="13.125" style="3017" customWidth="1"/>
    <col min="8" max="8" width="10.625" style="3017" customWidth="1"/>
    <col min="9" max="9" width="12.375" style="3017" customWidth="1"/>
    <col min="10" max="10" width="9.125" style="3016" bestFit="1" customWidth="1"/>
    <col min="11" max="11" width="10.625" style="3016" bestFit="1" customWidth="1"/>
    <col min="12" max="12" width="9.125" style="3016" bestFit="1" customWidth="1"/>
    <col min="13" max="16384" width="8.875" style="3015"/>
  </cols>
  <sheetData>
    <row r="1" spans="1:12" ht="36.75" customHeight="1">
      <c r="A1" s="3033" t="s">
        <v>3670</v>
      </c>
      <c r="B1" s="3017" t="s">
        <v>3644</v>
      </c>
      <c r="C1" s="3017" t="s">
        <v>3643</v>
      </c>
      <c r="D1" s="3017" t="s">
        <v>3642</v>
      </c>
      <c r="E1" s="3017" t="s">
        <v>3641</v>
      </c>
      <c r="F1" s="3017" t="s">
        <v>3640</v>
      </c>
      <c r="G1" s="3017" t="s">
        <v>3639</v>
      </c>
      <c r="H1" s="3017" t="s">
        <v>3638</v>
      </c>
      <c r="I1" s="3017" t="s">
        <v>3637</v>
      </c>
    </row>
    <row r="2" spans="1:12" ht="36.75" customHeight="1">
      <c r="A2" s="3015">
        <v>1</v>
      </c>
      <c r="B2" s="3017" t="s">
        <v>3636</v>
      </c>
      <c r="C2" s="3017" t="s">
        <v>3346</v>
      </c>
      <c r="D2" s="3017" t="s">
        <v>3635</v>
      </c>
      <c r="E2" s="3017" t="s">
        <v>3634</v>
      </c>
      <c r="F2" s="3017" t="s">
        <v>3630</v>
      </c>
      <c r="G2" s="3017" t="s">
        <v>3342</v>
      </c>
      <c r="H2" s="3017">
        <v>1</v>
      </c>
      <c r="I2" s="3017">
        <v>864.49</v>
      </c>
      <c r="J2" s="3016">
        <v>55000</v>
      </c>
      <c r="K2" s="3016">
        <f>I2*J2</f>
        <v>47546950</v>
      </c>
    </row>
    <row r="3" spans="1:12" ht="36.75" customHeight="1">
      <c r="A3" s="3015">
        <v>2</v>
      </c>
      <c r="B3" s="3017" t="s">
        <v>3633</v>
      </c>
      <c r="C3" s="3017" t="s">
        <v>3346</v>
      </c>
      <c r="D3" s="3017" t="s">
        <v>3632</v>
      </c>
      <c r="E3" s="3017" t="s">
        <v>3631</v>
      </c>
      <c r="F3" s="3017" t="s">
        <v>3630</v>
      </c>
      <c r="G3" s="3017" t="s">
        <v>3342</v>
      </c>
      <c r="H3" s="3017">
        <v>2</v>
      </c>
      <c r="I3" s="3017">
        <v>1239.8</v>
      </c>
      <c r="J3" s="3016">
        <v>42000</v>
      </c>
      <c r="K3" s="3016">
        <f>I3*J3</f>
        <v>52071600</v>
      </c>
    </row>
    <row r="4" spans="1:12" s="3018" customFormat="1" ht="36.75" customHeight="1">
      <c r="B4" s="3020" t="s">
        <v>3629</v>
      </c>
      <c r="C4" s="3020"/>
      <c r="D4" s="3020"/>
      <c r="E4" s="3020"/>
      <c r="F4" s="3020"/>
      <c r="G4" s="3020"/>
      <c r="H4" s="3020"/>
      <c r="I4" s="3020">
        <f>SUM(I2:I3)</f>
        <v>2104.29</v>
      </c>
      <c r="J4" s="3019"/>
      <c r="K4" s="3019"/>
      <c r="L4" s="3019"/>
    </row>
    <row r="5" spans="1:12" ht="36.75" customHeight="1">
      <c r="A5" s="3015">
        <v>3</v>
      </c>
      <c r="B5" s="3017" t="s">
        <v>3628</v>
      </c>
      <c r="C5" s="3017" t="s">
        <v>3346</v>
      </c>
      <c r="D5" s="3017" t="s">
        <v>3627</v>
      </c>
      <c r="E5" s="3017" t="s">
        <v>3626</v>
      </c>
      <c r="F5" s="3017" t="s">
        <v>3343</v>
      </c>
      <c r="G5" s="3017" t="s">
        <v>3342</v>
      </c>
      <c r="H5" s="3017">
        <v>3</v>
      </c>
      <c r="I5" s="3017">
        <v>115.61</v>
      </c>
      <c r="K5" s="3016">
        <f>K2+K3</f>
        <v>99618550</v>
      </c>
      <c r="L5" s="3016">
        <f>K5/(I2+I3)</f>
        <v>47340.694486026165</v>
      </c>
    </row>
    <row r="6" spans="1:12" ht="36.75" customHeight="1">
      <c r="A6" s="3015">
        <v>4</v>
      </c>
      <c r="B6" s="3017" t="s">
        <v>3625</v>
      </c>
      <c r="C6" s="3017" t="s">
        <v>3346</v>
      </c>
      <c r="D6" s="3017" t="s">
        <v>3624</v>
      </c>
      <c r="E6" s="3017" t="s">
        <v>3623</v>
      </c>
      <c r="F6" s="3017" t="s">
        <v>3343</v>
      </c>
      <c r="G6" s="3017" t="s">
        <v>3342</v>
      </c>
      <c r="H6" s="3017">
        <v>3</v>
      </c>
      <c r="I6" s="3017">
        <v>114.51</v>
      </c>
    </row>
    <row r="7" spans="1:12" ht="36.75" customHeight="1">
      <c r="A7" s="3015">
        <v>5</v>
      </c>
      <c r="B7" s="3017" t="s">
        <v>3622</v>
      </c>
      <c r="C7" s="3017" t="s">
        <v>3346</v>
      </c>
      <c r="D7" s="3017" t="s">
        <v>3621</v>
      </c>
      <c r="E7" s="3017" t="s">
        <v>3620</v>
      </c>
      <c r="F7" s="3017" t="s">
        <v>3343</v>
      </c>
      <c r="G7" s="3017" t="s">
        <v>3342</v>
      </c>
      <c r="H7" s="3017">
        <v>3</v>
      </c>
      <c r="I7" s="3017">
        <v>110.69</v>
      </c>
    </row>
    <row r="8" spans="1:12" ht="36.75" customHeight="1">
      <c r="A8" s="3015">
        <v>6</v>
      </c>
      <c r="B8" s="3017" t="s">
        <v>3619</v>
      </c>
      <c r="C8" s="3017" t="s">
        <v>3346</v>
      </c>
      <c r="D8" s="3017" t="s">
        <v>3618</v>
      </c>
      <c r="E8" s="3017" t="s">
        <v>3617</v>
      </c>
      <c r="F8" s="3017" t="s">
        <v>3343</v>
      </c>
      <c r="G8" s="3017" t="s">
        <v>3342</v>
      </c>
      <c r="H8" s="3017">
        <v>3</v>
      </c>
      <c r="I8" s="3017">
        <v>104.89</v>
      </c>
    </row>
    <row r="9" spans="1:12" ht="36.75" customHeight="1">
      <c r="A9" s="3015">
        <v>7</v>
      </c>
      <c r="B9" s="3017" t="s">
        <v>3616</v>
      </c>
      <c r="C9" s="3017" t="s">
        <v>3346</v>
      </c>
      <c r="D9" s="3017" t="s">
        <v>3615</v>
      </c>
      <c r="E9" s="3017" t="s">
        <v>3614</v>
      </c>
      <c r="F9" s="3017" t="s">
        <v>3577</v>
      </c>
      <c r="G9" s="3017" t="s">
        <v>3576</v>
      </c>
      <c r="H9" s="3017">
        <v>3</v>
      </c>
      <c r="I9" s="3017">
        <v>57.51</v>
      </c>
    </row>
    <row r="10" spans="1:12" ht="36.75" customHeight="1">
      <c r="A10" s="3015">
        <v>8</v>
      </c>
      <c r="B10" s="3017" t="s">
        <v>3613</v>
      </c>
      <c r="C10" s="3017" t="s">
        <v>3574</v>
      </c>
      <c r="D10" s="3017" t="s">
        <v>3612</v>
      </c>
      <c r="E10" s="3017" t="s">
        <v>3611</v>
      </c>
      <c r="F10" s="3017" t="s">
        <v>3577</v>
      </c>
      <c r="G10" s="3017" t="s">
        <v>3576</v>
      </c>
      <c r="H10" s="3017">
        <v>3</v>
      </c>
      <c r="I10" s="3017">
        <v>79.48</v>
      </c>
    </row>
    <row r="11" spans="1:12" ht="36.75" customHeight="1">
      <c r="A11" s="3015">
        <v>9</v>
      </c>
      <c r="B11" s="3017" t="s">
        <v>3610</v>
      </c>
      <c r="C11" s="3017" t="s">
        <v>3574</v>
      </c>
      <c r="D11" s="3017" t="s">
        <v>3609</v>
      </c>
      <c r="E11" s="3017" t="s">
        <v>3608</v>
      </c>
      <c r="F11" s="3017" t="s">
        <v>3577</v>
      </c>
      <c r="G11" s="3017" t="s">
        <v>3576</v>
      </c>
      <c r="H11" s="3017">
        <v>3</v>
      </c>
      <c r="I11" s="3017">
        <v>77.11</v>
      </c>
    </row>
    <row r="12" spans="1:12" ht="36.75" customHeight="1">
      <c r="A12" s="3015">
        <v>10</v>
      </c>
      <c r="B12" s="3017" t="s">
        <v>3607</v>
      </c>
      <c r="C12" s="3017" t="s">
        <v>3574</v>
      </c>
      <c r="D12" s="3017" t="s">
        <v>3606</v>
      </c>
      <c r="E12" s="3017" t="s">
        <v>3605</v>
      </c>
      <c r="F12" s="3017" t="s">
        <v>3577</v>
      </c>
      <c r="G12" s="3017" t="s">
        <v>3576</v>
      </c>
      <c r="H12" s="3017">
        <v>3</v>
      </c>
      <c r="I12" s="3017">
        <v>77.11</v>
      </c>
    </row>
    <row r="13" spans="1:12" ht="36.75" customHeight="1">
      <c r="A13" s="3015">
        <v>11</v>
      </c>
      <c r="B13" s="3017" t="s">
        <v>3604</v>
      </c>
      <c r="C13" s="3017" t="s">
        <v>3574</v>
      </c>
      <c r="D13" s="3017" t="s">
        <v>3603</v>
      </c>
      <c r="E13" s="3017" t="s">
        <v>3602</v>
      </c>
      <c r="F13" s="3017" t="s">
        <v>3577</v>
      </c>
      <c r="G13" s="3017" t="s">
        <v>3576</v>
      </c>
      <c r="H13" s="3017">
        <v>3</v>
      </c>
      <c r="I13" s="3017">
        <v>77.11</v>
      </c>
    </row>
    <row r="14" spans="1:12" ht="36.75" customHeight="1">
      <c r="A14" s="3015">
        <v>12</v>
      </c>
      <c r="B14" s="3017" t="s">
        <v>3601</v>
      </c>
      <c r="C14" s="3017" t="s">
        <v>3574</v>
      </c>
      <c r="D14" s="3017" t="s">
        <v>3600</v>
      </c>
      <c r="E14" s="3017" t="s">
        <v>3599</v>
      </c>
      <c r="F14" s="3017" t="s">
        <v>3577</v>
      </c>
      <c r="G14" s="3017" t="s">
        <v>3576</v>
      </c>
      <c r="H14" s="3017">
        <v>3</v>
      </c>
      <c r="I14" s="3017">
        <v>77.11</v>
      </c>
    </row>
    <row r="15" spans="1:12" ht="36.75" customHeight="1">
      <c r="A15" s="3015">
        <v>13</v>
      </c>
      <c r="B15" s="3017" t="s">
        <v>3598</v>
      </c>
      <c r="C15" s="3017" t="s">
        <v>3574</v>
      </c>
      <c r="D15" s="3017" t="s">
        <v>3597</v>
      </c>
      <c r="E15" s="3017" t="s">
        <v>3596</v>
      </c>
      <c r="F15" s="3017" t="s">
        <v>3577</v>
      </c>
      <c r="G15" s="3017" t="s">
        <v>3576</v>
      </c>
      <c r="H15" s="3017">
        <v>3</v>
      </c>
      <c r="I15" s="3017">
        <v>76.680000000000007</v>
      </c>
    </row>
    <row r="16" spans="1:12" ht="36.75" customHeight="1">
      <c r="A16" s="3015">
        <v>14</v>
      </c>
      <c r="B16" s="3017" t="s">
        <v>3595</v>
      </c>
      <c r="C16" s="3017" t="s">
        <v>3574</v>
      </c>
      <c r="D16" s="3017" t="s">
        <v>3594</v>
      </c>
      <c r="E16" s="3017" t="s">
        <v>3593</v>
      </c>
      <c r="F16" s="3017" t="s">
        <v>3577</v>
      </c>
      <c r="G16" s="3017" t="s">
        <v>3576</v>
      </c>
      <c r="H16" s="3017">
        <v>4</v>
      </c>
      <c r="I16" s="3017">
        <v>107.34</v>
      </c>
    </row>
    <row r="17" spans="1:9" ht="36.75" customHeight="1">
      <c r="A17" s="3015">
        <v>15</v>
      </c>
      <c r="B17" s="3017" t="s">
        <v>3592</v>
      </c>
      <c r="C17" s="3017" t="s">
        <v>3574</v>
      </c>
      <c r="D17" s="3017" t="s">
        <v>3591</v>
      </c>
      <c r="E17" s="3017" t="s">
        <v>3590</v>
      </c>
      <c r="F17" s="3017" t="s">
        <v>3577</v>
      </c>
      <c r="G17" s="3017" t="s">
        <v>3576</v>
      </c>
      <c r="H17" s="3017">
        <v>4</v>
      </c>
      <c r="I17" s="3017">
        <v>106.36</v>
      </c>
    </row>
    <row r="18" spans="1:9" ht="36.75" customHeight="1">
      <c r="A18" s="3015">
        <v>16</v>
      </c>
      <c r="B18" s="3017" t="s">
        <v>3589</v>
      </c>
      <c r="C18" s="3017" t="s">
        <v>3574</v>
      </c>
      <c r="D18" s="3017" t="s">
        <v>3588</v>
      </c>
      <c r="E18" s="3017" t="s">
        <v>3587</v>
      </c>
      <c r="F18" s="3017" t="s">
        <v>3577</v>
      </c>
      <c r="G18" s="3017" t="s">
        <v>3576</v>
      </c>
      <c r="H18" s="3017">
        <v>4</v>
      </c>
      <c r="I18" s="3017">
        <v>106.03</v>
      </c>
    </row>
    <row r="19" spans="1:9" ht="36.75" customHeight="1">
      <c r="A19" s="3015">
        <v>17</v>
      </c>
      <c r="B19" s="3017" t="s">
        <v>3586</v>
      </c>
      <c r="C19" s="3017" t="s">
        <v>3574</v>
      </c>
      <c r="D19" s="3017" t="s">
        <v>3585</v>
      </c>
      <c r="E19" s="3017" t="s">
        <v>3584</v>
      </c>
      <c r="F19" s="3017" t="s">
        <v>3577</v>
      </c>
      <c r="G19" s="3017" t="s">
        <v>3576</v>
      </c>
      <c r="H19" s="3017">
        <v>4</v>
      </c>
      <c r="I19" s="3017">
        <v>100.47</v>
      </c>
    </row>
    <row r="20" spans="1:9" ht="36.75" customHeight="1">
      <c r="A20" s="3015">
        <v>18</v>
      </c>
      <c r="B20" s="3017" t="s">
        <v>3583</v>
      </c>
      <c r="C20" s="3017" t="s">
        <v>3574</v>
      </c>
      <c r="D20" s="3017" t="s">
        <v>3582</v>
      </c>
      <c r="E20" s="3017" t="s">
        <v>3581</v>
      </c>
      <c r="F20" s="3017" t="s">
        <v>3577</v>
      </c>
      <c r="G20" s="3017" t="s">
        <v>3576</v>
      </c>
      <c r="H20" s="3017">
        <v>4</v>
      </c>
      <c r="I20" s="3017">
        <v>55.09</v>
      </c>
    </row>
    <row r="21" spans="1:9" ht="36.75" customHeight="1">
      <c r="A21" s="3015">
        <v>19</v>
      </c>
      <c r="B21" s="3017" t="s">
        <v>3580</v>
      </c>
      <c r="C21" s="3017" t="s">
        <v>3574</v>
      </c>
      <c r="D21" s="3017" t="s">
        <v>3579</v>
      </c>
      <c r="E21" s="3017" t="s">
        <v>3578</v>
      </c>
      <c r="F21" s="3017" t="s">
        <v>3577</v>
      </c>
      <c r="G21" s="3017" t="s">
        <v>3576</v>
      </c>
      <c r="H21" s="3017">
        <v>4</v>
      </c>
      <c r="I21" s="3017">
        <v>76.13</v>
      </c>
    </row>
    <row r="22" spans="1:9" ht="36.75" customHeight="1">
      <c r="A22" s="3015">
        <v>20</v>
      </c>
      <c r="B22" s="3017" t="s">
        <v>3575</v>
      </c>
      <c r="C22" s="3017" t="s">
        <v>3574</v>
      </c>
      <c r="D22" s="3017" t="s">
        <v>3573</v>
      </c>
      <c r="E22" s="3017" t="s">
        <v>3572</v>
      </c>
      <c r="F22" s="3017" t="s">
        <v>3326</v>
      </c>
      <c r="G22" s="3017" t="s">
        <v>3269</v>
      </c>
      <c r="H22" s="3017">
        <v>4</v>
      </c>
      <c r="I22" s="3017">
        <v>73.86</v>
      </c>
    </row>
    <row r="23" spans="1:9" ht="36.75" customHeight="1">
      <c r="A23" s="3015">
        <v>21</v>
      </c>
      <c r="B23" s="3017" t="s">
        <v>3571</v>
      </c>
      <c r="C23" s="3017" t="s">
        <v>3267</v>
      </c>
      <c r="D23" s="3017" t="s">
        <v>3570</v>
      </c>
      <c r="E23" s="3017" t="s">
        <v>3569</v>
      </c>
      <c r="F23" s="3017" t="s">
        <v>3326</v>
      </c>
      <c r="G23" s="3017" t="s">
        <v>3269</v>
      </c>
      <c r="H23" s="3017">
        <v>4</v>
      </c>
      <c r="I23" s="3017">
        <v>73.86</v>
      </c>
    </row>
    <row r="24" spans="1:9" ht="36.75" customHeight="1">
      <c r="A24" s="3015">
        <v>22</v>
      </c>
      <c r="B24" s="3017" t="s">
        <v>3568</v>
      </c>
      <c r="C24" s="3017" t="s">
        <v>3267</v>
      </c>
      <c r="D24" s="3017" t="s">
        <v>3567</v>
      </c>
      <c r="E24" s="3017" t="s">
        <v>3566</v>
      </c>
      <c r="F24" s="3017" t="s">
        <v>3326</v>
      </c>
      <c r="G24" s="3017" t="s">
        <v>3269</v>
      </c>
      <c r="H24" s="3017">
        <v>4</v>
      </c>
      <c r="I24" s="3017">
        <v>73.86</v>
      </c>
    </row>
    <row r="25" spans="1:9" ht="36.75" customHeight="1">
      <c r="A25" s="3015">
        <v>23</v>
      </c>
      <c r="B25" s="3017" t="s">
        <v>3565</v>
      </c>
      <c r="C25" s="3017" t="s">
        <v>3267</v>
      </c>
      <c r="D25" s="3017" t="s">
        <v>3564</v>
      </c>
      <c r="E25" s="3017" t="s">
        <v>3563</v>
      </c>
      <c r="F25" s="3017" t="s">
        <v>3326</v>
      </c>
      <c r="G25" s="3017" t="s">
        <v>3269</v>
      </c>
      <c r="H25" s="3017">
        <v>4</v>
      </c>
      <c r="I25" s="3017">
        <v>73.86</v>
      </c>
    </row>
    <row r="26" spans="1:9" ht="36.75" customHeight="1">
      <c r="A26" s="3015">
        <v>24</v>
      </c>
      <c r="B26" s="3017" t="s">
        <v>3562</v>
      </c>
      <c r="C26" s="3017" t="s">
        <v>3267</v>
      </c>
      <c r="D26" s="3017" t="s">
        <v>3561</v>
      </c>
      <c r="E26" s="3017" t="s">
        <v>3560</v>
      </c>
      <c r="F26" s="3017" t="s">
        <v>3326</v>
      </c>
      <c r="G26" s="3017" t="s">
        <v>3269</v>
      </c>
      <c r="H26" s="3017">
        <v>4</v>
      </c>
      <c r="I26" s="3017">
        <v>73.45</v>
      </c>
    </row>
    <row r="27" spans="1:9" ht="36.75" customHeight="1">
      <c r="A27" s="3015">
        <v>25</v>
      </c>
      <c r="B27" s="3017" t="s">
        <v>3559</v>
      </c>
      <c r="C27" s="3017" t="s">
        <v>3267</v>
      </c>
      <c r="D27" s="3017" t="s">
        <v>3558</v>
      </c>
      <c r="E27" s="3017" t="s">
        <v>3557</v>
      </c>
      <c r="F27" s="3017" t="s">
        <v>3326</v>
      </c>
      <c r="G27" s="3017" t="s">
        <v>3269</v>
      </c>
      <c r="H27" s="3017">
        <v>5</v>
      </c>
      <c r="I27" s="3017">
        <v>108.69</v>
      </c>
    </row>
    <row r="28" spans="1:9" ht="36.75" customHeight="1">
      <c r="A28" s="3015">
        <v>26</v>
      </c>
      <c r="B28" s="3017" t="s">
        <v>3556</v>
      </c>
      <c r="C28" s="3017" t="s">
        <v>3267</v>
      </c>
      <c r="D28" s="3017" t="s">
        <v>3555</v>
      </c>
      <c r="E28" s="3017" t="s">
        <v>3554</v>
      </c>
      <c r="F28" s="3017" t="s">
        <v>3326</v>
      </c>
      <c r="G28" s="3017" t="s">
        <v>3269</v>
      </c>
      <c r="H28" s="3017">
        <v>5</v>
      </c>
      <c r="I28" s="3017">
        <v>107.7</v>
      </c>
    </row>
    <row r="29" spans="1:9" ht="36.75" customHeight="1">
      <c r="A29" s="3015">
        <v>27</v>
      </c>
      <c r="B29" s="3017" t="s">
        <v>3553</v>
      </c>
      <c r="C29" s="3017" t="s">
        <v>3267</v>
      </c>
      <c r="D29" s="3017" t="s">
        <v>3552</v>
      </c>
      <c r="E29" s="3017" t="s">
        <v>3551</v>
      </c>
      <c r="F29" s="3017" t="s">
        <v>3326</v>
      </c>
      <c r="G29" s="3017" t="s">
        <v>3269</v>
      </c>
      <c r="H29" s="3017">
        <v>5</v>
      </c>
      <c r="I29" s="3017">
        <v>107.37</v>
      </c>
    </row>
    <row r="30" spans="1:9" ht="36.75" customHeight="1">
      <c r="A30" s="3015">
        <v>28</v>
      </c>
      <c r="B30" s="3017" t="s">
        <v>3550</v>
      </c>
      <c r="C30" s="3017" t="s">
        <v>3267</v>
      </c>
      <c r="D30" s="3017" t="s">
        <v>3549</v>
      </c>
      <c r="E30" s="3017" t="s">
        <v>3548</v>
      </c>
      <c r="F30" s="3017" t="s">
        <v>3326</v>
      </c>
      <c r="G30" s="3017" t="s">
        <v>3269</v>
      </c>
      <c r="H30" s="3017">
        <v>5</v>
      </c>
      <c r="I30" s="3017">
        <v>101.74</v>
      </c>
    </row>
    <row r="31" spans="1:9" ht="36.75" customHeight="1">
      <c r="A31" s="3015">
        <v>29</v>
      </c>
      <c r="B31" s="3017" t="s">
        <v>3547</v>
      </c>
      <c r="C31" s="3017" t="s">
        <v>3267</v>
      </c>
      <c r="D31" s="3017" t="s">
        <v>3546</v>
      </c>
      <c r="E31" s="3017" t="s">
        <v>3545</v>
      </c>
      <c r="F31" s="3017" t="s">
        <v>3326</v>
      </c>
      <c r="G31" s="3017" t="s">
        <v>3269</v>
      </c>
      <c r="H31" s="3017">
        <v>5</v>
      </c>
      <c r="I31" s="3017">
        <v>55.79</v>
      </c>
    </row>
    <row r="32" spans="1:9" ht="36.75" customHeight="1">
      <c r="A32" s="3015">
        <v>30</v>
      </c>
      <c r="B32" s="3017" t="s">
        <v>3544</v>
      </c>
      <c r="C32" s="3017" t="s">
        <v>3267</v>
      </c>
      <c r="D32" s="3017" t="s">
        <v>3543</v>
      </c>
      <c r="E32" s="3017" t="s">
        <v>3542</v>
      </c>
      <c r="F32" s="3017" t="s">
        <v>3343</v>
      </c>
      <c r="G32" s="3017" t="s">
        <v>3342</v>
      </c>
      <c r="H32" s="3017">
        <v>5</v>
      </c>
      <c r="I32" s="3017">
        <v>77.09</v>
      </c>
    </row>
    <row r="33" spans="1:9" ht="36.75" customHeight="1">
      <c r="A33" s="3015">
        <v>31</v>
      </c>
      <c r="B33" s="3017" t="s">
        <v>3541</v>
      </c>
      <c r="C33" s="3017" t="s">
        <v>3346</v>
      </c>
      <c r="D33" s="3017" t="s">
        <v>3540</v>
      </c>
      <c r="E33" s="3017" t="s">
        <v>3539</v>
      </c>
      <c r="F33" s="3017" t="s">
        <v>3343</v>
      </c>
      <c r="G33" s="3017" t="s">
        <v>3342</v>
      </c>
      <c r="H33" s="3017">
        <v>5</v>
      </c>
      <c r="I33" s="3017">
        <v>74.790000000000006</v>
      </c>
    </row>
    <row r="34" spans="1:9" ht="36.75" customHeight="1">
      <c r="A34" s="3015">
        <v>32</v>
      </c>
      <c r="B34" s="3017" t="s">
        <v>3538</v>
      </c>
      <c r="C34" s="3017" t="s">
        <v>3346</v>
      </c>
      <c r="D34" s="3017" t="s">
        <v>3537</v>
      </c>
      <c r="E34" s="3017" t="s">
        <v>3536</v>
      </c>
      <c r="F34" s="3017" t="s">
        <v>3343</v>
      </c>
      <c r="G34" s="3017" t="s">
        <v>3342</v>
      </c>
      <c r="H34" s="3017">
        <v>5</v>
      </c>
      <c r="I34" s="3017">
        <v>74.790000000000006</v>
      </c>
    </row>
    <row r="35" spans="1:9" ht="36.75" customHeight="1">
      <c r="A35" s="3015">
        <v>33</v>
      </c>
      <c r="B35" s="3017" t="s">
        <v>3535</v>
      </c>
      <c r="C35" s="3017" t="s">
        <v>3346</v>
      </c>
      <c r="D35" s="3017" t="s">
        <v>3534</v>
      </c>
      <c r="E35" s="3017" t="s">
        <v>3533</v>
      </c>
      <c r="F35" s="3017" t="s">
        <v>3343</v>
      </c>
      <c r="G35" s="3017" t="s">
        <v>3342</v>
      </c>
      <c r="H35" s="3017">
        <v>5</v>
      </c>
      <c r="I35" s="3017">
        <v>74.790000000000006</v>
      </c>
    </row>
    <row r="36" spans="1:9" ht="36.75" customHeight="1">
      <c r="A36" s="3015">
        <v>34</v>
      </c>
      <c r="B36" s="3017" t="s">
        <v>3532</v>
      </c>
      <c r="C36" s="3017" t="s">
        <v>3346</v>
      </c>
      <c r="D36" s="3017" t="s">
        <v>3531</v>
      </c>
      <c r="E36" s="3017" t="s">
        <v>3530</v>
      </c>
      <c r="F36" s="3017" t="s">
        <v>3343</v>
      </c>
      <c r="G36" s="3017" t="s">
        <v>3342</v>
      </c>
      <c r="H36" s="3017">
        <v>5</v>
      </c>
      <c r="I36" s="3017">
        <v>74.790000000000006</v>
      </c>
    </row>
    <row r="37" spans="1:9" ht="36.75" customHeight="1">
      <c r="A37" s="3015">
        <v>35</v>
      </c>
      <c r="B37" s="3017" t="s">
        <v>3529</v>
      </c>
      <c r="C37" s="3017" t="s">
        <v>3346</v>
      </c>
      <c r="D37" s="3017" t="s">
        <v>3528</v>
      </c>
      <c r="E37" s="3017" t="s">
        <v>3527</v>
      </c>
      <c r="F37" s="3017" t="s">
        <v>3343</v>
      </c>
      <c r="G37" s="3017" t="s">
        <v>3342</v>
      </c>
      <c r="H37" s="3017">
        <v>5</v>
      </c>
      <c r="I37" s="3017">
        <v>74.38</v>
      </c>
    </row>
    <row r="38" spans="1:9" ht="36.75" customHeight="1">
      <c r="A38" s="3015">
        <v>36</v>
      </c>
      <c r="B38" s="3017" t="s">
        <v>3526</v>
      </c>
      <c r="C38" s="3017" t="s">
        <v>3346</v>
      </c>
      <c r="D38" s="3017" t="s">
        <v>3525</v>
      </c>
      <c r="E38" s="3017" t="s">
        <v>3524</v>
      </c>
      <c r="F38" s="3017" t="s">
        <v>3343</v>
      </c>
      <c r="G38" s="3017" t="s">
        <v>3342</v>
      </c>
      <c r="H38" s="3017">
        <v>6</v>
      </c>
      <c r="I38" s="3017">
        <v>108.69</v>
      </c>
    </row>
    <row r="39" spans="1:9" ht="36.75" customHeight="1">
      <c r="A39" s="3015">
        <v>37</v>
      </c>
      <c r="B39" s="3017" t="s">
        <v>3523</v>
      </c>
      <c r="C39" s="3017" t="s">
        <v>3346</v>
      </c>
      <c r="D39" s="3017" t="s">
        <v>3522</v>
      </c>
      <c r="E39" s="3017" t="s">
        <v>3521</v>
      </c>
      <c r="F39" s="3017" t="s">
        <v>3343</v>
      </c>
      <c r="G39" s="3017" t="s">
        <v>3342</v>
      </c>
      <c r="H39" s="3017">
        <v>6</v>
      </c>
      <c r="I39" s="3017">
        <v>107.7</v>
      </c>
    </row>
    <row r="40" spans="1:9" ht="36.75" customHeight="1">
      <c r="A40" s="3015">
        <v>38</v>
      </c>
      <c r="B40" s="3017" t="s">
        <v>3520</v>
      </c>
      <c r="C40" s="3017" t="s">
        <v>3346</v>
      </c>
      <c r="D40" s="3017" t="s">
        <v>3519</v>
      </c>
      <c r="E40" s="3017" t="s">
        <v>3518</v>
      </c>
      <c r="F40" s="3017" t="s">
        <v>3343</v>
      </c>
      <c r="G40" s="3017" t="s">
        <v>3342</v>
      </c>
      <c r="H40" s="3017">
        <v>6</v>
      </c>
      <c r="I40" s="3017">
        <v>107.37</v>
      </c>
    </row>
    <row r="41" spans="1:9" ht="36.75" customHeight="1">
      <c r="A41" s="3015">
        <v>39</v>
      </c>
      <c r="B41" s="3017" t="s">
        <v>3517</v>
      </c>
      <c r="C41" s="3017" t="s">
        <v>3346</v>
      </c>
      <c r="D41" s="3017" t="s">
        <v>3516</v>
      </c>
      <c r="E41" s="3017" t="s">
        <v>3515</v>
      </c>
      <c r="F41" s="3017" t="s">
        <v>3343</v>
      </c>
      <c r="G41" s="3017" t="s">
        <v>3342</v>
      </c>
      <c r="H41" s="3017">
        <v>6</v>
      </c>
      <c r="I41" s="3017">
        <v>101.74</v>
      </c>
    </row>
    <row r="42" spans="1:9" ht="36.75" customHeight="1">
      <c r="A42" s="3015">
        <v>40</v>
      </c>
      <c r="B42" s="3017" t="s">
        <v>3514</v>
      </c>
      <c r="C42" s="3017" t="s">
        <v>3346</v>
      </c>
      <c r="D42" s="3017" t="s">
        <v>3513</v>
      </c>
      <c r="E42" s="3017" t="s">
        <v>3512</v>
      </c>
      <c r="F42" s="3017" t="s">
        <v>3343</v>
      </c>
      <c r="G42" s="3017" t="s">
        <v>3342</v>
      </c>
      <c r="H42" s="3017">
        <v>6</v>
      </c>
      <c r="I42" s="3017">
        <v>55.78</v>
      </c>
    </row>
    <row r="43" spans="1:9" ht="36.75" customHeight="1">
      <c r="A43" s="3015">
        <v>41</v>
      </c>
      <c r="B43" s="3017" t="s">
        <v>3511</v>
      </c>
      <c r="C43" s="3017" t="s">
        <v>3346</v>
      </c>
      <c r="D43" s="3017" t="s">
        <v>3510</v>
      </c>
      <c r="E43" s="3017" t="s">
        <v>3509</v>
      </c>
      <c r="F43" s="3017" t="s">
        <v>3343</v>
      </c>
      <c r="G43" s="3017" t="s">
        <v>3342</v>
      </c>
      <c r="H43" s="3017">
        <v>6</v>
      </c>
      <c r="I43" s="3017">
        <v>77.09</v>
      </c>
    </row>
    <row r="44" spans="1:9" ht="36.75" customHeight="1">
      <c r="A44" s="3015">
        <v>42</v>
      </c>
      <c r="B44" s="3017" t="s">
        <v>3508</v>
      </c>
      <c r="C44" s="3017" t="s">
        <v>3346</v>
      </c>
      <c r="D44" s="3017" t="s">
        <v>3507</v>
      </c>
      <c r="E44" s="3017" t="s">
        <v>3506</v>
      </c>
      <c r="F44" s="3017" t="s">
        <v>3343</v>
      </c>
      <c r="G44" s="3017" t="s">
        <v>3342</v>
      </c>
      <c r="H44" s="3017">
        <v>6</v>
      </c>
      <c r="I44" s="3017">
        <v>74.790000000000006</v>
      </c>
    </row>
    <row r="45" spans="1:9" ht="36.75" customHeight="1">
      <c r="A45" s="3015">
        <v>43</v>
      </c>
      <c r="B45" s="3017" t="s">
        <v>3505</v>
      </c>
      <c r="C45" s="3017" t="s">
        <v>3346</v>
      </c>
      <c r="D45" s="3017" t="s">
        <v>3504</v>
      </c>
      <c r="E45" s="3017" t="s">
        <v>3503</v>
      </c>
      <c r="F45" s="3017" t="s">
        <v>3326</v>
      </c>
      <c r="G45" s="3017" t="s">
        <v>3269</v>
      </c>
      <c r="H45" s="3017">
        <v>6</v>
      </c>
      <c r="I45" s="3017">
        <v>74.790000000000006</v>
      </c>
    </row>
    <row r="46" spans="1:9" ht="36.75" customHeight="1">
      <c r="A46" s="3015">
        <v>44</v>
      </c>
      <c r="B46" s="3017" t="s">
        <v>3502</v>
      </c>
      <c r="C46" s="3017" t="s">
        <v>3267</v>
      </c>
      <c r="D46" s="3017" t="s">
        <v>3501</v>
      </c>
      <c r="E46" s="3017" t="s">
        <v>3500</v>
      </c>
      <c r="F46" s="3017" t="s">
        <v>3326</v>
      </c>
      <c r="G46" s="3017" t="s">
        <v>3269</v>
      </c>
      <c r="H46" s="3017">
        <v>6</v>
      </c>
      <c r="I46" s="3017">
        <v>74.790000000000006</v>
      </c>
    </row>
    <row r="47" spans="1:9" ht="36.75" customHeight="1">
      <c r="A47" s="3015">
        <v>45</v>
      </c>
      <c r="B47" s="3017" t="s">
        <v>3499</v>
      </c>
      <c r="C47" s="3017" t="s">
        <v>3267</v>
      </c>
      <c r="D47" s="3017" t="s">
        <v>3498</v>
      </c>
      <c r="E47" s="3017" t="s">
        <v>3497</v>
      </c>
      <c r="F47" s="3017" t="s">
        <v>3326</v>
      </c>
      <c r="G47" s="3017" t="s">
        <v>3269</v>
      </c>
      <c r="H47" s="3017">
        <v>6</v>
      </c>
      <c r="I47" s="3017">
        <v>74.790000000000006</v>
      </c>
    </row>
    <row r="48" spans="1:9" ht="36.75" customHeight="1">
      <c r="A48" s="3015">
        <v>46</v>
      </c>
      <c r="B48" s="3017" t="s">
        <v>3496</v>
      </c>
      <c r="C48" s="3017" t="s">
        <v>3267</v>
      </c>
      <c r="D48" s="3017" t="s">
        <v>3495</v>
      </c>
      <c r="E48" s="3017" t="s">
        <v>3494</v>
      </c>
      <c r="F48" s="3017" t="s">
        <v>3326</v>
      </c>
      <c r="G48" s="3017" t="s">
        <v>3269</v>
      </c>
      <c r="H48" s="3017">
        <v>6</v>
      </c>
      <c r="I48" s="3017">
        <v>74.38</v>
      </c>
    </row>
    <row r="49" spans="1:9" ht="36.75" customHeight="1">
      <c r="A49" s="3015">
        <v>47</v>
      </c>
      <c r="B49" s="3017" t="s">
        <v>3493</v>
      </c>
      <c r="C49" s="3017" t="s">
        <v>3267</v>
      </c>
      <c r="D49" s="3017" t="s">
        <v>3492</v>
      </c>
      <c r="E49" s="3017" t="s">
        <v>3491</v>
      </c>
      <c r="F49" s="3017" t="s">
        <v>3326</v>
      </c>
      <c r="G49" s="3017" t="s">
        <v>3269</v>
      </c>
      <c r="H49" s="3017">
        <v>7</v>
      </c>
      <c r="I49" s="3017">
        <v>108.69</v>
      </c>
    </row>
    <row r="50" spans="1:9" ht="36.75" customHeight="1">
      <c r="A50" s="3015">
        <v>48</v>
      </c>
      <c r="B50" s="3017" t="s">
        <v>3490</v>
      </c>
      <c r="C50" s="3017" t="s">
        <v>3267</v>
      </c>
      <c r="D50" s="3017" t="s">
        <v>3489</v>
      </c>
      <c r="E50" s="3017" t="s">
        <v>3488</v>
      </c>
      <c r="F50" s="3017" t="s">
        <v>3326</v>
      </c>
      <c r="G50" s="3017" t="s">
        <v>3269</v>
      </c>
      <c r="H50" s="3017">
        <v>7</v>
      </c>
      <c r="I50" s="3017">
        <v>107.7</v>
      </c>
    </row>
    <row r="51" spans="1:9" ht="36.75" customHeight="1">
      <c r="A51" s="3015">
        <v>49</v>
      </c>
      <c r="B51" s="3017" t="s">
        <v>3487</v>
      </c>
      <c r="C51" s="3017" t="s">
        <v>3267</v>
      </c>
      <c r="D51" s="3017" t="s">
        <v>3486</v>
      </c>
      <c r="E51" s="3017" t="s">
        <v>3485</v>
      </c>
      <c r="F51" s="3017" t="s">
        <v>3326</v>
      </c>
      <c r="G51" s="3017" t="s">
        <v>3269</v>
      </c>
      <c r="H51" s="3017">
        <v>7</v>
      </c>
      <c r="I51" s="3017">
        <v>107.37</v>
      </c>
    </row>
    <row r="52" spans="1:9" ht="36.75" customHeight="1">
      <c r="A52" s="3015">
        <v>50</v>
      </c>
      <c r="B52" s="3017" t="s">
        <v>3484</v>
      </c>
      <c r="C52" s="3017" t="s">
        <v>3267</v>
      </c>
      <c r="D52" s="3017" t="s">
        <v>3483</v>
      </c>
      <c r="E52" s="3017" t="s">
        <v>3482</v>
      </c>
      <c r="F52" s="3017" t="s">
        <v>3326</v>
      </c>
      <c r="G52" s="3017" t="s">
        <v>3269</v>
      </c>
      <c r="H52" s="3017">
        <v>7</v>
      </c>
      <c r="I52" s="3017">
        <v>101.74</v>
      </c>
    </row>
    <row r="53" spans="1:9" ht="36.75" customHeight="1">
      <c r="A53" s="3015">
        <v>51</v>
      </c>
      <c r="B53" s="3017" t="s">
        <v>3481</v>
      </c>
      <c r="C53" s="3017" t="s">
        <v>3267</v>
      </c>
      <c r="D53" s="3017" t="s">
        <v>3480</v>
      </c>
      <c r="E53" s="3017" t="s">
        <v>3479</v>
      </c>
      <c r="F53" s="3017" t="s">
        <v>3326</v>
      </c>
      <c r="G53" s="3017" t="s">
        <v>3269</v>
      </c>
      <c r="H53" s="3017">
        <v>7</v>
      </c>
      <c r="I53" s="3017">
        <v>55.78</v>
      </c>
    </row>
    <row r="54" spans="1:9" ht="36.75" customHeight="1">
      <c r="A54" s="3015">
        <v>52</v>
      </c>
      <c r="B54" s="3017" t="s">
        <v>3478</v>
      </c>
      <c r="C54" s="3017" t="s">
        <v>3267</v>
      </c>
      <c r="D54" s="3017" t="s">
        <v>3477</v>
      </c>
      <c r="E54" s="3017" t="s">
        <v>3476</v>
      </c>
      <c r="F54" s="3017" t="s">
        <v>3326</v>
      </c>
      <c r="G54" s="3017" t="s">
        <v>3269</v>
      </c>
      <c r="H54" s="3017">
        <v>7</v>
      </c>
      <c r="I54" s="3017">
        <v>77.09</v>
      </c>
    </row>
    <row r="55" spans="1:9" ht="36.75" customHeight="1">
      <c r="A55" s="3015">
        <v>53</v>
      </c>
      <c r="B55" s="3017" t="s">
        <v>3475</v>
      </c>
      <c r="C55" s="3017" t="s">
        <v>3267</v>
      </c>
      <c r="D55" s="3017" t="s">
        <v>3474</v>
      </c>
      <c r="E55" s="3017" t="s">
        <v>3473</v>
      </c>
      <c r="F55" s="3017" t="s">
        <v>3326</v>
      </c>
      <c r="G55" s="3017" t="s">
        <v>3269</v>
      </c>
      <c r="H55" s="3017">
        <v>7</v>
      </c>
      <c r="I55" s="3017">
        <v>74.790000000000006</v>
      </c>
    </row>
    <row r="56" spans="1:9" ht="36.75" customHeight="1">
      <c r="A56" s="3015">
        <v>54</v>
      </c>
      <c r="B56" s="3017" t="s">
        <v>3472</v>
      </c>
      <c r="C56" s="3017" t="s">
        <v>3267</v>
      </c>
      <c r="D56" s="3017" t="s">
        <v>3471</v>
      </c>
      <c r="E56" s="3017" t="s">
        <v>3470</v>
      </c>
      <c r="F56" s="3017" t="s">
        <v>3326</v>
      </c>
      <c r="G56" s="3017" t="s">
        <v>3269</v>
      </c>
      <c r="H56" s="3017">
        <v>7</v>
      </c>
      <c r="I56" s="3017">
        <v>74.790000000000006</v>
      </c>
    </row>
    <row r="57" spans="1:9" ht="36.75" customHeight="1">
      <c r="A57" s="3015">
        <v>55</v>
      </c>
      <c r="B57" s="3017" t="s">
        <v>3469</v>
      </c>
      <c r="C57" s="3017" t="s">
        <v>3267</v>
      </c>
      <c r="D57" s="3017" t="s">
        <v>3468</v>
      </c>
      <c r="E57" s="3017" t="s">
        <v>3467</v>
      </c>
      <c r="F57" s="3017" t="s">
        <v>3326</v>
      </c>
      <c r="G57" s="3017" t="s">
        <v>3269</v>
      </c>
      <c r="H57" s="3017">
        <v>7</v>
      </c>
      <c r="I57" s="3017">
        <v>74.790000000000006</v>
      </c>
    </row>
    <row r="58" spans="1:9" ht="36.75" customHeight="1">
      <c r="A58" s="3015">
        <v>56</v>
      </c>
      <c r="B58" s="3017" t="s">
        <v>3466</v>
      </c>
      <c r="C58" s="3017" t="s">
        <v>3267</v>
      </c>
      <c r="D58" s="3017" t="s">
        <v>3465</v>
      </c>
      <c r="E58" s="3017" t="s">
        <v>3464</v>
      </c>
      <c r="F58" s="3017" t="s">
        <v>3326</v>
      </c>
      <c r="G58" s="3017" t="s">
        <v>3269</v>
      </c>
      <c r="H58" s="3017">
        <v>7</v>
      </c>
      <c r="I58" s="3017">
        <v>74.790000000000006</v>
      </c>
    </row>
    <row r="59" spans="1:9" ht="36.75" customHeight="1">
      <c r="A59" s="3015">
        <v>57</v>
      </c>
      <c r="B59" s="3017" t="s">
        <v>3463</v>
      </c>
      <c r="C59" s="3017" t="s">
        <v>3267</v>
      </c>
      <c r="D59" s="3017" t="s">
        <v>3462</v>
      </c>
      <c r="E59" s="3017" t="s">
        <v>3461</v>
      </c>
      <c r="F59" s="3017" t="s">
        <v>3326</v>
      </c>
      <c r="G59" s="3017" t="s">
        <v>3269</v>
      </c>
      <c r="H59" s="3017">
        <v>7</v>
      </c>
      <c r="I59" s="3017">
        <v>74.38</v>
      </c>
    </row>
    <row r="60" spans="1:9" ht="36.75" customHeight="1">
      <c r="A60" s="3015">
        <v>58</v>
      </c>
      <c r="B60" s="3017" t="s">
        <v>3658</v>
      </c>
      <c r="C60" s="3017" t="s">
        <v>3267</v>
      </c>
      <c r="D60" s="3017" t="s">
        <v>3460</v>
      </c>
      <c r="E60" s="3017" t="s">
        <v>3459</v>
      </c>
      <c r="F60" s="3017" t="s">
        <v>3326</v>
      </c>
      <c r="G60" s="3017" t="s">
        <v>3269</v>
      </c>
      <c r="H60" s="3017">
        <v>8</v>
      </c>
      <c r="I60" s="3017">
        <v>108.69</v>
      </c>
    </row>
    <row r="61" spans="1:9" ht="36.75" customHeight="1">
      <c r="A61" s="3015">
        <v>59</v>
      </c>
      <c r="B61" s="3017" t="s">
        <v>3458</v>
      </c>
      <c r="C61" s="3017" t="s">
        <v>3267</v>
      </c>
      <c r="D61" s="3017" t="s">
        <v>3457</v>
      </c>
      <c r="E61" s="3017" t="s">
        <v>3456</v>
      </c>
      <c r="F61" s="3017" t="s">
        <v>3326</v>
      </c>
      <c r="G61" s="3017" t="s">
        <v>3269</v>
      </c>
      <c r="H61" s="3017">
        <v>8</v>
      </c>
      <c r="I61" s="3017">
        <v>107.7</v>
      </c>
    </row>
    <row r="62" spans="1:9" ht="36.75" customHeight="1">
      <c r="A62" s="3015">
        <v>60</v>
      </c>
      <c r="B62" s="3017" t="s">
        <v>3455</v>
      </c>
      <c r="C62" s="3017" t="s">
        <v>3267</v>
      </c>
      <c r="D62" s="3017" t="s">
        <v>3454</v>
      </c>
      <c r="E62" s="3017" t="s">
        <v>3453</v>
      </c>
      <c r="F62" s="3017" t="s">
        <v>3326</v>
      </c>
      <c r="G62" s="3017" t="s">
        <v>3269</v>
      </c>
      <c r="H62" s="3017">
        <v>8</v>
      </c>
      <c r="I62" s="3017">
        <v>107.37</v>
      </c>
    </row>
    <row r="63" spans="1:9" ht="36.75" customHeight="1">
      <c r="A63" s="3015">
        <v>61</v>
      </c>
      <c r="B63" s="3017" t="s">
        <v>3452</v>
      </c>
      <c r="C63" s="3017" t="s">
        <v>3267</v>
      </c>
      <c r="D63" s="3017" t="s">
        <v>3451</v>
      </c>
      <c r="E63" s="3017" t="s">
        <v>3450</v>
      </c>
      <c r="F63" s="3017" t="s">
        <v>3326</v>
      </c>
      <c r="G63" s="3017" t="s">
        <v>3269</v>
      </c>
      <c r="H63" s="3017">
        <v>8</v>
      </c>
      <c r="I63" s="3017">
        <v>101.74</v>
      </c>
    </row>
    <row r="64" spans="1:9" ht="36.75" customHeight="1">
      <c r="A64" s="3015">
        <v>62</v>
      </c>
      <c r="B64" s="3017" t="s">
        <v>3449</v>
      </c>
      <c r="C64" s="3017" t="s">
        <v>3267</v>
      </c>
      <c r="D64" s="3017" t="s">
        <v>3448</v>
      </c>
      <c r="E64" s="3017" t="s">
        <v>3447</v>
      </c>
      <c r="F64" s="3017" t="s">
        <v>3326</v>
      </c>
      <c r="G64" s="3017" t="s">
        <v>3269</v>
      </c>
      <c r="H64" s="3017">
        <v>8</v>
      </c>
      <c r="I64" s="3017">
        <v>55.78</v>
      </c>
    </row>
    <row r="65" spans="1:9" ht="36.75" customHeight="1">
      <c r="A65" s="3015">
        <v>63</v>
      </c>
      <c r="B65" s="3017" t="s">
        <v>3446</v>
      </c>
      <c r="C65" s="3017" t="s">
        <v>3267</v>
      </c>
      <c r="D65" s="3017" t="s">
        <v>3445</v>
      </c>
      <c r="E65" s="3017" t="s">
        <v>3444</v>
      </c>
      <c r="F65" s="3017" t="s">
        <v>3326</v>
      </c>
      <c r="G65" s="3017" t="s">
        <v>3269</v>
      </c>
      <c r="H65" s="3017">
        <v>8</v>
      </c>
      <c r="I65" s="3017">
        <v>77.09</v>
      </c>
    </row>
    <row r="66" spans="1:9" ht="36.75" customHeight="1">
      <c r="A66" s="3015">
        <v>64</v>
      </c>
      <c r="B66" s="3017" t="s">
        <v>3443</v>
      </c>
      <c r="C66" s="3017" t="s">
        <v>3267</v>
      </c>
      <c r="D66" s="3017" t="s">
        <v>3442</v>
      </c>
      <c r="E66" s="3017" t="s">
        <v>3441</v>
      </c>
      <c r="F66" s="3017" t="s">
        <v>3326</v>
      </c>
      <c r="G66" s="3017" t="s">
        <v>3269</v>
      </c>
      <c r="H66" s="3017">
        <v>8</v>
      </c>
      <c r="I66" s="3017">
        <v>74.790000000000006</v>
      </c>
    </row>
    <row r="67" spans="1:9" ht="36.75" customHeight="1">
      <c r="A67" s="3015">
        <v>65</v>
      </c>
      <c r="B67" s="3017" t="s">
        <v>3440</v>
      </c>
      <c r="C67" s="3017" t="s">
        <v>3267</v>
      </c>
      <c r="D67" s="3017" t="s">
        <v>3439</v>
      </c>
      <c r="E67" s="3017" t="s">
        <v>3438</v>
      </c>
      <c r="F67" s="3017" t="s">
        <v>3326</v>
      </c>
      <c r="G67" s="3017" t="s">
        <v>3269</v>
      </c>
      <c r="H67" s="3017">
        <v>8</v>
      </c>
      <c r="I67" s="3017">
        <v>74.790000000000006</v>
      </c>
    </row>
    <row r="68" spans="1:9" ht="36.75" customHeight="1">
      <c r="A68" s="3015">
        <v>66</v>
      </c>
      <c r="B68" s="3017" t="s">
        <v>3437</v>
      </c>
      <c r="C68" s="3017" t="s">
        <v>3267</v>
      </c>
      <c r="D68" s="3017" t="s">
        <v>3436</v>
      </c>
      <c r="E68" s="3017" t="s">
        <v>3435</v>
      </c>
      <c r="F68" s="3017" t="s">
        <v>3326</v>
      </c>
      <c r="G68" s="3017" t="s">
        <v>3269</v>
      </c>
      <c r="H68" s="3017">
        <v>8</v>
      </c>
      <c r="I68" s="3017">
        <v>74.790000000000006</v>
      </c>
    </row>
    <row r="69" spans="1:9" ht="36.75" customHeight="1">
      <c r="A69" s="3015">
        <v>67</v>
      </c>
      <c r="B69" s="3017" t="s">
        <v>3434</v>
      </c>
      <c r="C69" s="3017" t="s">
        <v>3267</v>
      </c>
      <c r="D69" s="3017" t="s">
        <v>3433</v>
      </c>
      <c r="E69" s="3017" t="s">
        <v>3432</v>
      </c>
      <c r="F69" s="3017" t="s">
        <v>3326</v>
      </c>
      <c r="G69" s="3017" t="s">
        <v>3269</v>
      </c>
      <c r="H69" s="3017">
        <v>8</v>
      </c>
      <c r="I69" s="3017">
        <v>74.790000000000006</v>
      </c>
    </row>
    <row r="70" spans="1:9" ht="36.75" customHeight="1">
      <c r="A70" s="3015">
        <v>68</v>
      </c>
      <c r="B70" s="3017" t="s">
        <v>3431</v>
      </c>
      <c r="C70" s="3017" t="s">
        <v>3267</v>
      </c>
      <c r="D70" s="3017" t="s">
        <v>3430</v>
      </c>
      <c r="E70" s="3017" t="s">
        <v>3429</v>
      </c>
      <c r="F70" s="3017" t="s">
        <v>3326</v>
      </c>
      <c r="G70" s="3017" t="s">
        <v>3269</v>
      </c>
      <c r="H70" s="3017">
        <v>8</v>
      </c>
      <c r="I70" s="3017">
        <v>74.38</v>
      </c>
    </row>
    <row r="71" spans="1:9" ht="36.75" customHeight="1">
      <c r="A71" s="3015">
        <v>69</v>
      </c>
      <c r="B71" s="3017" t="s">
        <v>3428</v>
      </c>
      <c r="C71" s="3017" t="s">
        <v>3267</v>
      </c>
      <c r="D71" s="3017" t="s">
        <v>3427</v>
      </c>
      <c r="E71" s="3017" t="s">
        <v>3426</v>
      </c>
      <c r="F71" s="3017" t="s">
        <v>3326</v>
      </c>
      <c r="G71" s="3017" t="s">
        <v>3269</v>
      </c>
      <c r="H71" s="3017">
        <v>9</v>
      </c>
      <c r="I71" s="3017">
        <v>108.66</v>
      </c>
    </row>
    <row r="72" spans="1:9" ht="36.75" customHeight="1">
      <c r="A72" s="3015">
        <v>70</v>
      </c>
      <c r="B72" s="3017" t="s">
        <v>3425</v>
      </c>
      <c r="C72" s="3017" t="s">
        <v>3267</v>
      </c>
      <c r="D72" s="3017" t="s">
        <v>3424</v>
      </c>
      <c r="E72" s="3017" t="s">
        <v>3423</v>
      </c>
      <c r="F72" s="3017" t="s">
        <v>3326</v>
      </c>
      <c r="G72" s="3017" t="s">
        <v>3269</v>
      </c>
      <c r="H72" s="3017">
        <v>9</v>
      </c>
      <c r="I72" s="3017">
        <v>107.66</v>
      </c>
    </row>
    <row r="73" spans="1:9" ht="36.75" customHeight="1">
      <c r="A73" s="3015">
        <v>71</v>
      </c>
      <c r="B73" s="3017" t="s">
        <v>3422</v>
      </c>
      <c r="C73" s="3017" t="s">
        <v>3267</v>
      </c>
      <c r="D73" s="3017" t="s">
        <v>3421</v>
      </c>
      <c r="E73" s="3017" t="s">
        <v>3420</v>
      </c>
      <c r="F73" s="3017" t="s">
        <v>3326</v>
      </c>
      <c r="G73" s="3017" t="s">
        <v>3269</v>
      </c>
      <c r="H73" s="3017">
        <v>9</v>
      </c>
      <c r="I73" s="3017">
        <v>107.33</v>
      </c>
    </row>
    <row r="74" spans="1:9" ht="36.75" customHeight="1">
      <c r="A74" s="3015">
        <v>72</v>
      </c>
      <c r="B74" s="3017" t="s">
        <v>3419</v>
      </c>
      <c r="C74" s="3017" t="s">
        <v>3267</v>
      </c>
      <c r="D74" s="3017" t="s">
        <v>3418</v>
      </c>
      <c r="E74" s="3017" t="s">
        <v>3417</v>
      </c>
      <c r="F74" s="3017" t="s">
        <v>3326</v>
      </c>
      <c r="G74" s="3017" t="s">
        <v>3269</v>
      </c>
      <c r="H74" s="3017">
        <v>9</v>
      </c>
      <c r="I74" s="3017">
        <v>101.71</v>
      </c>
    </row>
    <row r="75" spans="1:9" ht="36.75" customHeight="1">
      <c r="A75" s="3015">
        <v>73</v>
      </c>
      <c r="B75" s="3017" t="s">
        <v>3416</v>
      </c>
      <c r="C75" s="3017" t="s">
        <v>3267</v>
      </c>
      <c r="D75" s="3017" t="s">
        <v>3415</v>
      </c>
      <c r="E75" s="3017" t="s">
        <v>3414</v>
      </c>
      <c r="F75" s="3017" t="s">
        <v>3326</v>
      </c>
      <c r="G75" s="3017" t="s">
        <v>3269</v>
      </c>
      <c r="H75" s="3017">
        <v>9</v>
      </c>
      <c r="I75" s="3017">
        <v>55.77</v>
      </c>
    </row>
    <row r="76" spans="1:9" ht="36.75" customHeight="1">
      <c r="A76" s="3015">
        <v>74</v>
      </c>
      <c r="B76" s="3017" t="s">
        <v>3413</v>
      </c>
      <c r="C76" s="3017" t="s">
        <v>3267</v>
      </c>
      <c r="D76" s="3017" t="s">
        <v>3412</v>
      </c>
      <c r="E76" s="3017" t="s">
        <v>3411</v>
      </c>
      <c r="F76" s="3017" t="s">
        <v>3326</v>
      </c>
      <c r="G76" s="3017" t="s">
        <v>3269</v>
      </c>
      <c r="H76" s="3017">
        <v>9</v>
      </c>
      <c r="I76" s="3017">
        <v>77.069999999999993</v>
      </c>
    </row>
    <row r="77" spans="1:9" ht="36.75" customHeight="1">
      <c r="A77" s="3015">
        <v>75</v>
      </c>
      <c r="B77" s="3017" t="s">
        <v>3410</v>
      </c>
      <c r="C77" s="3017" t="s">
        <v>3267</v>
      </c>
      <c r="D77" s="3017" t="s">
        <v>3409</v>
      </c>
      <c r="E77" s="3017" t="s">
        <v>3408</v>
      </c>
      <c r="F77" s="3017" t="s">
        <v>3326</v>
      </c>
      <c r="G77" s="3017" t="s">
        <v>3269</v>
      </c>
      <c r="H77" s="3017">
        <v>9</v>
      </c>
      <c r="I77" s="3017">
        <v>74.77</v>
      </c>
    </row>
    <row r="78" spans="1:9" ht="36.75" customHeight="1">
      <c r="A78" s="3015">
        <v>76</v>
      </c>
      <c r="B78" s="3017" t="s">
        <v>3407</v>
      </c>
      <c r="C78" s="3017" t="s">
        <v>3267</v>
      </c>
      <c r="D78" s="3017" t="s">
        <v>3406</v>
      </c>
      <c r="E78" s="3017" t="s">
        <v>3405</v>
      </c>
      <c r="F78" s="3017" t="s">
        <v>3326</v>
      </c>
      <c r="G78" s="3017" t="s">
        <v>3269</v>
      </c>
      <c r="H78" s="3017">
        <v>9</v>
      </c>
      <c r="I78" s="3017">
        <v>74.77</v>
      </c>
    </row>
    <row r="79" spans="1:9" ht="36.75" customHeight="1">
      <c r="A79" s="3015">
        <v>77</v>
      </c>
      <c r="B79" s="3017" t="s">
        <v>3404</v>
      </c>
      <c r="C79" s="3017" t="s">
        <v>3267</v>
      </c>
      <c r="D79" s="3017" t="s">
        <v>3403</v>
      </c>
      <c r="E79" s="3017" t="s">
        <v>3402</v>
      </c>
      <c r="F79" s="3017" t="s">
        <v>3326</v>
      </c>
      <c r="G79" s="3017" t="s">
        <v>3269</v>
      </c>
      <c r="H79" s="3017">
        <v>9</v>
      </c>
      <c r="I79" s="3017">
        <v>74.77</v>
      </c>
    </row>
    <row r="80" spans="1:9" ht="36.75" customHeight="1">
      <c r="A80" s="3015">
        <v>78</v>
      </c>
      <c r="B80" s="3017" t="s">
        <v>3401</v>
      </c>
      <c r="C80" s="3017" t="s">
        <v>3267</v>
      </c>
      <c r="D80" s="3017" t="s">
        <v>3400</v>
      </c>
      <c r="E80" s="3017" t="s">
        <v>3399</v>
      </c>
      <c r="F80" s="3017" t="s">
        <v>3326</v>
      </c>
      <c r="G80" s="3017" t="s">
        <v>3269</v>
      </c>
      <c r="H80" s="3017">
        <v>9</v>
      </c>
      <c r="I80" s="3017">
        <v>74.77</v>
      </c>
    </row>
    <row r="81" spans="1:9" ht="36.75" customHeight="1">
      <c r="A81" s="3015">
        <v>79</v>
      </c>
      <c r="B81" s="3017" t="s">
        <v>3398</v>
      </c>
      <c r="C81" s="3017" t="s">
        <v>3267</v>
      </c>
      <c r="D81" s="3017" t="s">
        <v>3397</v>
      </c>
      <c r="E81" s="3017" t="s">
        <v>3396</v>
      </c>
      <c r="F81" s="3017" t="s">
        <v>3326</v>
      </c>
      <c r="G81" s="3017" t="s">
        <v>3269</v>
      </c>
      <c r="H81" s="3017">
        <v>9</v>
      </c>
      <c r="I81" s="3017">
        <v>74.36</v>
      </c>
    </row>
    <row r="82" spans="1:9" ht="36.75" customHeight="1">
      <c r="A82" s="3015">
        <v>80</v>
      </c>
      <c r="B82" s="3017" t="s">
        <v>3395</v>
      </c>
      <c r="C82" s="3017" t="s">
        <v>3267</v>
      </c>
      <c r="D82" s="3017" t="s">
        <v>3394</v>
      </c>
      <c r="E82" s="3017" t="s">
        <v>3393</v>
      </c>
      <c r="F82" s="3017" t="s">
        <v>3326</v>
      </c>
      <c r="G82" s="3017" t="s">
        <v>3269</v>
      </c>
      <c r="H82" s="3017">
        <v>10</v>
      </c>
      <c r="I82" s="3017">
        <v>124.97</v>
      </c>
    </row>
    <row r="83" spans="1:9" ht="36.75" customHeight="1">
      <c r="A83" s="3015">
        <v>81</v>
      </c>
      <c r="B83" s="3017" t="s">
        <v>3392</v>
      </c>
      <c r="C83" s="3017" t="s">
        <v>3267</v>
      </c>
      <c r="D83" s="3017" t="s">
        <v>3391</v>
      </c>
      <c r="E83" s="3017" t="s">
        <v>3390</v>
      </c>
      <c r="F83" s="3017" t="s">
        <v>3326</v>
      </c>
      <c r="G83" s="3017" t="s">
        <v>3269</v>
      </c>
      <c r="H83" s="3017">
        <v>10</v>
      </c>
      <c r="I83" s="3017">
        <v>101.7</v>
      </c>
    </row>
    <row r="84" spans="1:9" ht="36.75" customHeight="1">
      <c r="A84" s="3015">
        <v>82</v>
      </c>
      <c r="B84" s="3017" t="s">
        <v>3389</v>
      </c>
      <c r="C84" s="3017" t="s">
        <v>3267</v>
      </c>
      <c r="D84" s="3017" t="s">
        <v>3388</v>
      </c>
      <c r="E84" s="3017" t="s">
        <v>3387</v>
      </c>
      <c r="F84" s="3017" t="s">
        <v>3326</v>
      </c>
      <c r="G84" s="3017" t="s">
        <v>3269</v>
      </c>
      <c r="H84" s="3017">
        <v>10</v>
      </c>
      <c r="I84" s="3017">
        <v>101.38</v>
      </c>
    </row>
    <row r="85" spans="1:9" ht="36.75" customHeight="1">
      <c r="A85" s="3015">
        <v>83</v>
      </c>
      <c r="B85" s="3017" t="s">
        <v>3386</v>
      </c>
      <c r="C85" s="3017" t="s">
        <v>3267</v>
      </c>
      <c r="D85" s="3017" t="s">
        <v>3385</v>
      </c>
      <c r="E85" s="3017" t="s">
        <v>3384</v>
      </c>
      <c r="F85" s="3017" t="s">
        <v>3326</v>
      </c>
      <c r="G85" s="3017" t="s">
        <v>3269</v>
      </c>
      <c r="H85" s="3017">
        <v>10</v>
      </c>
      <c r="I85" s="3017">
        <v>96.07</v>
      </c>
    </row>
    <row r="86" spans="1:9" ht="36.75" customHeight="1">
      <c r="A86" s="3015">
        <v>84</v>
      </c>
      <c r="B86" s="3017" t="s">
        <v>3383</v>
      </c>
      <c r="C86" s="3017" t="s">
        <v>3267</v>
      </c>
      <c r="D86" s="3017" t="s">
        <v>3382</v>
      </c>
      <c r="E86" s="3017" t="s">
        <v>3381</v>
      </c>
      <c r="F86" s="3017" t="s">
        <v>3326</v>
      </c>
      <c r="G86" s="3017" t="s">
        <v>3269</v>
      </c>
      <c r="H86" s="3017">
        <v>10</v>
      </c>
      <c r="I86" s="3017">
        <v>98.62</v>
      </c>
    </row>
    <row r="87" spans="1:9" ht="36.75" customHeight="1">
      <c r="A87" s="3015">
        <v>85</v>
      </c>
      <c r="B87" s="3017" t="s">
        <v>3380</v>
      </c>
      <c r="C87" s="3017" t="s">
        <v>3267</v>
      </c>
      <c r="D87" s="3017" t="s">
        <v>3379</v>
      </c>
      <c r="E87" s="3017" t="s">
        <v>3378</v>
      </c>
      <c r="F87" s="3017" t="s">
        <v>3326</v>
      </c>
      <c r="G87" s="3017" t="s">
        <v>3269</v>
      </c>
      <c r="H87" s="3017">
        <v>10</v>
      </c>
      <c r="I87" s="3017">
        <v>112.58</v>
      </c>
    </row>
    <row r="88" spans="1:9" ht="36.75" customHeight="1">
      <c r="A88" s="3015">
        <v>86</v>
      </c>
      <c r="B88" s="3017" t="s">
        <v>3377</v>
      </c>
      <c r="C88" s="3017" t="s">
        <v>3267</v>
      </c>
      <c r="D88" s="3017" t="s">
        <v>3376</v>
      </c>
      <c r="E88" s="3017" t="s">
        <v>3375</v>
      </c>
      <c r="F88" s="3017" t="s">
        <v>3326</v>
      </c>
      <c r="G88" s="3017" t="s">
        <v>3269</v>
      </c>
      <c r="H88" s="3017">
        <v>10</v>
      </c>
      <c r="I88" s="3017">
        <v>70.62</v>
      </c>
    </row>
    <row r="89" spans="1:9" ht="36.75" customHeight="1">
      <c r="A89" s="3015">
        <v>87</v>
      </c>
      <c r="B89" s="3017" t="s">
        <v>3374</v>
      </c>
      <c r="C89" s="3017" t="s">
        <v>3346</v>
      </c>
      <c r="D89" s="3017" t="s">
        <v>3373</v>
      </c>
      <c r="E89" s="3017" t="s">
        <v>3372</v>
      </c>
      <c r="F89" s="3017" t="s">
        <v>3343</v>
      </c>
      <c r="G89" s="3017" t="s">
        <v>3342</v>
      </c>
      <c r="H89" s="3017">
        <v>10</v>
      </c>
      <c r="I89" s="3017">
        <v>70.62</v>
      </c>
    </row>
    <row r="90" spans="1:9" ht="36.75" customHeight="1">
      <c r="A90" s="3015">
        <v>88</v>
      </c>
      <c r="B90" s="3017" t="s">
        <v>3371</v>
      </c>
      <c r="C90" s="3017" t="s">
        <v>3346</v>
      </c>
      <c r="D90" s="3017" t="s">
        <v>3370</v>
      </c>
      <c r="E90" s="3017" t="s">
        <v>3369</v>
      </c>
      <c r="F90" s="3017" t="s">
        <v>3343</v>
      </c>
      <c r="G90" s="3017" t="s">
        <v>3342</v>
      </c>
      <c r="H90" s="3017">
        <v>10</v>
      </c>
      <c r="I90" s="3017">
        <v>70.62</v>
      </c>
    </row>
    <row r="91" spans="1:9" ht="36.75" customHeight="1">
      <c r="A91" s="3015">
        <v>89</v>
      </c>
      <c r="B91" s="3017" t="s">
        <v>3368</v>
      </c>
      <c r="C91" s="3017" t="s">
        <v>3346</v>
      </c>
      <c r="D91" s="3017" t="s">
        <v>3367</v>
      </c>
      <c r="E91" s="3017" t="s">
        <v>3366</v>
      </c>
      <c r="F91" s="3017" t="s">
        <v>3343</v>
      </c>
      <c r="G91" s="3017" t="s">
        <v>3342</v>
      </c>
      <c r="H91" s="3017">
        <v>10</v>
      </c>
      <c r="I91" s="3017">
        <v>70.62</v>
      </c>
    </row>
    <row r="92" spans="1:9" ht="36.75" customHeight="1">
      <c r="A92" s="3015">
        <v>90</v>
      </c>
      <c r="B92" s="3017" t="s">
        <v>3365</v>
      </c>
      <c r="C92" s="3017" t="s">
        <v>3346</v>
      </c>
      <c r="D92" s="3017" t="s">
        <v>3364</v>
      </c>
      <c r="E92" s="3017" t="s">
        <v>3363</v>
      </c>
      <c r="F92" s="3017" t="s">
        <v>3343</v>
      </c>
      <c r="G92" s="3017" t="s">
        <v>3342</v>
      </c>
      <c r="H92" s="3017">
        <v>10</v>
      </c>
      <c r="I92" s="3017">
        <v>72.95</v>
      </c>
    </row>
    <row r="93" spans="1:9" ht="36.75" customHeight="1">
      <c r="A93" s="3015">
        <v>91</v>
      </c>
      <c r="B93" s="3017" t="s">
        <v>3362</v>
      </c>
      <c r="C93" s="3017" t="s">
        <v>3346</v>
      </c>
      <c r="D93" s="3017" t="s">
        <v>3361</v>
      </c>
      <c r="E93" s="3017" t="s">
        <v>3360</v>
      </c>
      <c r="F93" s="3017" t="s">
        <v>3343</v>
      </c>
      <c r="G93" s="3017" t="s">
        <v>3342</v>
      </c>
      <c r="H93" s="3017">
        <v>11</v>
      </c>
      <c r="I93" s="3017">
        <v>127.62</v>
      </c>
    </row>
    <row r="94" spans="1:9" ht="36.75" customHeight="1">
      <c r="A94" s="3015">
        <v>92</v>
      </c>
      <c r="B94" s="3017" t="s">
        <v>3359</v>
      </c>
      <c r="C94" s="3017" t="s">
        <v>3346</v>
      </c>
      <c r="D94" s="3017" t="s">
        <v>3358</v>
      </c>
      <c r="E94" s="3017" t="s">
        <v>3357</v>
      </c>
      <c r="F94" s="3017" t="s">
        <v>3343</v>
      </c>
      <c r="G94" s="3017" t="s">
        <v>3342</v>
      </c>
      <c r="H94" s="3017">
        <v>11</v>
      </c>
      <c r="I94" s="3017">
        <v>101.79</v>
      </c>
    </row>
    <row r="95" spans="1:9" ht="36.75" customHeight="1">
      <c r="A95" s="3015">
        <v>93</v>
      </c>
      <c r="B95" s="3017" t="s">
        <v>3356</v>
      </c>
      <c r="C95" s="3017" t="s">
        <v>3346</v>
      </c>
      <c r="D95" s="3017" t="s">
        <v>3355</v>
      </c>
      <c r="E95" s="3017" t="s">
        <v>3354</v>
      </c>
      <c r="F95" s="3017" t="s">
        <v>3343</v>
      </c>
      <c r="G95" s="3017" t="s">
        <v>3342</v>
      </c>
      <c r="H95" s="3017">
        <v>11</v>
      </c>
      <c r="I95" s="3017">
        <v>101.48</v>
      </c>
    </row>
    <row r="96" spans="1:9" ht="36.75" customHeight="1">
      <c r="A96" s="3015">
        <v>94</v>
      </c>
      <c r="B96" s="3017" t="s">
        <v>3353</v>
      </c>
      <c r="C96" s="3017" t="s">
        <v>3346</v>
      </c>
      <c r="D96" s="3017" t="s">
        <v>3352</v>
      </c>
      <c r="E96" s="3017" t="s">
        <v>3351</v>
      </c>
      <c r="F96" s="3017" t="s">
        <v>3343</v>
      </c>
      <c r="G96" s="3017" t="s">
        <v>3342</v>
      </c>
      <c r="H96" s="3017">
        <v>11</v>
      </c>
      <c r="I96" s="3017">
        <v>96.16</v>
      </c>
    </row>
    <row r="97" spans="1:12" ht="36.75" customHeight="1">
      <c r="A97" s="3015">
        <v>95</v>
      </c>
      <c r="B97" s="3017" t="s">
        <v>3350</v>
      </c>
      <c r="C97" s="3017" t="s">
        <v>3346</v>
      </c>
      <c r="D97" s="3017" t="s">
        <v>3349</v>
      </c>
      <c r="E97" s="3017" t="s">
        <v>3348</v>
      </c>
      <c r="F97" s="3017" t="s">
        <v>3343</v>
      </c>
      <c r="G97" s="3017" t="s">
        <v>3342</v>
      </c>
      <c r="H97" s="3017">
        <v>11</v>
      </c>
      <c r="I97" s="3017">
        <v>98.71</v>
      </c>
    </row>
    <row r="98" spans="1:12" ht="36.75" customHeight="1">
      <c r="A98" s="3015">
        <v>96</v>
      </c>
      <c r="B98" s="3017" t="s">
        <v>3347</v>
      </c>
      <c r="C98" s="3017" t="s">
        <v>3346</v>
      </c>
      <c r="D98" s="3017" t="s">
        <v>3345</v>
      </c>
      <c r="E98" s="3017" t="s">
        <v>3344</v>
      </c>
      <c r="F98" s="3017" t="s">
        <v>3343</v>
      </c>
      <c r="G98" s="3017" t="s">
        <v>3342</v>
      </c>
      <c r="H98" s="3017">
        <v>11</v>
      </c>
      <c r="I98" s="3017">
        <v>112.69</v>
      </c>
    </row>
    <row r="99" spans="1:12" ht="36.75" customHeight="1">
      <c r="A99" s="3015">
        <v>97</v>
      </c>
      <c r="B99" s="3017" t="s">
        <v>3341</v>
      </c>
      <c r="C99" s="3017" t="s">
        <v>3267</v>
      </c>
      <c r="D99" s="3017" t="s">
        <v>3340</v>
      </c>
      <c r="E99" s="3017" t="s">
        <v>3339</v>
      </c>
      <c r="F99" s="3017" t="s">
        <v>3326</v>
      </c>
      <c r="G99" s="3017" t="s">
        <v>3269</v>
      </c>
      <c r="H99" s="3017">
        <v>11</v>
      </c>
      <c r="I99" s="3017">
        <v>70.69</v>
      </c>
    </row>
    <row r="100" spans="1:12" ht="36.75" customHeight="1">
      <c r="A100" s="3015">
        <v>98</v>
      </c>
      <c r="B100" s="3017" t="s">
        <v>3338</v>
      </c>
      <c r="C100" s="3017" t="s">
        <v>3267</v>
      </c>
      <c r="D100" s="3017" t="s">
        <v>3337</v>
      </c>
      <c r="E100" s="3017" t="s">
        <v>3336</v>
      </c>
      <c r="F100" s="3017" t="s">
        <v>3326</v>
      </c>
      <c r="G100" s="3017" t="s">
        <v>3269</v>
      </c>
      <c r="H100" s="3017">
        <v>11</v>
      </c>
      <c r="I100" s="3017">
        <v>70.69</v>
      </c>
    </row>
    <row r="101" spans="1:12" ht="36.75" customHeight="1">
      <c r="A101" s="3015">
        <v>99</v>
      </c>
      <c r="B101" s="3017" t="s">
        <v>3335</v>
      </c>
      <c r="C101" s="3017" t="s">
        <v>3267</v>
      </c>
      <c r="D101" s="3017" t="s">
        <v>3334</v>
      </c>
      <c r="E101" s="3017" t="s">
        <v>3333</v>
      </c>
      <c r="F101" s="3017" t="s">
        <v>3326</v>
      </c>
      <c r="G101" s="3017" t="s">
        <v>3269</v>
      </c>
      <c r="H101" s="3017">
        <v>11</v>
      </c>
      <c r="I101" s="3017">
        <v>70.69</v>
      </c>
    </row>
    <row r="102" spans="1:12" ht="36.75" customHeight="1">
      <c r="A102" s="3015">
        <v>100</v>
      </c>
      <c r="B102" s="3017" t="s">
        <v>3332</v>
      </c>
      <c r="C102" s="3017" t="s">
        <v>3267</v>
      </c>
      <c r="D102" s="3017" t="s">
        <v>3331</v>
      </c>
      <c r="E102" s="3017" t="s">
        <v>3330</v>
      </c>
      <c r="F102" s="3017" t="s">
        <v>3326</v>
      </c>
      <c r="G102" s="3017" t="s">
        <v>3269</v>
      </c>
      <c r="H102" s="3017">
        <v>11</v>
      </c>
      <c r="I102" s="3017">
        <v>70.69</v>
      </c>
    </row>
    <row r="103" spans="1:12" ht="36.75" customHeight="1">
      <c r="A103" s="3015">
        <v>101</v>
      </c>
      <c r="B103" s="3017" t="s">
        <v>3329</v>
      </c>
      <c r="C103" s="3017" t="s">
        <v>3267</v>
      </c>
      <c r="D103" s="3017" t="s">
        <v>3328</v>
      </c>
      <c r="E103" s="3017" t="s">
        <v>3327</v>
      </c>
      <c r="F103" s="3017" t="s">
        <v>3326</v>
      </c>
      <c r="G103" s="3017" t="s">
        <v>3269</v>
      </c>
      <c r="H103" s="3017">
        <v>11</v>
      </c>
      <c r="I103" s="3017">
        <v>73.02</v>
      </c>
    </row>
    <row r="104" spans="1:12" s="3018" customFormat="1" ht="36.75" customHeight="1">
      <c r="B104" s="3020" t="s">
        <v>3325</v>
      </c>
      <c r="C104" s="3020"/>
      <c r="D104" s="3020"/>
      <c r="E104" s="3020"/>
      <c r="F104" s="3020"/>
      <c r="G104" s="3020"/>
      <c r="H104" s="3020"/>
      <c r="I104" s="3020">
        <f>SUM(I5:I103)</f>
        <v>8532.39</v>
      </c>
      <c r="J104" s="3019"/>
      <c r="K104" s="3019"/>
      <c r="L104" s="3019"/>
    </row>
    <row r="105" spans="1:12" ht="36.75" customHeight="1">
      <c r="A105" s="3015">
        <v>102</v>
      </c>
      <c r="B105" s="3017" t="s">
        <v>3324</v>
      </c>
      <c r="C105" s="3017" t="s">
        <v>3267</v>
      </c>
      <c r="D105" s="3017" t="s">
        <v>3323</v>
      </c>
      <c r="E105" s="3017" t="s">
        <v>3322</v>
      </c>
      <c r="F105" s="3017" t="s">
        <v>3270</v>
      </c>
      <c r="G105" s="3017" t="s">
        <v>3269</v>
      </c>
      <c r="H105" s="3017">
        <v>-1</v>
      </c>
      <c r="I105" s="3017">
        <v>43.11</v>
      </c>
    </row>
    <row r="106" spans="1:12" ht="36.75" customHeight="1">
      <c r="A106" s="3015">
        <v>103</v>
      </c>
      <c r="B106" s="3017" t="s">
        <v>3321</v>
      </c>
      <c r="C106" s="3017" t="s">
        <v>3267</v>
      </c>
      <c r="D106" s="3017" t="s">
        <v>3320</v>
      </c>
      <c r="E106" s="3017" t="s">
        <v>3319</v>
      </c>
      <c r="F106" s="3017" t="s">
        <v>3270</v>
      </c>
      <c r="G106" s="3017" t="s">
        <v>3269</v>
      </c>
      <c r="H106" s="3017">
        <v>-1</v>
      </c>
      <c r="I106" s="3017">
        <v>43.11</v>
      </c>
    </row>
    <row r="107" spans="1:12" ht="36.75" customHeight="1">
      <c r="A107" s="3015">
        <v>104</v>
      </c>
      <c r="B107" s="3017" t="s">
        <v>3318</v>
      </c>
      <c r="C107" s="3017" t="s">
        <v>3267</v>
      </c>
      <c r="D107" s="3017" t="s">
        <v>3317</v>
      </c>
      <c r="E107" s="3017" t="s">
        <v>3316</v>
      </c>
      <c r="F107" s="3017" t="s">
        <v>3270</v>
      </c>
      <c r="G107" s="3017" t="s">
        <v>3269</v>
      </c>
      <c r="H107" s="3017">
        <v>-1</v>
      </c>
      <c r="I107" s="3017">
        <v>43.11</v>
      </c>
    </row>
    <row r="108" spans="1:12" ht="36.75" customHeight="1">
      <c r="A108" s="3015">
        <v>105</v>
      </c>
      <c r="B108" s="3017" t="s">
        <v>3315</v>
      </c>
      <c r="C108" s="3017" t="s">
        <v>3267</v>
      </c>
      <c r="D108" s="3017" t="s">
        <v>3314</v>
      </c>
      <c r="E108" s="3017" t="s">
        <v>3313</v>
      </c>
      <c r="F108" s="3017" t="s">
        <v>3270</v>
      </c>
      <c r="G108" s="3017" t="s">
        <v>3269</v>
      </c>
      <c r="H108" s="3017">
        <v>-1</v>
      </c>
      <c r="I108" s="3017">
        <v>43.11</v>
      </c>
    </row>
    <row r="109" spans="1:12" ht="36.75" customHeight="1">
      <c r="A109" s="3015">
        <v>106</v>
      </c>
      <c r="B109" s="3017" t="s">
        <v>3312</v>
      </c>
      <c r="C109" s="3017" t="s">
        <v>3267</v>
      </c>
      <c r="D109" s="3017" t="s">
        <v>3311</v>
      </c>
      <c r="E109" s="3017" t="s">
        <v>3310</v>
      </c>
      <c r="F109" s="3017" t="s">
        <v>3270</v>
      </c>
      <c r="G109" s="3017" t="s">
        <v>3269</v>
      </c>
      <c r="H109" s="3017">
        <v>-1</v>
      </c>
      <c r="I109" s="3017">
        <v>43.11</v>
      </c>
    </row>
    <row r="110" spans="1:12" ht="36.75" customHeight="1">
      <c r="A110" s="3015">
        <v>107</v>
      </c>
      <c r="B110" s="3017" t="s">
        <v>3309</v>
      </c>
      <c r="C110" s="3017" t="s">
        <v>3267</v>
      </c>
      <c r="D110" s="3017" t="s">
        <v>3308</v>
      </c>
      <c r="E110" s="3017" t="s">
        <v>3307</v>
      </c>
      <c r="F110" s="3017" t="s">
        <v>3270</v>
      </c>
      <c r="G110" s="3017" t="s">
        <v>3269</v>
      </c>
      <c r="H110" s="3017">
        <v>-1</v>
      </c>
      <c r="I110" s="3017">
        <v>43.11</v>
      </c>
    </row>
    <row r="111" spans="1:12" ht="36.75" customHeight="1">
      <c r="A111" s="3015">
        <v>108</v>
      </c>
      <c r="B111" s="3017" t="s">
        <v>3306</v>
      </c>
      <c r="C111" s="3017" t="s">
        <v>3267</v>
      </c>
      <c r="D111" s="3017" t="s">
        <v>3305</v>
      </c>
      <c r="E111" s="3017" t="s">
        <v>3304</v>
      </c>
      <c r="F111" s="3017" t="s">
        <v>3270</v>
      </c>
      <c r="G111" s="3017" t="s">
        <v>3269</v>
      </c>
      <c r="H111" s="3017">
        <v>-1</v>
      </c>
      <c r="I111" s="3017">
        <v>43.11</v>
      </c>
    </row>
    <row r="112" spans="1:12" ht="36.75" customHeight="1">
      <c r="A112" s="3015">
        <v>109</v>
      </c>
      <c r="B112" s="3017" t="s">
        <v>3303</v>
      </c>
      <c r="C112" s="3017" t="s">
        <v>3267</v>
      </c>
      <c r="D112" s="3017" t="s">
        <v>3302</v>
      </c>
      <c r="E112" s="3017" t="s">
        <v>3301</v>
      </c>
      <c r="F112" s="3017" t="s">
        <v>3270</v>
      </c>
      <c r="G112" s="3017" t="s">
        <v>3269</v>
      </c>
      <c r="H112" s="3017">
        <v>-1</v>
      </c>
      <c r="I112" s="3017">
        <v>43.11</v>
      </c>
    </row>
    <row r="113" spans="1:12" ht="36.75" customHeight="1">
      <c r="A113" s="3015">
        <v>110</v>
      </c>
      <c r="B113" s="3017" t="s">
        <v>3300</v>
      </c>
      <c r="C113" s="3017" t="s">
        <v>3267</v>
      </c>
      <c r="D113" s="3017" t="s">
        <v>3299</v>
      </c>
      <c r="E113" s="3017" t="s">
        <v>3298</v>
      </c>
      <c r="F113" s="3017" t="s">
        <v>3270</v>
      </c>
      <c r="G113" s="3017" t="s">
        <v>3269</v>
      </c>
      <c r="H113" s="3017">
        <v>-1</v>
      </c>
      <c r="I113" s="3017">
        <v>43.11</v>
      </c>
    </row>
    <row r="114" spans="1:12" ht="36.75" customHeight="1">
      <c r="A114" s="3015">
        <v>111</v>
      </c>
      <c r="B114" s="3017" t="s">
        <v>3297</v>
      </c>
      <c r="C114" s="3017" t="s">
        <v>3267</v>
      </c>
      <c r="D114" s="3017" t="s">
        <v>3296</v>
      </c>
      <c r="E114" s="3017" t="s">
        <v>3295</v>
      </c>
      <c r="F114" s="3017" t="s">
        <v>3270</v>
      </c>
      <c r="G114" s="3017" t="s">
        <v>3269</v>
      </c>
      <c r="H114" s="3017">
        <v>-1</v>
      </c>
      <c r="I114" s="3017">
        <v>43.11</v>
      </c>
    </row>
    <row r="115" spans="1:12" ht="36.75" customHeight="1">
      <c r="A115" s="3015">
        <v>112</v>
      </c>
      <c r="B115" s="3017" t="s">
        <v>3294</v>
      </c>
      <c r="C115" s="3017" t="s">
        <v>3267</v>
      </c>
      <c r="D115" s="3017" t="s">
        <v>3293</v>
      </c>
      <c r="E115" s="3017" t="s">
        <v>3292</v>
      </c>
      <c r="F115" s="3017" t="s">
        <v>3270</v>
      </c>
      <c r="G115" s="3017" t="s">
        <v>3269</v>
      </c>
      <c r="H115" s="3017">
        <v>-1</v>
      </c>
      <c r="I115" s="3017">
        <v>43.11</v>
      </c>
    </row>
    <row r="116" spans="1:12" ht="36.75" customHeight="1">
      <c r="A116" s="3015">
        <v>113</v>
      </c>
      <c r="B116" s="3017" t="s">
        <v>3291</v>
      </c>
      <c r="C116" s="3017" t="s">
        <v>3267</v>
      </c>
      <c r="D116" s="3017" t="s">
        <v>3290</v>
      </c>
      <c r="E116" s="3017" t="s">
        <v>3289</v>
      </c>
      <c r="F116" s="3017" t="s">
        <v>3270</v>
      </c>
      <c r="G116" s="3017" t="s">
        <v>3269</v>
      </c>
      <c r="H116" s="3017">
        <v>-1</v>
      </c>
      <c r="I116" s="3017">
        <v>43.11</v>
      </c>
    </row>
    <row r="117" spans="1:12" ht="36.75" customHeight="1">
      <c r="A117" s="3015">
        <v>114</v>
      </c>
      <c r="B117" s="3017" t="s">
        <v>3288</v>
      </c>
      <c r="C117" s="3017" t="s">
        <v>3267</v>
      </c>
      <c r="D117" s="3017" t="s">
        <v>3287</v>
      </c>
      <c r="E117" s="3017" t="s">
        <v>3286</v>
      </c>
      <c r="F117" s="3017" t="s">
        <v>3270</v>
      </c>
      <c r="G117" s="3017" t="s">
        <v>3269</v>
      </c>
      <c r="H117" s="3017">
        <v>-1</v>
      </c>
      <c r="I117" s="3017">
        <v>43.11</v>
      </c>
    </row>
    <row r="118" spans="1:12" ht="36.75" customHeight="1">
      <c r="A118" s="3015">
        <v>115</v>
      </c>
      <c r="B118" s="3017" t="s">
        <v>3285</v>
      </c>
      <c r="C118" s="3017" t="s">
        <v>3267</v>
      </c>
      <c r="D118" s="3017" t="s">
        <v>3284</v>
      </c>
      <c r="E118" s="3017" t="s">
        <v>3283</v>
      </c>
      <c r="F118" s="3017" t="s">
        <v>3270</v>
      </c>
      <c r="G118" s="3017" t="s">
        <v>3269</v>
      </c>
      <c r="H118" s="3017">
        <v>-1</v>
      </c>
      <c r="I118" s="3017">
        <v>43.11</v>
      </c>
    </row>
    <row r="119" spans="1:12" ht="36.75" customHeight="1">
      <c r="A119" s="3015">
        <v>116</v>
      </c>
      <c r="B119" s="3017" t="s">
        <v>3282</v>
      </c>
      <c r="C119" s="3017" t="s">
        <v>3267</v>
      </c>
      <c r="D119" s="3017" t="s">
        <v>3281</v>
      </c>
      <c r="E119" s="3017" t="s">
        <v>3280</v>
      </c>
      <c r="F119" s="3017" t="s">
        <v>3270</v>
      </c>
      <c r="G119" s="3017" t="s">
        <v>3269</v>
      </c>
      <c r="H119" s="3017">
        <v>-1</v>
      </c>
      <c r="I119" s="3017">
        <v>43.11</v>
      </c>
    </row>
    <row r="120" spans="1:12" ht="36.75" customHeight="1">
      <c r="A120" s="3015">
        <v>117</v>
      </c>
      <c r="B120" s="3017" t="s">
        <v>3279</v>
      </c>
      <c r="C120" s="3017" t="s">
        <v>3267</v>
      </c>
      <c r="D120" s="3017" t="s">
        <v>3278</v>
      </c>
      <c r="E120" s="3017" t="s">
        <v>3277</v>
      </c>
      <c r="F120" s="3017" t="s">
        <v>3270</v>
      </c>
      <c r="G120" s="3017" t="s">
        <v>3269</v>
      </c>
      <c r="H120" s="3017">
        <v>-1</v>
      </c>
      <c r="I120" s="3017">
        <v>43.11</v>
      </c>
    </row>
    <row r="121" spans="1:12" ht="36.75" customHeight="1">
      <c r="A121" s="3015">
        <v>118</v>
      </c>
      <c r="B121" s="3017" t="s">
        <v>3276</v>
      </c>
      <c r="C121" s="3017" t="s">
        <v>3267</v>
      </c>
      <c r="D121" s="3017" t="s">
        <v>3275</v>
      </c>
      <c r="E121" s="3017" t="s">
        <v>3274</v>
      </c>
      <c r="F121" s="3017" t="s">
        <v>3270</v>
      </c>
      <c r="G121" s="3017" t="s">
        <v>3269</v>
      </c>
      <c r="H121" s="3017">
        <v>-1</v>
      </c>
      <c r="I121" s="3017">
        <v>43.11</v>
      </c>
    </row>
    <row r="122" spans="1:12" ht="36.75" customHeight="1">
      <c r="A122" s="3015">
        <v>119</v>
      </c>
      <c r="B122" s="3017" t="s">
        <v>3273</v>
      </c>
      <c r="C122" s="3017" t="s">
        <v>3267</v>
      </c>
      <c r="D122" s="3017" t="s">
        <v>3272</v>
      </c>
      <c r="E122" s="3017" t="s">
        <v>3271</v>
      </c>
      <c r="F122" s="3017" t="s">
        <v>3270</v>
      </c>
      <c r="G122" s="3017" t="s">
        <v>3269</v>
      </c>
      <c r="H122" s="3017">
        <v>-1</v>
      </c>
      <c r="I122" s="3017">
        <v>43.11</v>
      </c>
    </row>
    <row r="123" spans="1:12" ht="36.75" customHeight="1">
      <c r="A123" s="3015">
        <v>120</v>
      </c>
      <c r="B123" s="3017" t="s">
        <v>3268</v>
      </c>
      <c r="C123" s="3017" t="s">
        <v>3267</v>
      </c>
      <c r="D123" s="3017" t="s">
        <v>3266</v>
      </c>
      <c r="E123" s="3017" t="s">
        <v>3265</v>
      </c>
      <c r="F123" s="3017" t="s">
        <v>3264</v>
      </c>
      <c r="G123" s="3017" t="s">
        <v>3263</v>
      </c>
      <c r="H123" s="3017">
        <v>-1</v>
      </c>
      <c r="I123" s="3017">
        <v>43.11</v>
      </c>
    </row>
    <row r="124" spans="1:12" ht="36.75" customHeight="1">
      <c r="A124" s="3015">
        <v>121</v>
      </c>
      <c r="B124" s="3017" t="s">
        <v>3262</v>
      </c>
      <c r="C124" s="3017" t="s">
        <v>3252</v>
      </c>
      <c r="D124" s="3017" t="s">
        <v>3261</v>
      </c>
      <c r="E124" s="3017" t="s">
        <v>3260</v>
      </c>
      <c r="F124" s="3017" t="s">
        <v>3249</v>
      </c>
      <c r="G124" s="3017" t="s">
        <v>3248</v>
      </c>
      <c r="H124" s="3017">
        <v>-1</v>
      </c>
      <c r="I124" s="3017">
        <v>43.11</v>
      </c>
    </row>
    <row r="125" spans="1:12" ht="36.75" customHeight="1">
      <c r="A125" s="3015">
        <v>122</v>
      </c>
      <c r="B125" s="3017" t="s">
        <v>3259</v>
      </c>
      <c r="C125" s="3017" t="s">
        <v>3252</v>
      </c>
      <c r="D125" s="3017" t="s">
        <v>3258</v>
      </c>
      <c r="E125" s="3017" t="s">
        <v>3257</v>
      </c>
      <c r="F125" s="3017" t="s">
        <v>3249</v>
      </c>
      <c r="G125" s="3017" t="s">
        <v>3248</v>
      </c>
      <c r="H125" s="3017">
        <v>-1</v>
      </c>
      <c r="I125" s="3017">
        <v>43.11</v>
      </c>
    </row>
    <row r="126" spans="1:12" ht="36.75" customHeight="1">
      <c r="A126" s="3015">
        <v>123</v>
      </c>
      <c r="B126" s="3017" t="s">
        <v>3256</v>
      </c>
      <c r="C126" s="3017" t="s">
        <v>3252</v>
      </c>
      <c r="D126" s="3017" t="s">
        <v>3255</v>
      </c>
      <c r="E126" s="3017" t="s">
        <v>3254</v>
      </c>
      <c r="F126" s="3017" t="s">
        <v>3249</v>
      </c>
      <c r="G126" s="3017" t="s">
        <v>3248</v>
      </c>
      <c r="H126" s="3017">
        <v>-1</v>
      </c>
      <c r="I126" s="3017">
        <v>43.11</v>
      </c>
    </row>
    <row r="127" spans="1:12" ht="36.75" customHeight="1">
      <c r="A127" s="3015">
        <v>124</v>
      </c>
      <c r="B127" s="3017" t="s">
        <v>3253</v>
      </c>
      <c r="C127" s="3017" t="s">
        <v>3252</v>
      </c>
      <c r="D127" s="3017" t="s">
        <v>3251</v>
      </c>
      <c r="E127" s="3017" t="s">
        <v>3250</v>
      </c>
      <c r="F127" s="3017" t="s">
        <v>3249</v>
      </c>
      <c r="G127" s="3017" t="s">
        <v>3248</v>
      </c>
      <c r="H127" s="3017">
        <v>-1</v>
      </c>
      <c r="I127" s="3017">
        <v>43.11</v>
      </c>
    </row>
    <row r="128" spans="1:12" s="3018" customFormat="1" ht="36.75" customHeight="1">
      <c r="B128" s="3020" t="s">
        <v>3247</v>
      </c>
      <c r="C128" s="3020"/>
      <c r="D128" s="3020"/>
      <c r="E128" s="3020"/>
      <c r="F128" s="3020"/>
      <c r="G128" s="3020"/>
      <c r="H128" s="3020"/>
      <c r="I128" s="3020">
        <f>SUM(I105:I127)</f>
        <v>991.5300000000002</v>
      </c>
      <c r="J128" s="3019"/>
      <c r="K128" s="3019"/>
      <c r="L128" s="3019"/>
    </row>
    <row r="129" spans="2:12" s="3018" customFormat="1" ht="36.75" customHeight="1">
      <c r="B129" s="3020" t="s">
        <v>3246</v>
      </c>
      <c r="C129" s="3020"/>
      <c r="D129" s="3020"/>
      <c r="E129" s="3020"/>
      <c r="F129" s="3020"/>
      <c r="G129" s="3020"/>
      <c r="H129" s="3020"/>
      <c r="I129" s="3020">
        <f>I4+I104+I128</f>
        <v>11628.210000000001</v>
      </c>
      <c r="J129" s="3019"/>
      <c r="K129" s="3019"/>
      <c r="L129" s="3019"/>
    </row>
  </sheetData>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G21" sqref="G21"/>
    </sheetView>
  </sheetViews>
  <sheetFormatPr defaultColWidth="9.125" defaultRowHeight="14.25"/>
  <cols>
    <col min="1" max="1" width="12.125" style="2221" customWidth="1"/>
    <col min="2" max="2" width="10.1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125" style="2221"/>
  </cols>
  <sheetData>
    <row r="1" spans="1:16" ht="18.75">
      <c r="A1" s="2220" t="s">
        <v>1932</v>
      </c>
      <c r="B1" s="1388"/>
      <c r="C1" s="1388"/>
      <c r="D1" s="1388"/>
      <c r="E1" s="1388"/>
      <c r="F1" s="1388"/>
      <c r="G1" s="1388"/>
      <c r="H1" s="1388"/>
      <c r="I1" s="1388"/>
      <c r="J1" s="1388"/>
      <c r="K1" s="1388"/>
      <c r="L1" s="1388"/>
      <c r="M1" s="1388"/>
      <c r="N1" s="1388"/>
      <c r="O1" s="1388"/>
      <c r="P1" s="1388"/>
    </row>
    <row r="2" spans="1:16" ht="15">
      <c r="A2" s="3147" t="s">
        <v>1933</v>
      </c>
      <c r="B2" s="3147"/>
      <c r="C2" s="3147"/>
      <c r="D2" s="963" t="s">
        <v>1909</v>
      </c>
      <c r="E2" s="2222" t="s">
        <v>1910</v>
      </c>
      <c r="F2" s="1388"/>
      <c r="G2" s="2223"/>
      <c r="H2" s="2224"/>
      <c r="I2" s="2225" t="s">
        <v>1934</v>
      </c>
      <c r="J2" s="1388"/>
      <c r="K2" s="1388"/>
      <c r="L2" s="1388"/>
      <c r="M2" s="1388"/>
      <c r="N2" s="1423"/>
      <c r="O2" s="1388"/>
      <c r="P2" s="1388"/>
    </row>
    <row r="3" spans="1:16" ht="15.75" thickBot="1">
      <c r="A3" s="3148" t="s">
        <v>1907</v>
      </c>
      <c r="B3" s="3148"/>
      <c r="C3" s="3148"/>
      <c r="D3" s="46">
        <f>'数据-基础表'!AY6</f>
        <v>966.97</v>
      </c>
      <c r="E3" s="46">
        <f>'数据-基础表'!AZ5</f>
        <v>11628.210000000001</v>
      </c>
      <c r="F3" s="1388"/>
      <c r="G3" s="1395"/>
      <c r="H3" s="1243" t="s">
        <v>1908</v>
      </c>
      <c r="I3" s="55">
        <f>ROUND('数据-基础表'!B3/'数据-基础表'!A3,2)</f>
        <v>12.03</v>
      </c>
      <c r="J3" s="1388"/>
      <c r="K3" s="1388"/>
      <c r="L3" s="1388"/>
      <c r="M3" s="1388"/>
      <c r="N3" s="1423"/>
      <c r="O3" s="1388"/>
      <c r="P3" s="1388"/>
    </row>
    <row r="4" spans="1:16" ht="15">
      <c r="A4" s="3149"/>
      <c r="B4" s="3150"/>
      <c r="C4" s="3151"/>
      <c r="D4" s="2226" t="s">
        <v>1909</v>
      </c>
      <c r="E4" s="2227" t="s">
        <v>1910</v>
      </c>
      <c r="F4" s="1388"/>
      <c r="G4" s="2228" t="s">
        <v>1935</v>
      </c>
      <c r="H4" s="1243" t="s">
        <v>1915</v>
      </c>
      <c r="I4" s="55">
        <f>ROUND(SUMIF('数据-基础表'!I9:AS9,"地上",'数据-基础表'!I5:AS5)/'数据-基础表'!A3,2)</f>
        <v>11</v>
      </c>
      <c r="J4" s="1388"/>
      <c r="K4" s="1388"/>
      <c r="L4" s="1388"/>
      <c r="M4" s="1388"/>
      <c r="N4" s="1423"/>
      <c r="O4" s="1388"/>
      <c r="P4" s="1388"/>
    </row>
    <row r="5" spans="1:16">
      <c r="A5" s="47" t="s">
        <v>1911</v>
      </c>
      <c r="B5" s="3152" t="s">
        <v>1912</v>
      </c>
      <c r="C5" s="3152"/>
      <c r="D5" s="48">
        <f>ROUND($D$3*E5/$E$3,2)</f>
        <v>0</v>
      </c>
      <c r="E5" s="49">
        <f>SUMIF('数据-基础表'!$11:$11,"住宅",'数据-基础表'!$5:$5)</f>
        <v>0</v>
      </c>
      <c r="F5" s="1388"/>
      <c r="G5" s="1395"/>
      <c r="H5" s="1243" t="s">
        <v>1908</v>
      </c>
      <c r="I5" s="55">
        <f>ROUND(E31/D31,2)</f>
        <v>12.03</v>
      </c>
      <c r="J5" s="1388"/>
      <c r="K5" s="1388"/>
      <c r="L5" s="1388"/>
      <c r="M5" s="1388"/>
      <c r="N5" s="1388"/>
      <c r="O5" s="1388"/>
      <c r="P5" s="1388"/>
    </row>
    <row r="6" spans="1:16" ht="15" thickBot="1">
      <c r="A6" s="2229"/>
      <c r="B6" s="3152" t="s">
        <v>1913</v>
      </c>
      <c r="C6" s="3152"/>
      <c r="D6" s="48">
        <f>ROUND($D$3*E6/$E$3,2)</f>
        <v>966.97</v>
      </c>
      <c r="E6" s="49">
        <f>E3-E5</f>
        <v>11628.210000000001</v>
      </c>
      <c r="F6" s="1388"/>
      <c r="G6" s="2230" t="s">
        <v>1914</v>
      </c>
      <c r="H6" s="1395" t="s">
        <v>1915</v>
      </c>
      <c r="I6" s="935">
        <f>ROUND(F31/D31,2)</f>
        <v>11</v>
      </c>
      <c r="J6" s="1388"/>
      <c r="K6" s="1388"/>
      <c r="L6" s="1388"/>
      <c r="M6" s="1388"/>
      <c r="N6" s="1388"/>
      <c r="O6" s="1388"/>
      <c r="P6" s="1388"/>
    </row>
    <row r="7" spans="1:16" ht="15">
      <c r="A7" s="3144"/>
      <c r="B7" s="3145"/>
      <c r="C7" s="3146"/>
      <c r="D7" s="2226" t="s">
        <v>1909</v>
      </c>
      <c r="E7" s="2231" t="s">
        <v>1916</v>
      </c>
      <c r="F7" s="1388"/>
      <c r="G7" s="2223" t="s">
        <v>1917</v>
      </c>
      <c r="H7" s="64"/>
      <c r="I7" s="420"/>
      <c r="J7" s="1388"/>
      <c r="K7" s="1388"/>
      <c r="L7" s="1388"/>
      <c r="M7" s="1388"/>
      <c r="N7" s="1388"/>
      <c r="O7" s="1388"/>
      <c r="P7" s="1388"/>
    </row>
    <row r="8" spans="1:16">
      <c r="A8" s="47" t="s">
        <v>1918</v>
      </c>
      <c r="B8" s="50" t="s">
        <v>1919</v>
      </c>
      <c r="C8" s="48" t="s">
        <v>1920</v>
      </c>
      <c r="D8" s="48">
        <f t="shared" ref="D8:D15" si="0">ROUND($D$3*E8/$E$3,2)</f>
        <v>884.52</v>
      </c>
      <c r="E8" s="51">
        <f>SUMIF('数据-基础表'!BB10:BK10,"地上",'数据-基础表'!BB5:BK5)</f>
        <v>10636.68</v>
      </c>
      <c r="F8" s="1388"/>
      <c r="G8" s="2232"/>
      <c r="H8" s="2232"/>
      <c r="I8" s="1388"/>
      <c r="J8" s="1388"/>
      <c r="K8" s="1388"/>
      <c r="L8" s="1388"/>
      <c r="M8" s="1388"/>
      <c r="N8" s="1388"/>
      <c r="O8" s="1388"/>
      <c r="P8" s="1388"/>
    </row>
    <row r="9" spans="1:16">
      <c r="A9" s="2233"/>
      <c r="B9" s="2234"/>
      <c r="C9" s="48" t="s">
        <v>1921</v>
      </c>
      <c r="D9" s="48">
        <f t="shared" si="0"/>
        <v>0</v>
      </c>
      <c r="E9" s="52">
        <v>0</v>
      </c>
      <c r="F9" s="1388"/>
      <c r="G9" s="2232"/>
      <c r="H9" s="2232"/>
      <c r="I9" s="1388"/>
      <c r="J9" s="1388"/>
      <c r="K9" s="1388"/>
      <c r="L9" s="1388"/>
      <c r="M9" s="1388"/>
      <c r="N9" s="1388"/>
      <c r="O9" s="1388"/>
      <c r="P9" s="1388"/>
    </row>
    <row r="10" spans="1:16">
      <c r="A10" s="2233"/>
      <c r="B10" s="2234"/>
      <c r="C10" s="48" t="s">
        <v>1930</v>
      </c>
      <c r="D10" s="48">
        <f t="shared" si="0"/>
        <v>0</v>
      </c>
      <c r="E10" s="51">
        <f>SUMPRODUCT(('数据-基础表'!BB10:BK10="地下")*('数据-基础表'!BB11:BK11="商业")*('数据-基础表'!BB5:BK5))</f>
        <v>0</v>
      </c>
      <c r="F10" s="1388"/>
      <c r="G10" s="2232"/>
      <c r="H10" s="2232"/>
      <c r="I10" s="1388"/>
      <c r="J10" s="1388"/>
      <c r="K10" s="1388"/>
      <c r="L10" s="1388"/>
      <c r="M10" s="1388"/>
      <c r="N10" s="1388"/>
      <c r="O10" s="1388"/>
      <c r="P10" s="1388"/>
    </row>
    <row r="11" spans="1:16">
      <c r="A11" s="2233"/>
      <c r="B11" s="2234"/>
      <c r="C11" s="48" t="s">
        <v>1922</v>
      </c>
      <c r="D11" s="48">
        <f t="shared" si="0"/>
        <v>0</v>
      </c>
      <c r="E11" s="51">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c r="A12" s="2233"/>
      <c r="B12" s="2234"/>
      <c r="C12" s="48" t="s">
        <v>1923</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8" t="s">
        <v>1924</v>
      </c>
      <c r="D13" s="48">
        <f t="shared" si="0"/>
        <v>0</v>
      </c>
      <c r="E13" s="51">
        <f>SUMPRODUCT(('数据-基础表'!BB10:BK10="地下")*('数据-基础表'!BB11:BK11="车库")*('数据-基础表'!BB5:BK5))</f>
        <v>0</v>
      </c>
      <c r="F13" s="1388"/>
      <c r="G13" s="2232"/>
      <c r="H13" s="2232"/>
      <c r="I13" s="1388"/>
      <c r="J13" s="1388"/>
      <c r="K13" s="1388"/>
      <c r="L13" s="1388"/>
      <c r="M13" s="1388"/>
      <c r="N13" s="1388"/>
      <c r="O13" s="1388"/>
      <c r="P13" s="1388"/>
    </row>
    <row r="14" spans="1:16">
      <c r="A14" s="2233"/>
      <c r="B14" s="2234"/>
      <c r="C14" s="48" t="s">
        <v>1936</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1931</v>
      </c>
      <c r="D15" s="48">
        <f t="shared" si="0"/>
        <v>82.45</v>
      </c>
      <c r="E15" s="51">
        <f>SUMPRODUCT(('数据-基础表'!BB10:BK10="地下")*('数据-基础表'!BB11:BK11="车库—办公")*('数据-基础表'!BB5:BK5))</f>
        <v>991.5300000000002</v>
      </c>
      <c r="F15" s="1388"/>
      <c r="G15" s="2232"/>
      <c r="H15" s="2232"/>
      <c r="I15" s="1388"/>
      <c r="J15" s="1388"/>
      <c r="K15" s="1388"/>
      <c r="L15" s="1388"/>
      <c r="M15" s="1388"/>
      <c r="N15" s="1388"/>
      <c r="O15" s="1388"/>
      <c r="P15" s="1388"/>
    </row>
    <row r="16" spans="1:16" ht="15.75" thickBot="1">
      <c r="A16" s="2229"/>
      <c r="B16" s="2234"/>
      <c r="C16" s="50" t="s">
        <v>1925</v>
      </c>
      <c r="D16" s="50">
        <f>SUM(D8:D15)</f>
        <v>966.97</v>
      </c>
      <c r="E16" s="53">
        <f>SUM(E8:E15)</f>
        <v>11628.210000000001</v>
      </c>
      <c r="F16" s="1388"/>
      <c r="G16" s="2232"/>
      <c r="H16" s="2235" t="s">
        <v>1937</v>
      </c>
      <c r="I16" s="2236"/>
      <c r="J16" s="1388"/>
      <c r="K16" s="3141" t="s">
        <v>1937</v>
      </c>
      <c r="L16" s="3142"/>
      <c r="M16" s="3142"/>
      <c r="N16" s="3142"/>
      <c r="O16" s="3142"/>
      <c r="P16" s="3143"/>
    </row>
    <row r="17" spans="1:19" ht="15">
      <c r="A17" s="2237" t="s">
        <v>1938</v>
      </c>
      <c r="B17" s="2238" t="s">
        <v>1939</v>
      </c>
      <c r="C17" s="2239" t="s">
        <v>1940</v>
      </c>
      <c r="D17" s="2240" t="s">
        <v>1928</v>
      </c>
      <c r="E17" s="2241" t="s">
        <v>1929</v>
      </c>
      <c r="F17" s="2242"/>
      <c r="G17" s="2243"/>
      <c r="H17" s="2244" t="s">
        <v>1941</v>
      </c>
      <c r="I17" s="2245" t="s">
        <v>1926</v>
      </c>
      <c r="J17" s="1388"/>
      <c r="K17" s="3138" t="s">
        <v>1942</v>
      </c>
      <c r="L17" s="3139"/>
      <c r="M17" s="3140"/>
      <c r="N17" s="3138" t="s">
        <v>1943</v>
      </c>
      <c r="O17" s="3139"/>
      <c r="P17" s="3140"/>
      <c r="R17" s="2223" t="s">
        <v>1944</v>
      </c>
      <c r="S17" s="64"/>
    </row>
    <row r="18" spans="1:19" ht="15">
      <c r="A18" s="2233"/>
      <c r="B18" s="2246"/>
      <c r="C18" s="2247"/>
      <c r="D18" s="2248"/>
      <c r="E18" s="2249" t="s">
        <v>1945</v>
      </c>
      <c r="F18" s="2250" t="s">
        <v>1946</v>
      </c>
      <c r="G18" s="2251" t="s">
        <v>1947</v>
      </c>
      <c r="H18" s="1258" t="s">
        <v>1948</v>
      </c>
      <c r="I18" s="2252" t="s">
        <v>1949</v>
      </c>
      <c r="J18" s="1388"/>
      <c r="K18" s="1258" t="s">
        <v>1950</v>
      </c>
      <c r="L18" s="2253" t="s">
        <v>1951</v>
      </c>
      <c r="M18" s="1042" t="s">
        <v>1952</v>
      </c>
      <c r="N18" s="1258" t="s">
        <v>1950</v>
      </c>
      <c r="O18" s="2253" t="s">
        <v>1951</v>
      </c>
      <c r="P18" s="1042" t="s">
        <v>1952</v>
      </c>
      <c r="R18" s="1243" t="s">
        <v>1953</v>
      </c>
      <c r="S18" s="1243" t="s">
        <v>1954</v>
      </c>
    </row>
    <row r="19" spans="1:19">
      <c r="A19" s="2254"/>
      <c r="B19" s="50" t="s">
        <v>1927</v>
      </c>
      <c r="C19" s="2946" t="s">
        <v>3061</v>
      </c>
      <c r="D19" s="48">
        <f>ROUND($D$3*E19/$E$3,2)</f>
        <v>709.53</v>
      </c>
      <c r="E19" s="56">
        <f t="shared" ref="E19:E26" si="1">SUM(F19:G19)</f>
        <v>8532.39</v>
      </c>
      <c r="F19" s="57">
        <f>'数据-基础表'!I13</f>
        <v>8532.39</v>
      </c>
      <c r="G19" s="58"/>
      <c r="H19" s="721">
        <f>ROUND($D$3*I19/$E$3,2)</f>
        <v>0</v>
      </c>
      <c r="I19" s="51">
        <f t="shared" ref="I19:I26" si="2">IF($I$17="自定义",P19,M19)</f>
        <v>0</v>
      </c>
      <c r="J19" s="1388"/>
      <c r="K19" s="1387">
        <f t="shared" ref="K19:K26" si="3">ROUND(E$28*E19/E$27,2)</f>
        <v>0</v>
      </c>
      <c r="L19" s="1243">
        <f t="shared" ref="L19:L26" si="4">ROUND(IF(COUNTIF(C19,"*住宅*")&gt;0,E$29*E19/E$32,0),2)</f>
        <v>0</v>
      </c>
      <c r="M19" s="1399">
        <f>K19+L19</f>
        <v>0</v>
      </c>
      <c r="N19" s="2255"/>
      <c r="O19" s="2256"/>
      <c r="P19" s="1399">
        <f>N19+O19</f>
        <v>0</v>
      </c>
      <c r="R19" s="1243">
        <f t="shared" ref="R19:S26" si="5">D19+H19</f>
        <v>709.53</v>
      </c>
      <c r="S19" s="1244">
        <f t="shared" si="5"/>
        <v>8532.39</v>
      </c>
    </row>
    <row r="20" spans="1:19">
      <c r="A20" s="2257"/>
      <c r="B20" s="50" t="s">
        <v>1955</v>
      </c>
      <c r="C20" s="2946" t="s">
        <v>3060</v>
      </c>
      <c r="D20" s="48">
        <f t="shared" ref="D20:D26" si="6">ROUND($D$3*E20/$E$3,2)</f>
        <v>174.99</v>
      </c>
      <c r="E20" s="56">
        <f t="shared" si="1"/>
        <v>2104.29</v>
      </c>
      <c r="F20" s="57">
        <f>'数据-基础表'!K13</f>
        <v>2104.29</v>
      </c>
      <c r="G20" s="58"/>
      <c r="H20" s="721">
        <f t="shared" ref="H20:H26" si="7">ROUND($D$3*I20/$E$3,2)</f>
        <v>0</v>
      </c>
      <c r="I20" s="51">
        <f t="shared" si="2"/>
        <v>0</v>
      </c>
      <c r="J20" s="1388"/>
      <c r="K20" s="1387">
        <f t="shared" si="3"/>
        <v>0</v>
      </c>
      <c r="L20" s="1243">
        <f t="shared" si="4"/>
        <v>0</v>
      </c>
      <c r="M20" s="1399">
        <f t="shared" ref="M20:M26" si="8">K20+L20</f>
        <v>0</v>
      </c>
      <c r="N20" s="2255"/>
      <c r="O20" s="2256"/>
      <c r="P20" s="1399">
        <f t="shared" ref="P20:P26" si="9">N20+O20</f>
        <v>0</v>
      </c>
      <c r="R20" s="1243">
        <f t="shared" si="5"/>
        <v>174.99</v>
      </c>
      <c r="S20" s="1244">
        <f t="shared" si="5"/>
        <v>2104.29</v>
      </c>
    </row>
    <row r="21" spans="1:19">
      <c r="A21" s="2257"/>
      <c r="B21" s="50" t="s">
        <v>1955</v>
      </c>
      <c r="C21" s="2946" t="s">
        <v>3063</v>
      </c>
      <c r="D21" s="48">
        <f t="shared" si="6"/>
        <v>82.45</v>
      </c>
      <c r="E21" s="56">
        <f t="shared" si="1"/>
        <v>991.5300000000002</v>
      </c>
      <c r="F21" s="57"/>
      <c r="G21" s="58">
        <f>'数据-基础表'!M13</f>
        <v>991.5300000000002</v>
      </c>
      <c r="H21" s="721">
        <f t="shared" si="7"/>
        <v>0</v>
      </c>
      <c r="I21" s="51">
        <f t="shared" si="2"/>
        <v>0</v>
      </c>
      <c r="J21" s="1388"/>
      <c r="K21" s="1387">
        <f t="shared" si="3"/>
        <v>0</v>
      </c>
      <c r="L21" s="1243">
        <f t="shared" si="4"/>
        <v>0</v>
      </c>
      <c r="M21" s="1399">
        <f t="shared" si="8"/>
        <v>0</v>
      </c>
      <c r="N21" s="2255"/>
      <c r="O21" s="2256"/>
      <c r="P21" s="1399">
        <f t="shared" si="9"/>
        <v>0</v>
      </c>
      <c r="R21" s="1243">
        <f t="shared" si="5"/>
        <v>82.45</v>
      </c>
      <c r="S21" s="1244">
        <f t="shared" si="5"/>
        <v>991.5300000000002</v>
      </c>
    </row>
    <row r="22" spans="1:19">
      <c r="A22" s="2257"/>
      <c r="B22" s="50" t="s">
        <v>1955</v>
      </c>
      <c r="C22" s="60"/>
      <c r="D22" s="48">
        <f t="shared" si="6"/>
        <v>0</v>
      </c>
      <c r="E22" s="56">
        <f t="shared" si="1"/>
        <v>0</v>
      </c>
      <c r="F22" s="61"/>
      <c r="G22" s="62"/>
      <c r="H22" s="721">
        <f t="shared" si="7"/>
        <v>0</v>
      </c>
      <c r="I22" s="51">
        <f t="shared" si="2"/>
        <v>0</v>
      </c>
      <c r="J22" s="1388"/>
      <c r="K22" s="1387">
        <f t="shared" si="3"/>
        <v>0</v>
      </c>
      <c r="L22" s="1243">
        <f t="shared" si="4"/>
        <v>0</v>
      </c>
      <c r="M22" s="1399">
        <f t="shared" si="8"/>
        <v>0</v>
      </c>
      <c r="N22" s="2255"/>
      <c r="O22" s="2256"/>
      <c r="P22" s="1399">
        <f t="shared" si="9"/>
        <v>0</v>
      </c>
      <c r="R22" s="1243">
        <f t="shared" si="5"/>
        <v>0</v>
      </c>
      <c r="S22" s="1244">
        <f t="shared" si="5"/>
        <v>0</v>
      </c>
    </row>
    <row r="23" spans="1:19">
      <c r="A23" s="2257"/>
      <c r="B23" s="50" t="s">
        <v>1955</v>
      </c>
      <c r="C23" s="60"/>
      <c r="D23" s="48">
        <f>ROUND($D$3*E23/$E$3,2)</f>
        <v>0</v>
      </c>
      <c r="E23" s="56">
        <f>SUM(F23:G23)</f>
        <v>0</v>
      </c>
      <c r="F23" s="61"/>
      <c r="G23" s="62"/>
      <c r="H23" s="721">
        <f>ROUND($D$3*I23/$E$3,2)</f>
        <v>0</v>
      </c>
      <c r="I23" s="51">
        <f t="shared" si="2"/>
        <v>0</v>
      </c>
      <c r="J23" s="1388"/>
      <c r="K23" s="1387">
        <f t="shared" si="3"/>
        <v>0</v>
      </c>
      <c r="L23" s="1243">
        <f t="shared" si="4"/>
        <v>0</v>
      </c>
      <c r="M23" s="1399">
        <f t="shared" si="8"/>
        <v>0</v>
      </c>
      <c r="N23" s="2255"/>
      <c r="O23" s="2256"/>
      <c r="P23" s="1399">
        <f t="shared" si="9"/>
        <v>0</v>
      </c>
      <c r="R23" s="1243">
        <f t="shared" si="5"/>
        <v>0</v>
      </c>
      <c r="S23" s="1244">
        <f t="shared" si="5"/>
        <v>0</v>
      </c>
    </row>
    <row r="24" spans="1:19">
      <c r="A24" s="2257"/>
      <c r="B24" s="50" t="s">
        <v>1955</v>
      </c>
      <c r="C24" s="60"/>
      <c r="D24" s="48">
        <f>ROUND($D$3*E24/$E$3,2)</f>
        <v>0</v>
      </c>
      <c r="E24" s="56">
        <f>SUM(F24:G24)</f>
        <v>0</v>
      </c>
      <c r="F24" s="61"/>
      <c r="G24" s="62"/>
      <c r="H24" s="721">
        <f>ROUND($D$3*I24/$E$3,2)</f>
        <v>0</v>
      </c>
      <c r="I24" s="51">
        <f t="shared" si="2"/>
        <v>0</v>
      </c>
      <c r="J24" s="1388"/>
      <c r="K24" s="1387">
        <f t="shared" si="3"/>
        <v>0</v>
      </c>
      <c r="L24" s="1243">
        <f t="shared" si="4"/>
        <v>0</v>
      </c>
      <c r="M24" s="1399">
        <f t="shared" si="8"/>
        <v>0</v>
      </c>
      <c r="N24" s="2255"/>
      <c r="O24" s="2256"/>
      <c r="P24" s="1399">
        <f t="shared" si="9"/>
        <v>0</v>
      </c>
      <c r="R24" s="1243">
        <f t="shared" si="5"/>
        <v>0</v>
      </c>
      <c r="S24" s="1244">
        <f t="shared" si="5"/>
        <v>0</v>
      </c>
    </row>
    <row r="25" spans="1:19">
      <c r="A25" s="2257"/>
      <c r="B25" s="50" t="s">
        <v>1955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5"/>
      <c r="O25" s="2256"/>
      <c r="P25" s="1399">
        <f t="shared" si="9"/>
        <v>0</v>
      </c>
      <c r="R25" s="1243">
        <f t="shared" si="5"/>
        <v>0</v>
      </c>
      <c r="S25" s="1244">
        <f t="shared" si="5"/>
        <v>0</v>
      </c>
    </row>
    <row r="26" spans="1:19">
      <c r="A26" s="2257"/>
      <c r="B26" s="50" t="s">
        <v>1955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8"/>
      <c r="O26" s="2259"/>
      <c r="P26" s="67">
        <f t="shared" si="9"/>
        <v>0</v>
      </c>
      <c r="R26" s="1243">
        <f t="shared" si="5"/>
        <v>0</v>
      </c>
      <c r="S26" s="1244">
        <f t="shared" si="5"/>
        <v>0</v>
      </c>
    </row>
    <row r="27" spans="1:19" ht="15.75" thickBot="1">
      <c r="A27" s="2257"/>
      <c r="B27" s="48"/>
      <c r="C27" s="2260" t="s">
        <v>1956</v>
      </c>
      <c r="D27" s="1389">
        <f>SUM(D19:D26)</f>
        <v>966.97</v>
      </c>
      <c r="E27" s="1390">
        <f>IF(SUM(E19:E26)='数据-基础表'!BA5,SUM(E19:E26),IF(F27="地上面积有误","面积有误","地下面积有误"))</f>
        <v>11628.210000000001</v>
      </c>
      <c r="F27" s="1389">
        <f>IF(SUM(F19:F26)=E8,SUM(F19:F26),"地上面积有误")</f>
        <v>10636.68</v>
      </c>
      <c r="G27" s="1391">
        <f>SUM(G19:G26)</f>
        <v>991.5300000000002</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966.97</v>
      </c>
      <c r="S27" s="1243">
        <f>IF(SUM(S19:S26)=$E$3,SUM(S19:S26),SUM(S19:S26)&amp;"误差"&amp;ROUND(SUM(S19:S26)-E3,2))</f>
        <v>11628.210000000001</v>
      </c>
    </row>
    <row r="28" spans="1:19">
      <c r="A28" s="2257"/>
      <c r="B28" s="50" t="s">
        <v>1957</v>
      </c>
      <c r="C28" s="1255" t="s">
        <v>1958</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7"/>
      <c r="B29" s="50" t="s">
        <v>1957</v>
      </c>
      <c r="C29" s="2261" t="s">
        <v>1959</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7"/>
      <c r="B30" s="50"/>
      <c r="C30" s="2262" t="s">
        <v>1956</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3"/>
      <c r="B31" s="2264"/>
      <c r="C31" s="1003" t="s">
        <v>1960</v>
      </c>
      <c r="D31" s="727">
        <f>D27+D30</f>
        <v>966.97</v>
      </c>
      <c r="E31" s="727">
        <f>E27+E30</f>
        <v>11628.210000000001</v>
      </c>
      <c r="F31" s="728">
        <f>F27+F30</f>
        <v>10636.68</v>
      </c>
      <c r="G31" s="729">
        <f>G27+G30</f>
        <v>991.5300000000002</v>
      </c>
      <c r="H31" s="1388"/>
      <c r="I31" s="1388"/>
      <c r="J31" s="1388"/>
      <c r="K31" s="1388"/>
      <c r="L31" s="1388"/>
      <c r="M31" s="1388"/>
      <c r="N31" s="1388"/>
      <c r="O31" s="1388"/>
      <c r="P31" s="1388"/>
    </row>
    <row r="32" spans="1:19">
      <c r="A32" s="2228"/>
      <c r="B32" s="2228" t="s">
        <v>1961</v>
      </c>
      <c r="C32" s="2228"/>
      <c r="D32" s="2228"/>
      <c r="E32" s="1270">
        <f>SUMIF(C19:C26,"*住宅*",E19:E26)</f>
        <v>0</v>
      </c>
      <c r="F32" s="2228"/>
      <c r="G32" s="2228"/>
      <c r="H32" s="1388"/>
      <c r="I32" s="1388"/>
      <c r="J32" s="1388"/>
      <c r="K32" s="1388"/>
      <c r="L32" s="1388"/>
      <c r="M32" s="1388"/>
      <c r="N32" s="1388"/>
      <c r="O32" s="1388"/>
      <c r="P32" s="1388"/>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zoomScalePageLayoutView="90" workbookViewId="0">
      <pane xSplit="3" ySplit="5" topLeftCell="H6" activePane="bottomRight" state="frozen"/>
      <selection activeCell="C50" sqref="C50"/>
      <selection pane="topRight" activeCell="C50" sqref="C50"/>
      <selection pane="bottomLeft" activeCell="C50" sqref="C50"/>
      <selection pane="bottomRight" activeCell="B35" sqref="B35"/>
    </sheetView>
  </sheetViews>
  <sheetFormatPr defaultColWidth="13.625" defaultRowHeight="12.75"/>
  <cols>
    <col min="1" max="1" width="20.875" style="2338" customWidth="1"/>
    <col min="2" max="2" width="12" style="2269" customWidth="1"/>
    <col min="3" max="3" width="10.625" style="2269" customWidth="1"/>
    <col min="4" max="4" width="9.125" style="2339"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625" style="2269" customWidth="1"/>
    <col min="31" max="31" width="8" style="2269" customWidth="1"/>
    <col min="32" max="34" width="7.125" style="2269" customWidth="1"/>
    <col min="35" max="35" width="8" style="2269" customWidth="1"/>
    <col min="36" max="36" width="16.125" style="2269" customWidth="1"/>
    <col min="37" max="39" width="8" style="2269" customWidth="1"/>
    <col min="40" max="40" width="13.625" style="2268"/>
    <col min="41" max="41" width="11.625" style="2268" customWidth="1"/>
    <col min="42" max="42" width="9.625" style="2268" customWidth="1"/>
    <col min="43" max="67" width="13.625" style="2268"/>
    <col min="68" max="16384" width="13.625" style="2269"/>
  </cols>
  <sheetData>
    <row r="1" spans="1:67" ht="19.5" thickBot="1">
      <c r="A1" s="2266" t="s">
        <v>1962</v>
      </c>
      <c r="B1" s="730"/>
      <c r="C1" s="1577"/>
      <c r="D1" s="2267"/>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0" t="s">
        <v>1963</v>
      </c>
      <c r="B2" s="1262">
        <f>项目基本情况!D3</f>
        <v>43185</v>
      </c>
      <c r="C2" s="2271"/>
      <c r="D2" s="2272"/>
      <c r="E2" s="2271"/>
      <c r="F2" s="2271"/>
      <c r="G2" s="2271"/>
      <c r="H2" s="2271"/>
      <c r="I2" s="2271"/>
      <c r="J2" s="2271"/>
      <c r="K2" s="1423"/>
      <c r="L2" s="1423"/>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5" thickBot="1">
      <c r="A3" s="2025"/>
      <c r="B3" s="2274"/>
      <c r="C3" s="2271"/>
      <c r="D3" s="2272"/>
      <c r="E3" s="2271"/>
      <c r="F3" s="2271"/>
      <c r="G3" s="2271"/>
      <c r="H3" s="2271"/>
      <c r="I3" s="2271"/>
      <c r="J3" s="2271"/>
      <c r="K3" s="1423"/>
      <c r="L3" s="1423"/>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8"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9" t="s">
        <v>1968</v>
      </c>
      <c r="AA4" s="2239"/>
      <c r="AB4" s="2239"/>
      <c r="AC4" s="2239"/>
      <c r="AD4" s="2239"/>
      <c r="AE4" s="2237" t="s">
        <v>1969</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42">
      <c r="A5" s="2283" t="s">
        <v>1970</v>
      </c>
      <c r="B5" s="2284" t="s">
        <v>1971</v>
      </c>
      <c r="C5" s="2285" t="s">
        <v>1972</v>
      </c>
      <c r="D5" s="2286" t="s">
        <v>1973</v>
      </c>
      <c r="E5" s="1264" t="s">
        <v>1974</v>
      </c>
      <c r="F5" s="2287" t="s">
        <v>1975</v>
      </c>
      <c r="G5" s="1264" t="s">
        <v>1976</v>
      </c>
      <c r="H5" s="1264" t="s">
        <v>1977</v>
      </c>
      <c r="I5" s="1264" t="s">
        <v>1978</v>
      </c>
      <c r="J5" s="2288" t="s">
        <v>1979</v>
      </c>
      <c r="K5" s="2289" t="s">
        <v>1980</v>
      </c>
      <c r="L5" s="2290" t="s">
        <v>1981</v>
      </c>
      <c r="M5" s="2291" t="s">
        <v>1982</v>
      </c>
      <c r="N5" s="2292" t="s">
        <v>3054</v>
      </c>
      <c r="O5" s="2290" t="s">
        <v>1983</v>
      </c>
      <c r="P5" s="2293" t="s">
        <v>1984</v>
      </c>
      <c r="Q5" s="69" t="s">
        <v>1985</v>
      </c>
      <c r="R5" s="2294" t="s">
        <v>1986</v>
      </c>
      <c r="S5" s="2295" t="s">
        <v>1987</v>
      </c>
      <c r="T5" s="2296" t="s">
        <v>1988</v>
      </c>
      <c r="U5" s="1263" t="s">
        <v>1989</v>
      </c>
      <c r="V5" s="1264" t="s">
        <v>1990</v>
      </c>
      <c r="W5" s="1264" t="s">
        <v>1991</v>
      </c>
      <c r="X5" s="71"/>
      <c r="Y5" s="70" t="s">
        <v>1992</v>
      </c>
      <c r="Z5" s="2297" t="s">
        <v>1989</v>
      </c>
      <c r="AA5" s="1264" t="s">
        <v>1990</v>
      </c>
      <c r="AB5" s="1264" t="s">
        <v>1991</v>
      </c>
      <c r="AC5" s="71"/>
      <c r="AD5" s="71" t="s">
        <v>1992</v>
      </c>
      <c r="AE5" s="1263" t="s">
        <v>1993</v>
      </c>
      <c r="AF5" s="1264" t="s">
        <v>1994</v>
      </c>
      <c r="AG5" s="70" t="s">
        <v>1995</v>
      </c>
      <c r="AH5" s="1263" t="s">
        <v>1996</v>
      </c>
      <c r="AI5" s="2297" t="s">
        <v>1997</v>
      </c>
      <c r="AJ5" s="2297" t="s">
        <v>1998</v>
      </c>
      <c r="AK5" s="1264" t="s">
        <v>1999</v>
      </c>
      <c r="AL5" s="1264" t="s">
        <v>2000</v>
      </c>
      <c r="AM5" s="70" t="s">
        <v>2001</v>
      </c>
      <c r="AN5" s="2298" t="s">
        <v>2002</v>
      </c>
      <c r="AO5" s="2069" t="s">
        <v>2003</v>
      </c>
      <c r="AP5" s="1245" t="s">
        <v>2004</v>
      </c>
      <c r="AQ5" s="2299" t="s">
        <v>2005</v>
      </c>
      <c r="AR5" s="2299" t="s">
        <v>2006</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0" t="str">
        <f>'数据-汇总表'!C19</f>
        <v>办公</v>
      </c>
      <c r="B6" s="2301" t="str">
        <f>IF(A6=0,"","经营性")</f>
        <v>经营性</v>
      </c>
      <c r="C6" s="2302" t="s">
        <v>27</v>
      </c>
      <c r="D6" s="1047">
        <f>SUMIF(项目基本情况!D$12:I$12,C6,项目基本情况!D$14:I$14)</f>
        <v>50</v>
      </c>
      <c r="E6" s="1044">
        <f>IF(B6="","",SUMIF(项目基本情况!D$12:I$12,C6,项目基本情况!D$13:I$13))</f>
        <v>58236</v>
      </c>
      <c r="F6" s="72">
        <f>SUMIF(项目基本情况!D$12:I$12,C6,项目基本情况!D$15:I$15)</f>
        <v>41.23</v>
      </c>
      <c r="G6" s="73">
        <f>IF(ISERROR(ROUND(POWER(1+H6,D6-F6)*(POWER(1+H6,F6)-1)/(POWER(1+H6,D6)-1),3)),0,ROUND(POWER(1+H6,D6-F6)*(POWER(1+H6,F6)-1)/(POWER(1+H6,D6)-1),3))</f>
        <v>0.94899999999999995</v>
      </c>
      <c r="H6" s="800">
        <v>0.05</v>
      </c>
      <c r="I6" s="800">
        <v>5.5E-2</v>
      </c>
      <c r="J6" s="74">
        <v>8.5000000000000006E-2</v>
      </c>
      <c r="K6" s="1247">
        <f>SUMIF('数据-汇总表'!C$19:C$33,A6,'数据-汇总表'!E$19:E$33)</f>
        <v>8532.39</v>
      </c>
      <c r="L6" s="801">
        <v>3000</v>
      </c>
      <c r="M6" s="75">
        <f t="shared" ref="M6:M14" si="0">ROUND(K6*L6/10000,0)</f>
        <v>2560</v>
      </c>
      <c r="N6" s="799">
        <f>ROUND(1-(2018-2012)/60,2)</f>
        <v>0.9</v>
      </c>
      <c r="O6" s="75" t="str">
        <f>IF($N$5="成新度","——",ROUND(M6*N6,0))</f>
        <v>——</v>
      </c>
      <c r="P6" s="76" t="str">
        <f>IF($N$5="成新度","——",M6-O6)</f>
        <v>——</v>
      </c>
      <c r="Q6" s="802">
        <v>0.15</v>
      </c>
      <c r="R6" s="77">
        <f ca="1">SUMIF('数据-汇总表'!C$19:C$33,A6,'数据-汇总表'!R$19:R$27)</f>
        <v>709.53</v>
      </c>
      <c r="S6" s="54">
        <f>IF('数据-汇总表'!$I$17="按面积比例",SUMIF('数据-汇总表'!C$19:C$33,A6,'数据-汇总表'!K$19:K$33),SUMIF('数据-汇总表'!C$19:C$33,A6,'数据-汇总表'!N$19:N$33))</f>
        <v>0</v>
      </c>
      <c r="T6" s="1439">
        <f>ROUND($L$14*S6/10000,0)</f>
        <v>0</v>
      </c>
      <c r="U6" s="78">
        <v>6</v>
      </c>
      <c r="V6" s="79">
        <v>3.5000000000000003E-2</v>
      </c>
      <c r="W6" s="79">
        <v>0.1</v>
      </c>
      <c r="X6" s="1257"/>
      <c r="Y6" s="80">
        <f>N6</f>
        <v>0.9</v>
      </c>
      <c r="Z6" s="81"/>
      <c r="AA6" s="74"/>
      <c r="AB6" s="74"/>
      <c r="AC6" s="1257"/>
      <c r="AD6" s="82"/>
      <c r="AE6" s="1258">
        <f ca="1">IF(AN6="",0,SUMIF(INDIRECT("'"&amp;AN6&amp;"'"&amp;"!E:E"),$AE$5,INDIRECT("'"&amp;AN6&amp;"'"&amp;"!F:F")))</f>
        <v>41.23</v>
      </c>
      <c r="AF6" s="1800"/>
      <c r="AG6" s="147">
        <f>IF(AF6="",0,AE6-AF6)</f>
        <v>0</v>
      </c>
      <c r="AH6" s="83"/>
      <c r="AI6" s="85">
        <v>365</v>
      </c>
      <c r="AJ6" s="86"/>
      <c r="AK6" s="87">
        <v>1.4999999999999999E-2</v>
      </c>
      <c r="AL6" s="88">
        <v>1.5E-3</v>
      </c>
      <c r="AM6" s="89">
        <v>0.01</v>
      </c>
      <c r="AN6" s="2303" t="s">
        <v>3069</v>
      </c>
      <c r="AO6" s="55">
        <f ca="1">SUMIF(INDIRECT("'"&amp;AN6&amp;"'"&amp;"!A:A"),"总价",INDIRECT("'"&amp;AN6&amp;"'"&amp;"!B:B"))</f>
        <v>35845</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4.25">
      <c r="A7" s="2300" t="str">
        <f>'数据-汇总表'!C20</f>
        <v>商业</v>
      </c>
      <c r="B7" s="2301" t="str">
        <f t="shared" ref="B7:B13" si="1">IF(A7=0,"","经营性")</f>
        <v>经营性</v>
      </c>
      <c r="C7" s="2302" t="s">
        <v>1377</v>
      </c>
      <c r="D7" s="1047">
        <f>SUMIF(项目基本情况!D$12:I$12,C7,项目基本情况!D$14:I$14)</f>
        <v>40</v>
      </c>
      <c r="E7" s="1044">
        <f>IF(B7="","",SUMIF(项目基本情况!D$12:I$12,C7,项目基本情况!D$13:I$13))</f>
        <v>54584</v>
      </c>
      <c r="F7" s="72">
        <f>SUMIF(项目基本情况!D$12:I$12,C7,项目基本情况!D$15:I$15)</f>
        <v>31.23</v>
      </c>
      <c r="G7" s="73">
        <f t="shared" ref="G7:G11" si="2">IF(ISERROR(ROUND(POWER(1+H7,D7-F7)*(POWER(1+H7,F7)-1)/(POWER(1+H7,D7)-1),3)),0,ROUND(POWER(1+H7,D7-F7)*(POWER(1+H7,F7)-1)/(POWER(1+H7,D7)-1),3))</f>
        <v>0.91200000000000003</v>
      </c>
      <c r="H7" s="800">
        <v>0.05</v>
      </c>
      <c r="I7" s="800">
        <v>0.06</v>
      </c>
      <c r="J7" s="74">
        <v>8.5000000000000006E-2</v>
      </c>
      <c r="K7" s="1247">
        <f>SUMIF('数据-汇总表'!C$19:C$33,A7,'数据-汇总表'!E$19:E$33)</f>
        <v>2104.29</v>
      </c>
      <c r="L7" s="801">
        <v>3000</v>
      </c>
      <c r="M7" s="75">
        <f t="shared" si="0"/>
        <v>631</v>
      </c>
      <c r="N7" s="799">
        <f t="shared" ref="N7:N13" si="3">ROUND(1-(2018-2012)/60,2)</f>
        <v>0.9</v>
      </c>
      <c r="O7" s="75" t="str">
        <f t="shared" ref="O7:O14" si="4">IF($N$5="成新度","——",ROUND(M7*N7,0))</f>
        <v>——</v>
      </c>
      <c r="P7" s="76" t="str">
        <f t="shared" ref="P7:P14" si="5">IF($N$5="成新度","——",M7-O7)</f>
        <v>——</v>
      </c>
      <c r="Q7" s="802">
        <v>0.2</v>
      </c>
      <c r="R7" s="77">
        <f ca="1">SUMIF('数据-汇总表'!C$19:C$33,A7,'数据-汇总表'!R$19:R$27)</f>
        <v>174.99</v>
      </c>
      <c r="S7" s="54">
        <f>IF('数据-汇总表'!$I$17="按面积比例",SUMIF('数据-汇总表'!C$19:C$33,A7,'数据-汇总表'!K$19:K$33),SUMIF('数据-汇总表'!C$19:C$33,A7,'数据-汇总表'!N$19:N$33))</f>
        <v>0</v>
      </c>
      <c r="T7" s="1439">
        <f t="shared" ref="T7:T13" si="6">ROUND($L$14*S7/10000,0)</f>
        <v>0</v>
      </c>
      <c r="U7" s="78">
        <v>8.5</v>
      </c>
      <c r="V7" s="79">
        <v>3.5000000000000003E-2</v>
      </c>
      <c r="W7" s="79">
        <v>0.1</v>
      </c>
      <c r="X7" s="1257"/>
      <c r="Y7" s="80">
        <f t="shared" ref="Y7:Y13" si="7">N7</f>
        <v>0.9</v>
      </c>
      <c r="Z7" s="81"/>
      <c r="AA7" s="74"/>
      <c r="AB7" s="74"/>
      <c r="AC7" s="1257"/>
      <c r="AD7" s="82"/>
      <c r="AE7" s="1258">
        <f t="shared" ref="AE7:AE13" ca="1" si="8">IF(AN7="",0,SUMIF(INDIRECT("'"&amp;AN7&amp;"'"&amp;"!E:E"),$AE$5,INDIRECT("'"&amp;AN7&amp;"'"&amp;"!F:F")))</f>
        <v>31.23</v>
      </c>
      <c r="AF7" s="1800"/>
      <c r="AG7" s="147">
        <f t="shared" ref="AG7:AG13" si="9">IF(AF7="",0,AE7-AF7)</f>
        <v>0</v>
      </c>
      <c r="AH7" s="83"/>
      <c r="AI7" s="85">
        <v>365</v>
      </c>
      <c r="AJ7" s="86"/>
      <c r="AK7" s="87">
        <v>1.4999999999999999E-2</v>
      </c>
      <c r="AL7" s="88">
        <v>1.5E-3</v>
      </c>
      <c r="AM7" s="89">
        <v>0.01</v>
      </c>
      <c r="AN7" s="2303" t="s">
        <v>3071</v>
      </c>
      <c r="AO7" s="55">
        <f t="shared" ref="AO7:AO13" ca="1" si="10">SUMIF(INDIRECT("'"&amp;AN7&amp;"'"&amp;"!A:A"),"总价",INDIRECT("'"&amp;AN7&amp;"'"&amp;"!B:B"))</f>
        <v>9800</v>
      </c>
      <c r="AP7" s="2304">
        <f t="shared" ref="AP7:AP13" si="11">IF(C7="住宅",K7*L7,0)</f>
        <v>0</v>
      </c>
      <c r="AQ7" s="55">
        <f t="shared" ref="AQ7:AQ13" si="12">ROUND($L$14*$N$14*S7/10000,0)</f>
        <v>0</v>
      </c>
      <c r="AR7" s="55">
        <f t="shared" ref="AR7:AR13" si="13">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4.25">
      <c r="A8" s="2300" t="str">
        <f>'数据-汇总表'!C21</f>
        <v>车位</v>
      </c>
      <c r="B8" s="2301" t="str">
        <f t="shared" si="1"/>
        <v>经营性</v>
      </c>
      <c r="C8" s="2302" t="s">
        <v>3053</v>
      </c>
      <c r="D8" s="1047">
        <f>SUMIF(项目基本情况!D$12:I$12,C8,项目基本情况!D$14:I$14)</f>
        <v>50</v>
      </c>
      <c r="E8" s="1044">
        <f>IF(B8="","",SUMIF(项目基本情况!D$12:I$12,C8,项目基本情况!D$13:I$13))</f>
        <v>58236</v>
      </c>
      <c r="F8" s="72">
        <f>SUMIF(项目基本情况!D$12:I$12,C8,项目基本情况!D$15:I$15)</f>
        <v>41.23</v>
      </c>
      <c r="G8" s="73">
        <f t="shared" si="2"/>
        <v>0.94899999999999995</v>
      </c>
      <c r="H8" s="800">
        <v>0.05</v>
      </c>
      <c r="I8" s="800">
        <v>0.05</v>
      </c>
      <c r="J8" s="74">
        <v>8.5000000000000006E-2</v>
      </c>
      <c r="K8" s="1247">
        <f>SUMIF('数据-汇总表'!C$19:C$33,A8,'数据-汇总表'!E$19:E$33)</f>
        <v>991.5300000000002</v>
      </c>
      <c r="L8" s="801">
        <v>2000</v>
      </c>
      <c r="M8" s="75">
        <f>ROUND(K8*L8/10000,0)</f>
        <v>198</v>
      </c>
      <c r="N8" s="799">
        <f t="shared" si="3"/>
        <v>0.9</v>
      </c>
      <c r="O8" s="75" t="str">
        <f t="shared" si="4"/>
        <v>——</v>
      </c>
      <c r="P8" s="76" t="str">
        <f t="shared" si="5"/>
        <v>——</v>
      </c>
      <c r="Q8" s="802">
        <v>0.03</v>
      </c>
      <c r="R8" s="77">
        <f ca="1">SUMIF('数据-汇总表'!C$19:C$33,A8,'数据-汇总表'!R$19:R$27)</f>
        <v>82.45</v>
      </c>
      <c r="S8" s="54">
        <f>IF('数据-汇总表'!$I$17="按面积比例",SUMIF('数据-汇总表'!C$19:C$33,A8,'数据-汇总表'!K$19:K$33),SUMIF('数据-汇总表'!C$19:C$33,A8,'数据-汇总表'!N$19:N$33))</f>
        <v>0</v>
      </c>
      <c r="T8" s="1439">
        <f t="shared" si="6"/>
        <v>0</v>
      </c>
      <c r="U8" s="803">
        <v>800</v>
      </c>
      <c r="V8" s="79">
        <v>3.5000000000000003E-2</v>
      </c>
      <c r="W8" s="79">
        <v>0.1</v>
      </c>
      <c r="X8" s="1257"/>
      <c r="Y8" s="80">
        <f t="shared" si="7"/>
        <v>0.9</v>
      </c>
      <c r="Z8" s="81"/>
      <c r="AA8" s="74"/>
      <c r="AB8" s="74"/>
      <c r="AC8" s="1257"/>
      <c r="AD8" s="82"/>
      <c r="AE8" s="1258">
        <f t="shared" ca="1" si="8"/>
        <v>41.23</v>
      </c>
      <c r="AF8" s="1800"/>
      <c r="AG8" s="147">
        <f t="shared" si="9"/>
        <v>0</v>
      </c>
      <c r="AH8" s="804">
        <v>23</v>
      </c>
      <c r="AI8" s="85">
        <v>12</v>
      </c>
      <c r="AJ8" s="86"/>
      <c r="AK8" s="87">
        <v>1.4999999999999999E-2</v>
      </c>
      <c r="AL8" s="88">
        <v>1.5E-3</v>
      </c>
      <c r="AM8" s="89">
        <v>0.01</v>
      </c>
      <c r="AN8" s="2303" t="s">
        <v>3072</v>
      </c>
      <c r="AO8" s="55">
        <f t="shared" ca="1" si="10"/>
        <v>361</v>
      </c>
      <c r="AP8" s="2304">
        <f t="shared" si="11"/>
        <v>0</v>
      </c>
      <c r="AQ8" s="55">
        <f t="shared" si="12"/>
        <v>0</v>
      </c>
      <c r="AR8" s="55">
        <f t="shared" si="13"/>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4.25" hidden="1">
      <c r="A9" s="2300">
        <f>'数据-汇总表'!C22</f>
        <v>0</v>
      </c>
      <c r="B9" s="2301" t="str">
        <f t="shared" si="1"/>
        <v/>
      </c>
      <c r="C9" s="2302"/>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1"/>
      <c r="M9" s="75">
        <f t="shared" si="0"/>
        <v>0</v>
      </c>
      <c r="N9" s="799">
        <f t="shared" si="3"/>
        <v>0.9</v>
      </c>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39">
        <f t="shared" si="6"/>
        <v>0</v>
      </c>
      <c r="U9" s="78"/>
      <c r="V9" s="79"/>
      <c r="W9" s="79"/>
      <c r="X9" s="1257"/>
      <c r="Y9" s="80">
        <f t="shared" si="7"/>
        <v>0.9</v>
      </c>
      <c r="Z9" s="81"/>
      <c r="AA9" s="74"/>
      <c r="AB9" s="74"/>
      <c r="AC9" s="1257"/>
      <c r="AD9" s="82"/>
      <c r="AE9" s="1258">
        <f t="shared" ca="1" si="8"/>
        <v>0</v>
      </c>
      <c r="AF9" s="1800"/>
      <c r="AG9" s="147">
        <f t="shared" si="9"/>
        <v>0</v>
      </c>
      <c r="AH9" s="83"/>
      <c r="AI9" s="85"/>
      <c r="AJ9" s="86"/>
      <c r="AK9" s="87"/>
      <c r="AL9" s="88"/>
      <c r="AM9" s="89"/>
      <c r="AN9" s="2303"/>
      <c r="AO9" s="55" t="e">
        <f t="shared" ca="1" si="10"/>
        <v>#REF!</v>
      </c>
      <c r="AP9" s="2304">
        <f t="shared" si="11"/>
        <v>0</v>
      </c>
      <c r="AQ9" s="55">
        <f t="shared" si="12"/>
        <v>0</v>
      </c>
      <c r="AR9" s="55">
        <f t="shared" si="13"/>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4.25" hidden="1">
      <c r="A10" s="2300">
        <f>'数据-汇总表'!C23</f>
        <v>0</v>
      </c>
      <c r="B10" s="2301" t="str">
        <f t="shared" si="1"/>
        <v/>
      </c>
      <c r="C10" s="2302"/>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1"/>
      <c r="M10" s="75">
        <f t="shared" si="0"/>
        <v>0</v>
      </c>
      <c r="N10" s="799">
        <f t="shared" si="3"/>
        <v>0.9</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39">
        <f t="shared" si="6"/>
        <v>0</v>
      </c>
      <c r="U10" s="78"/>
      <c r="V10" s="79"/>
      <c r="W10" s="79"/>
      <c r="X10" s="1257"/>
      <c r="Y10" s="80">
        <f t="shared" si="7"/>
        <v>0.9</v>
      </c>
      <c r="Z10" s="81"/>
      <c r="AA10" s="74"/>
      <c r="AB10" s="74"/>
      <c r="AC10" s="1257"/>
      <c r="AD10" s="82"/>
      <c r="AE10" s="1258">
        <f t="shared" ca="1" si="8"/>
        <v>0</v>
      </c>
      <c r="AF10" s="1800"/>
      <c r="AG10" s="147">
        <f t="shared" si="9"/>
        <v>0</v>
      </c>
      <c r="AH10" s="83"/>
      <c r="AI10" s="85"/>
      <c r="AJ10" s="86"/>
      <c r="AK10" s="87"/>
      <c r="AL10" s="88"/>
      <c r="AM10" s="89"/>
      <c r="AN10" s="2303"/>
      <c r="AO10" s="55" t="e">
        <f t="shared" ca="1" si="10"/>
        <v>#REF!</v>
      </c>
      <c r="AP10" s="2304">
        <f t="shared" si="11"/>
        <v>0</v>
      </c>
      <c r="AQ10" s="55">
        <f t="shared" si="12"/>
        <v>0</v>
      </c>
      <c r="AR10" s="55">
        <f t="shared" si="13"/>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4.25" hidden="1">
      <c r="A11" s="2300">
        <f>'数据-汇总表'!C24</f>
        <v>0</v>
      </c>
      <c r="B11" s="2301" t="str">
        <f t="shared" si="1"/>
        <v/>
      </c>
      <c r="C11" s="2302"/>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799">
        <f t="shared" si="3"/>
        <v>0.9</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39">
        <f t="shared" si="6"/>
        <v>0</v>
      </c>
      <c r="U11" s="83"/>
      <c r="V11" s="74"/>
      <c r="W11" s="74"/>
      <c r="X11" s="1257"/>
      <c r="Y11" s="80">
        <f t="shared" si="7"/>
        <v>0.9</v>
      </c>
      <c r="Z11" s="93"/>
      <c r="AA11" s="74"/>
      <c r="AB11" s="74"/>
      <c r="AC11" s="1257"/>
      <c r="AD11" s="82"/>
      <c r="AE11" s="1258">
        <f t="shared" ca="1" si="8"/>
        <v>0</v>
      </c>
      <c r="AF11" s="1800"/>
      <c r="AG11" s="147">
        <f t="shared" si="9"/>
        <v>0</v>
      </c>
      <c r="AH11" s="83"/>
      <c r="AI11" s="85"/>
      <c r="AJ11" s="86"/>
      <c r="AK11" s="94"/>
      <c r="AL11" s="95"/>
      <c r="AM11" s="96"/>
      <c r="AN11" s="2303"/>
      <c r="AO11" s="55" t="e">
        <f t="shared" ca="1" si="10"/>
        <v>#REF!</v>
      </c>
      <c r="AP11" s="2304">
        <f t="shared" si="11"/>
        <v>0</v>
      </c>
      <c r="AQ11" s="55">
        <f t="shared" si="12"/>
        <v>0</v>
      </c>
      <c r="AR11" s="55">
        <f t="shared" si="13"/>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4.25" hidden="1">
      <c r="A12" s="2300">
        <f>'数据-汇总表'!C25</f>
        <v>0</v>
      </c>
      <c r="B12" s="2301" t="str">
        <f t="shared" si="1"/>
        <v/>
      </c>
      <c r="C12" s="2302"/>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799">
        <f t="shared" si="3"/>
        <v>0.9</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9">
        <f t="shared" si="6"/>
        <v>0</v>
      </c>
      <c r="U12" s="83"/>
      <c r="V12" s="74"/>
      <c r="W12" s="74"/>
      <c r="X12" s="1257"/>
      <c r="Y12" s="80">
        <f t="shared" si="7"/>
        <v>0.9</v>
      </c>
      <c r="Z12" s="93"/>
      <c r="AA12" s="74"/>
      <c r="AB12" s="74"/>
      <c r="AC12" s="1257"/>
      <c r="AD12" s="82"/>
      <c r="AE12" s="1258">
        <f t="shared" ca="1" si="8"/>
        <v>0</v>
      </c>
      <c r="AF12" s="1800"/>
      <c r="AG12" s="147">
        <f t="shared" si="9"/>
        <v>0</v>
      </c>
      <c r="AH12" s="83"/>
      <c r="AI12" s="85"/>
      <c r="AJ12" s="86"/>
      <c r="AK12" s="94"/>
      <c r="AL12" s="95"/>
      <c r="AM12" s="96"/>
      <c r="AN12" s="2303"/>
      <c r="AO12" s="55" t="e">
        <f t="shared" ca="1" si="10"/>
        <v>#REF!</v>
      </c>
      <c r="AP12" s="2304">
        <f t="shared" si="11"/>
        <v>0</v>
      </c>
      <c r="AQ12" s="55">
        <f t="shared" si="12"/>
        <v>0</v>
      </c>
      <c r="AR12" s="55">
        <f t="shared" si="13"/>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4.25" hidden="1">
      <c r="A13" s="2300">
        <f>'数据-汇总表'!C26</f>
        <v>0</v>
      </c>
      <c r="B13" s="2301" t="str">
        <f t="shared" si="1"/>
        <v/>
      </c>
      <c r="C13" s="2302"/>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799">
        <f t="shared" si="3"/>
        <v>0.9</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9">
        <f t="shared" si="6"/>
        <v>0</v>
      </c>
      <c r="U13" s="78"/>
      <c r="V13" s="79"/>
      <c r="W13" s="79"/>
      <c r="X13" s="1257"/>
      <c r="Y13" s="80">
        <f t="shared" si="7"/>
        <v>0.9</v>
      </c>
      <c r="Z13" s="81"/>
      <c r="AA13" s="74"/>
      <c r="AB13" s="74"/>
      <c r="AC13" s="1257"/>
      <c r="AD13" s="82"/>
      <c r="AE13" s="1258">
        <f t="shared" ca="1" si="8"/>
        <v>0</v>
      </c>
      <c r="AF13" s="1800"/>
      <c r="AG13" s="147">
        <f t="shared" si="9"/>
        <v>0</v>
      </c>
      <c r="AH13" s="83"/>
      <c r="AI13" s="85"/>
      <c r="AJ13" s="86"/>
      <c r="AK13" s="87"/>
      <c r="AL13" s="88"/>
      <c r="AM13" s="89"/>
      <c r="AN13" s="2303"/>
      <c r="AO13" s="55" t="e">
        <f t="shared" ca="1" si="10"/>
        <v>#REF!</v>
      </c>
      <c r="AP13" s="2304">
        <f t="shared" si="11"/>
        <v>0</v>
      </c>
      <c r="AQ13" s="55">
        <f t="shared" si="12"/>
        <v>0</v>
      </c>
      <c r="AR13" s="55">
        <f t="shared" si="13"/>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25">
      <c r="A14" s="2305" t="s">
        <v>2007</v>
      </c>
      <c r="B14" s="2301" t="s">
        <v>2008</v>
      </c>
      <c r="C14" s="2306" t="s">
        <v>2007</v>
      </c>
      <c r="D14" s="1047"/>
      <c r="E14" s="1044"/>
      <c r="F14" s="72"/>
      <c r="G14" s="73"/>
      <c r="H14" s="1246"/>
      <c r="I14" s="1246"/>
      <c r="J14" s="1246"/>
      <c r="K14" s="1247">
        <f>SUMIF('数据-汇总表'!C$19:C$33,A14,'数据-汇总表'!E$19:E$33)</f>
        <v>0</v>
      </c>
      <c r="L14" s="91"/>
      <c r="M14" s="75">
        <f t="shared" si="0"/>
        <v>0</v>
      </c>
      <c r="N14" s="92"/>
      <c r="O14" s="75" t="str">
        <f t="shared" si="4"/>
        <v>——</v>
      </c>
      <c r="P14" s="76" t="str">
        <f t="shared" si="5"/>
        <v>——</v>
      </c>
      <c r="Q14" s="1250"/>
      <c r="R14" s="77"/>
      <c r="S14" s="54"/>
      <c r="T14" s="1439"/>
      <c r="U14" s="721"/>
      <c r="V14" s="1252"/>
      <c r="W14" s="1252"/>
      <c r="X14" s="1253"/>
      <c r="Y14" s="1254"/>
      <c r="Z14" s="1255"/>
      <c r="AA14" s="1256"/>
      <c r="AB14" s="1256"/>
      <c r="AC14" s="1257"/>
      <c r="AD14" s="1253"/>
      <c r="AE14" s="1258"/>
      <c r="AF14" s="55"/>
      <c r="AG14" s="147"/>
      <c r="AH14" s="1258"/>
      <c r="AI14" s="1811"/>
      <c r="AJ14" s="771"/>
      <c r="AK14" s="1259"/>
      <c r="AL14" s="1260"/>
      <c r="AM14" s="1261"/>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7">
      <c r="A15" s="2305" t="s">
        <v>2009</v>
      </c>
      <c r="B15" s="2301" t="s">
        <v>2008</v>
      </c>
      <c r="C15" s="2306" t="s">
        <v>2010</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1"/>
      <c r="V15" s="1252"/>
      <c r="W15" s="1252"/>
      <c r="X15" s="1253"/>
      <c r="Y15" s="1254"/>
      <c r="Z15" s="1255"/>
      <c r="AA15" s="1256"/>
      <c r="AB15" s="1256"/>
      <c r="AC15" s="1257"/>
      <c r="AD15" s="1253"/>
      <c r="AE15" s="1258"/>
      <c r="AF15" s="55"/>
      <c r="AG15" s="147"/>
      <c r="AH15" s="1258"/>
      <c r="AI15" s="1811"/>
      <c r="AJ15" s="771"/>
      <c r="AK15" s="1259"/>
      <c r="AL15" s="1260"/>
      <c r="AM15" s="1261"/>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75" thickBot="1">
      <c r="A16" s="2307" t="s">
        <v>2011</v>
      </c>
      <c r="B16" s="97"/>
      <c r="C16" s="1001"/>
      <c r="D16" s="2308"/>
      <c r="E16" s="97"/>
      <c r="F16" s="97"/>
      <c r="G16" s="98">
        <f>ROUND(SUMPRODUCT(G6:G13,K6:K13)/SUMPRODUCT((G6:G13&gt;0)*(K6:K13)),3)</f>
        <v>0.94199999999999995</v>
      </c>
      <c r="H16" s="99">
        <f>ROUND(SUMPRODUCT(H6:H13,K6:K13)/SUMPRODUCT((H6:H13&gt;0)*(K6:K13)),3)</f>
        <v>0.05</v>
      </c>
      <c r="I16" s="100"/>
      <c r="J16" s="100"/>
      <c r="K16" s="101">
        <f>SUM(K6:K15)</f>
        <v>11628.210000000001</v>
      </c>
      <c r="L16" s="102">
        <f>ROUND(M16*10000/SUM(K6:K14),0)</f>
        <v>2914</v>
      </c>
      <c r="M16" s="102">
        <f>SUM(M6:M14)</f>
        <v>3389</v>
      </c>
      <c r="N16" s="103">
        <f>ROUND(SUMPRODUCT(M6:M14,N6:N14)/M16,3)</f>
        <v>0.9</v>
      </c>
      <c r="O16" s="102">
        <f>SUM(O6:O14)</f>
        <v>0</v>
      </c>
      <c r="P16" s="102">
        <f>SUM(P6:P14)</f>
        <v>0</v>
      </c>
      <c r="Q16" s="104">
        <f>ROUND(SUMPRODUCT(Q6:Q13,K6:K13)/SUMPRODUCT((Q6:Q13&gt;0)*(K6:K13)),2)</f>
        <v>0.15</v>
      </c>
      <c r="R16" s="1251">
        <f ca="1">SUM(R6:R13)</f>
        <v>966.97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77"/>
      <c r="D17" s="2267"/>
      <c r="E17" s="2267"/>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2012</v>
      </c>
      <c r="B18" s="2274"/>
      <c r="C18" s="2271"/>
      <c r="D18" s="2272"/>
      <c r="E18" s="2271"/>
      <c r="F18" s="2271"/>
      <c r="G18" s="2271"/>
      <c r="H18" s="2271"/>
      <c r="I18" s="2271"/>
      <c r="J18" s="2271"/>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0" t="s">
        <v>2013</v>
      </c>
      <c r="B19" s="112">
        <v>0</v>
      </c>
      <c r="C19" s="2271" t="s">
        <v>2014</v>
      </c>
      <c r="D19" s="2272"/>
      <c r="E19" s="2271"/>
      <c r="F19" s="2271"/>
      <c r="G19" s="2271"/>
      <c r="H19" s="2271"/>
      <c r="I19" s="2271"/>
      <c r="J19" s="2271"/>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1" t="s">
        <v>2015</v>
      </c>
      <c r="B20" s="113">
        <v>2</v>
      </c>
      <c r="C20" s="2271" t="s">
        <v>2016</v>
      </c>
      <c r="D20" s="2272"/>
      <c r="E20" s="2271"/>
      <c r="F20" s="2271"/>
      <c r="G20" s="2271"/>
      <c r="H20" s="2271"/>
      <c r="I20" s="2271"/>
      <c r="J20" s="2271"/>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2" t="s">
        <v>2017</v>
      </c>
      <c r="B21" s="113">
        <v>2</v>
      </c>
      <c r="C21" s="2271"/>
      <c r="D21" s="2272"/>
      <c r="E21" s="2271"/>
      <c r="F21" s="2271"/>
      <c r="G21" s="2271"/>
      <c r="H21" s="2271"/>
      <c r="I21" s="2271"/>
      <c r="J21" s="2271"/>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1" t="s">
        <v>2018</v>
      </c>
      <c r="B22" s="114">
        <f>B19+B20</f>
        <v>2</v>
      </c>
      <c r="C22" s="2271"/>
      <c r="D22" s="2272"/>
      <c r="E22" s="2271"/>
      <c r="F22" s="2271"/>
      <c r="G22" s="2271"/>
      <c r="H22" s="2271"/>
      <c r="I22" s="2271"/>
      <c r="J22" s="2271"/>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2" t="s">
        <v>2019</v>
      </c>
      <c r="B23" s="114">
        <f>B19+B21</f>
        <v>2</v>
      </c>
      <c r="C23" s="2271"/>
      <c r="D23" s="2272"/>
      <c r="E23" s="2271"/>
      <c r="F23" s="2271"/>
      <c r="G23" s="2271"/>
      <c r="H23" s="2271"/>
      <c r="I23" s="2271"/>
      <c r="J23" s="2271"/>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3" t="s">
        <v>2020</v>
      </c>
      <c r="B24" s="115">
        <f>B20-B21</f>
        <v>0</v>
      </c>
      <c r="C24" s="2271"/>
      <c r="D24" s="2272"/>
      <c r="E24" s="2271"/>
      <c r="F24" s="2271"/>
      <c r="G24" s="2271"/>
      <c r="H24" s="2271"/>
      <c r="I24" s="2271"/>
      <c r="J24" s="2271"/>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4"/>
      <c r="C25" s="2271"/>
      <c r="D25" s="2272"/>
      <c r="E25" s="2271"/>
      <c r="F25" s="2271"/>
      <c r="G25" s="2271"/>
      <c r="H25" s="2271"/>
      <c r="I25" s="2271"/>
      <c r="J25" s="2271"/>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0" t="s">
        <v>2021</v>
      </c>
      <c r="B26" s="2314" t="s">
        <v>2022</v>
      </c>
      <c r="C26" s="2315" t="s">
        <v>2023</v>
      </c>
      <c r="D26" s="2272"/>
      <c r="E26" s="2271"/>
      <c r="F26" s="2271"/>
      <c r="G26" s="2271"/>
      <c r="H26" s="2271"/>
      <c r="I26" s="2271"/>
      <c r="J26" s="2271"/>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8" customFormat="1" ht="27.75">
      <c r="A27" s="2316" t="s">
        <v>2024</v>
      </c>
      <c r="B27" s="116">
        <v>160</v>
      </c>
      <c r="C27" s="1760" t="s">
        <v>2025</v>
      </c>
      <c r="D27" s="2317"/>
      <c r="E27" s="1423"/>
      <c r="F27" s="1423"/>
      <c r="G27" s="2271"/>
      <c r="H27" s="2271"/>
      <c r="I27" s="2271"/>
      <c r="J27" s="2271"/>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8" customFormat="1" ht="27.75">
      <c r="A28" s="2319" t="s">
        <v>2026</v>
      </c>
      <c r="B28" s="119">
        <v>200</v>
      </c>
      <c r="C28" s="2320"/>
      <c r="D28" s="2317"/>
      <c r="E28" s="1423"/>
      <c r="F28" s="1423"/>
      <c r="G28" s="2271"/>
      <c r="H28" s="2271"/>
      <c r="I28" s="2271"/>
      <c r="J28" s="2271"/>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8" customFormat="1" ht="28.5" thickBot="1">
      <c r="A29" s="2321" t="s">
        <v>2027</v>
      </c>
      <c r="B29" s="121">
        <f ca="1">成本法!C9+成本法!C10</f>
        <v>233</v>
      </c>
      <c r="C29" s="1760" t="s">
        <v>2028</v>
      </c>
      <c r="D29" s="2317"/>
      <c r="E29" s="1423"/>
      <c r="F29" s="1423"/>
      <c r="G29" s="2271"/>
      <c r="H29" s="2271"/>
      <c r="I29" s="2271"/>
      <c r="J29" s="2271"/>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8" customFormat="1" ht="27">
      <c r="A30" s="2322" t="s">
        <v>2029</v>
      </c>
      <c r="B30" s="722">
        <v>200</v>
      </c>
      <c r="C30" s="2320"/>
      <c r="D30" s="2317"/>
      <c r="E30" s="1423"/>
      <c r="F30" s="1423"/>
      <c r="G30" s="2271"/>
      <c r="H30" s="2271"/>
      <c r="I30" s="2271"/>
      <c r="J30" s="2271"/>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8" customFormat="1" ht="27">
      <c r="A31" s="2319" t="s">
        <v>2030</v>
      </c>
      <c r="B31" s="120">
        <f>B30-B32</f>
        <v>200</v>
      </c>
      <c r="C31" s="1760"/>
      <c r="D31" s="2317"/>
      <c r="E31" s="1423"/>
      <c r="F31" s="1423"/>
      <c r="G31" s="2271"/>
      <c r="H31" s="2271"/>
      <c r="I31" s="2271"/>
      <c r="J31" s="2271"/>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8" customFormat="1" ht="27.75" thickBot="1">
      <c r="A32" s="2323" t="s">
        <v>2031</v>
      </c>
      <c r="B32" s="723">
        <v>0</v>
      </c>
      <c r="C32" s="2320"/>
      <c r="D32" s="2272"/>
      <c r="E32" s="2271"/>
      <c r="F32" s="2271"/>
      <c r="G32" s="2271"/>
      <c r="H32" s="2271"/>
      <c r="I32" s="2271"/>
      <c r="J32" s="2271"/>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8" customFormat="1" ht="14.25">
      <c r="A33" s="2316" t="s">
        <v>2032</v>
      </c>
      <c r="B33" s="724">
        <v>0.03</v>
      </c>
      <c r="C33" s="1759" t="s">
        <v>2033</v>
      </c>
      <c r="D33" s="2272"/>
      <c r="E33" s="2271"/>
      <c r="F33" s="2271"/>
      <c r="G33" s="2271"/>
      <c r="H33" s="2271"/>
      <c r="I33" s="2271"/>
      <c r="J33" s="2271"/>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8" customFormat="1" ht="14.25">
      <c r="A34" s="2319" t="s">
        <v>2034</v>
      </c>
      <c r="B34" s="122">
        <v>0</v>
      </c>
      <c r="C34" s="1759" t="s">
        <v>2035</v>
      </c>
      <c r="D34" s="2272" t="s">
        <v>2036</v>
      </c>
      <c r="E34" s="730"/>
      <c r="F34" s="2271"/>
      <c r="G34" s="2271"/>
      <c r="H34" s="2271"/>
      <c r="I34" s="2271"/>
      <c r="J34" s="2271"/>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8" customFormat="1" ht="14.25">
      <c r="A35" s="2319" t="s">
        <v>2037</v>
      </c>
      <c r="B35" s="119">
        <v>200</v>
      </c>
      <c r="C35" s="1759" t="s">
        <v>2038</v>
      </c>
      <c r="D35" s="2317"/>
      <c r="E35" s="1423"/>
      <c r="F35" s="1423"/>
      <c r="G35" s="2271"/>
      <c r="H35" s="2271"/>
      <c r="I35" s="2271"/>
      <c r="J35" s="2271"/>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1" t="s">
        <v>2039</v>
      </c>
      <c r="B36" s="123">
        <v>1.4999999999999999E-2</v>
      </c>
      <c r="C36" s="1759" t="s">
        <v>2040</v>
      </c>
      <c r="D36" s="2272"/>
      <c r="E36" s="2271"/>
      <c r="F36" s="2271"/>
      <c r="G36" s="2271"/>
      <c r="H36" s="2271"/>
      <c r="I36" s="2271"/>
      <c r="J36" s="2271"/>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2" t="s">
        <v>2041</v>
      </c>
      <c r="B37" s="124">
        <v>0.02</v>
      </c>
      <c r="C37" s="1759" t="s">
        <v>2042</v>
      </c>
      <c r="D37" s="2272"/>
      <c r="E37" s="2271"/>
      <c r="F37" s="2271"/>
      <c r="G37" s="2271"/>
      <c r="H37" s="2271"/>
      <c r="I37" s="2271"/>
      <c r="J37" s="2271"/>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9" t="s">
        <v>2043</v>
      </c>
      <c r="B38" s="122">
        <v>0.03</v>
      </c>
      <c r="C38" s="1759" t="s">
        <v>2042</v>
      </c>
      <c r="D38" s="2272"/>
      <c r="E38" s="2271"/>
      <c r="F38" s="2271"/>
      <c r="G38" s="2271"/>
      <c r="H38" s="2271"/>
      <c r="I38" s="2271"/>
      <c r="J38" s="2271"/>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3" t="s">
        <v>2044</v>
      </c>
      <c r="B39" s="362">
        <f ca="1">存贷款利率!I1</f>
        <v>1.4999999999999999E-2</v>
      </c>
      <c r="C39" s="1759"/>
      <c r="D39" s="2272"/>
      <c r="E39" s="2271"/>
      <c r="F39" s="2271"/>
      <c r="G39" s="2271"/>
      <c r="H39" s="2271"/>
      <c r="I39" s="2271"/>
      <c r="J39" s="2271"/>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3" t="s">
        <v>2045</v>
      </c>
      <c r="B40" s="1296">
        <f ca="1">存贷款利率!G1</f>
        <v>4.7500000000000001E-2</v>
      </c>
      <c r="C40" s="1759" t="s">
        <v>2046</v>
      </c>
      <c r="D40" s="1577"/>
      <c r="E40" s="2272"/>
      <c r="F40" s="2271"/>
      <c r="G40" s="2271"/>
      <c r="H40" s="2271"/>
      <c r="I40" s="2271"/>
      <c r="J40" s="2271"/>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6" t="s">
        <v>2047</v>
      </c>
      <c r="B41" s="125">
        <f>B42+B43</f>
        <v>5.6000000000000001E-2</v>
      </c>
      <c r="C41" s="1760"/>
      <c r="D41" s="1577"/>
      <c r="E41" s="2272"/>
      <c r="F41" s="2271"/>
      <c r="G41" s="2271"/>
      <c r="H41" s="2271"/>
      <c r="I41" s="2271"/>
      <c r="J41" s="2271"/>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4" t="s">
        <v>2048</v>
      </c>
      <c r="B42" s="126">
        <v>0.05</v>
      </c>
      <c r="C42" s="2325">
        <f>IF(B2&lt;DATE(2016,5,1),0,B42)</f>
        <v>0.05</v>
      </c>
      <c r="D42" s="2272"/>
      <c r="E42" s="2271"/>
      <c r="F42" s="2271"/>
      <c r="G42" s="2271"/>
      <c r="H42" s="2271"/>
      <c r="I42" s="2271"/>
      <c r="J42" s="2271"/>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4" t="s">
        <v>2049</v>
      </c>
      <c r="B43" s="127">
        <f>B42*(B44+B45+B46)+B47</f>
        <v>6.000000000000001E-3</v>
      </c>
      <c r="C43" s="1760"/>
      <c r="D43" s="2272"/>
      <c r="E43" s="2271"/>
      <c r="F43" s="2271"/>
      <c r="G43" s="2271"/>
      <c r="H43" s="2271"/>
      <c r="I43" s="2271"/>
      <c r="J43" s="2271"/>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6" t="s">
        <v>2050</v>
      </c>
      <c r="B44" s="128">
        <v>7.0000000000000007E-2</v>
      </c>
      <c r="C44" s="1759" t="s">
        <v>2051</v>
      </c>
      <c r="D44" s="2272"/>
      <c r="E44" s="2271"/>
      <c r="F44" s="2271"/>
      <c r="G44" s="2271"/>
      <c r="H44" s="2271"/>
      <c r="I44" s="2271"/>
      <c r="J44" s="2271"/>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6" t="s">
        <v>2052</v>
      </c>
      <c r="B45" s="126">
        <v>0.03</v>
      </c>
      <c r="C45" s="1760" t="s">
        <v>2053</v>
      </c>
      <c r="D45" s="2272"/>
      <c r="E45" s="2271"/>
      <c r="F45" s="2271"/>
      <c r="G45" s="2271"/>
      <c r="H45" s="2271"/>
      <c r="I45" s="2271"/>
      <c r="J45" s="2271"/>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6" t="s">
        <v>2054</v>
      </c>
      <c r="B46" s="126">
        <v>0.02</v>
      </c>
      <c r="C46" s="1760" t="s">
        <v>2055</v>
      </c>
      <c r="D46" s="2272"/>
      <c r="E46" s="2271"/>
      <c r="F46" s="2271"/>
      <c r="G46" s="2271"/>
      <c r="H46" s="2271"/>
      <c r="I46" s="2271"/>
      <c r="J46" s="2271"/>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7" t="s">
        <v>2056</v>
      </c>
      <c r="B47" s="129">
        <v>0</v>
      </c>
      <c r="C47" s="1760" t="s">
        <v>2057</v>
      </c>
      <c r="D47" s="2272"/>
      <c r="E47" s="2271"/>
      <c r="F47" s="2271"/>
      <c r="G47" s="2271"/>
      <c r="H47" s="2271"/>
      <c r="I47" s="2271"/>
      <c r="J47" s="2271"/>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8" t="s">
        <v>2058</v>
      </c>
      <c r="B48" s="130">
        <v>0.03</v>
      </c>
      <c r="C48" s="1767" t="s">
        <v>2059</v>
      </c>
      <c r="D48" s="2272"/>
      <c r="E48" s="2271"/>
      <c r="F48" s="2271"/>
      <c r="G48" s="2271"/>
      <c r="H48" s="2271"/>
      <c r="I48" s="2271"/>
      <c r="J48" s="2271"/>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3" t="s">
        <v>2060</v>
      </c>
      <c r="B49" s="126">
        <v>5.0000000000000001E-4</v>
      </c>
      <c r="C49" s="1767" t="s">
        <v>2061</v>
      </c>
      <c r="D49" s="2272"/>
      <c r="E49" s="2271"/>
      <c r="F49" s="2271"/>
      <c r="G49" s="2271"/>
      <c r="H49" s="2271"/>
      <c r="I49" s="2271"/>
      <c r="J49" s="2271"/>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9" t="s">
        <v>2062</v>
      </c>
      <c r="B50" s="131">
        <v>1.2E-2</v>
      </c>
      <c r="C50" s="1423"/>
      <c r="D50" s="2272"/>
      <c r="E50" s="2271"/>
      <c r="F50" s="2271"/>
      <c r="G50" s="2271"/>
      <c r="H50" s="2271"/>
      <c r="I50" s="2271"/>
      <c r="J50" s="2271"/>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1" t="s">
        <v>2063</v>
      </c>
      <c r="B51" s="132">
        <v>0.12</v>
      </c>
      <c r="C51" s="1423"/>
      <c r="D51" s="2272"/>
      <c r="E51" s="2271"/>
      <c r="F51" s="2271"/>
      <c r="G51" s="2271"/>
      <c r="H51" s="2271"/>
      <c r="I51" s="2271"/>
      <c r="J51" s="2271"/>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9" t="s">
        <v>2064</v>
      </c>
      <c r="B52" s="133">
        <f>SUMIF(A54:A63,B53,B54:B63)</f>
        <v>18</v>
      </c>
      <c r="C52" s="1423"/>
      <c r="D52" s="2272"/>
      <c r="E52" s="2271"/>
      <c r="F52" s="2271"/>
      <c r="G52" s="2271"/>
      <c r="H52" s="2271"/>
      <c r="I52" s="2271"/>
      <c r="J52" s="2271"/>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9" t="s">
        <v>2065</v>
      </c>
      <c r="B53" s="2945" t="s">
        <v>442</v>
      </c>
      <c r="C53" s="1423" t="s">
        <v>2066</v>
      </c>
      <c r="D53" s="2330" t="s">
        <v>2067</v>
      </c>
      <c r="E53" s="2271"/>
      <c r="F53" s="2271"/>
      <c r="G53" s="2271"/>
      <c r="H53" s="2271"/>
      <c r="I53" s="2271"/>
      <c r="J53" s="2271"/>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2068</v>
      </c>
      <c r="B54" s="84"/>
      <c r="C54" s="1423">
        <v>30</v>
      </c>
      <c r="D54" s="2272"/>
      <c r="E54" s="2271"/>
      <c r="F54" s="2271"/>
      <c r="G54" s="2271"/>
      <c r="H54" s="2271"/>
      <c r="I54" s="2271"/>
      <c r="J54" s="2271"/>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2069</v>
      </c>
      <c r="B55" s="84">
        <v>24</v>
      </c>
      <c r="C55" s="1423">
        <v>24</v>
      </c>
      <c r="D55" s="2272"/>
      <c r="E55" s="2271"/>
      <c r="F55" s="2271"/>
      <c r="G55" s="2271"/>
      <c r="H55" s="2271"/>
      <c r="I55" s="2332"/>
      <c r="J55" s="2271"/>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2070</v>
      </c>
      <c r="B56" s="84">
        <v>18</v>
      </c>
      <c r="C56" s="1423">
        <v>18</v>
      </c>
      <c r="D56" s="2272"/>
      <c r="E56" s="2271"/>
      <c r="F56" s="2271"/>
      <c r="G56" s="2271"/>
      <c r="H56" s="2271"/>
      <c r="I56" s="2271"/>
      <c r="J56" s="2271"/>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2071</v>
      </c>
      <c r="B57" s="84"/>
      <c r="C57" s="1423">
        <v>12</v>
      </c>
      <c r="D57" s="2272"/>
      <c r="E57" s="2271"/>
      <c r="F57" s="2271"/>
      <c r="G57" s="2271"/>
      <c r="H57" s="2271"/>
      <c r="I57" s="2271"/>
      <c r="J57" s="2271"/>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2072</v>
      </c>
      <c r="B58" s="84"/>
      <c r="C58" s="1423">
        <v>3</v>
      </c>
      <c r="D58" s="2272"/>
      <c r="E58" s="2271"/>
      <c r="F58" s="2271"/>
      <c r="G58" s="2271"/>
      <c r="H58" s="2271"/>
      <c r="I58" s="2271"/>
      <c r="J58" s="2271"/>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2073</v>
      </c>
      <c r="B59" s="84"/>
      <c r="C59" s="1423">
        <v>1.5</v>
      </c>
      <c r="D59" s="2272"/>
      <c r="E59" s="2271"/>
      <c r="F59" s="2271"/>
      <c r="G59" s="2271"/>
      <c r="H59" s="2271"/>
      <c r="I59" s="2271"/>
      <c r="J59" s="2271"/>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2074</v>
      </c>
      <c r="B60" s="84"/>
      <c r="C60" s="2271"/>
      <c r="D60" s="2272"/>
      <c r="E60" s="2271"/>
      <c r="F60" s="2271"/>
      <c r="G60" s="2271"/>
      <c r="H60" s="2271"/>
      <c r="I60" s="2271"/>
      <c r="J60" s="2271"/>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2075</v>
      </c>
      <c r="B61" s="84"/>
      <c r="C61" s="2271"/>
      <c r="D61" s="2272"/>
      <c r="E61" s="2271"/>
      <c r="F61" s="2271"/>
      <c r="G61" s="2271"/>
      <c r="H61" s="2271"/>
      <c r="I61" s="2271"/>
      <c r="J61" s="2271"/>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2076</v>
      </c>
      <c r="B62" s="84"/>
      <c r="C62" s="2271"/>
      <c r="D62" s="2272"/>
      <c r="E62" s="2271"/>
      <c r="F62" s="2271"/>
      <c r="G62" s="2271"/>
      <c r="H62" s="2271"/>
      <c r="I62" s="2271"/>
      <c r="J62" s="2271"/>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2077</v>
      </c>
      <c r="B63" s="134"/>
      <c r="C63" s="2271"/>
      <c r="D63" s="2272"/>
      <c r="E63" s="2271"/>
      <c r="F63" s="2271"/>
      <c r="G63" s="2271"/>
      <c r="H63" s="2271"/>
      <c r="I63" s="2271"/>
      <c r="J63" s="2271"/>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4"/>
      <c r="D64" s="2335"/>
      <c r="K64" s="796"/>
      <c r="L64" s="796"/>
    </row>
    <row r="65" spans="1:12" s="960" customFormat="1">
      <c r="A65" s="2334"/>
      <c r="D65" s="2335"/>
      <c r="K65" s="796"/>
      <c r="L65" s="796"/>
    </row>
    <row r="66" spans="1:12" s="960" customFormat="1">
      <c r="A66" s="2334"/>
      <c r="D66" s="2335"/>
      <c r="K66" s="796"/>
      <c r="L66" s="796"/>
    </row>
    <row r="67" spans="1:12" s="960" customFormat="1">
      <c r="A67" s="2334"/>
      <c r="D67" s="2335"/>
      <c r="K67" s="796"/>
      <c r="L67" s="796"/>
    </row>
    <row r="68" spans="1:12" s="960" customFormat="1">
      <c r="A68" s="2334"/>
      <c r="D68" s="2335"/>
      <c r="K68" s="796"/>
      <c r="L68" s="796"/>
    </row>
    <row r="69" spans="1:12" s="960" customFormat="1">
      <c r="A69" s="2334"/>
      <c r="D69" s="2335"/>
      <c r="K69" s="796"/>
      <c r="L69" s="796"/>
    </row>
    <row r="70" spans="1:12" s="960" customFormat="1">
      <c r="A70" s="2334"/>
      <c r="D70" s="2335"/>
      <c r="K70" s="796"/>
      <c r="L70" s="796"/>
    </row>
    <row r="71" spans="1:12" s="960" customFormat="1">
      <c r="A71" s="2334"/>
      <c r="D71" s="2335"/>
      <c r="K71" s="796"/>
      <c r="L71" s="796"/>
    </row>
    <row r="72" spans="1:12" s="960" customFormat="1">
      <c r="A72" s="2334"/>
      <c r="D72" s="2335"/>
      <c r="K72" s="796"/>
      <c r="L72" s="796"/>
    </row>
    <row r="73" spans="1:12" s="960" customFormat="1">
      <c r="A73" s="2334"/>
      <c r="D73" s="2335"/>
      <c r="K73" s="796"/>
      <c r="L73" s="796"/>
    </row>
    <row r="74" spans="1:12" s="960" customFormat="1">
      <c r="A74" s="2334"/>
      <c r="D74" s="2335"/>
      <c r="K74" s="796"/>
      <c r="L74" s="796"/>
    </row>
    <row r="75" spans="1:12" s="960" customFormat="1">
      <c r="A75" s="2334"/>
      <c r="D75" s="2335"/>
      <c r="K75" s="796"/>
      <c r="L75" s="796"/>
    </row>
    <row r="76" spans="1:12" s="960" customFormat="1">
      <c r="A76" s="2334"/>
      <c r="D76" s="2335"/>
      <c r="K76" s="796"/>
      <c r="L76" s="796"/>
    </row>
    <row r="77" spans="1:12" s="960" customFormat="1">
      <c r="A77" s="2334"/>
      <c r="D77" s="2335"/>
      <c r="K77" s="796"/>
      <c r="L77" s="796"/>
    </row>
    <row r="78" spans="1:12" s="960" customFormat="1">
      <c r="A78" s="2334"/>
      <c r="D78" s="2335"/>
      <c r="K78" s="796"/>
      <c r="L78" s="796"/>
    </row>
    <row r="79" spans="1:12" s="960" customFormat="1">
      <c r="A79" s="2334"/>
      <c r="D79" s="2335"/>
      <c r="K79" s="796"/>
      <c r="L79" s="796"/>
    </row>
    <row r="80" spans="1:12" s="960" customFormat="1">
      <c r="A80" s="2334"/>
      <c r="D80" s="2335"/>
      <c r="K80" s="796"/>
      <c r="L80" s="796"/>
    </row>
    <row r="81" spans="1:12" s="960" customFormat="1">
      <c r="A81" s="2334"/>
      <c r="D81" s="2335"/>
      <c r="K81" s="796"/>
      <c r="L81" s="796"/>
    </row>
    <row r="82" spans="1:12" s="960" customFormat="1">
      <c r="A82" s="2334"/>
      <c r="D82" s="2335"/>
      <c r="K82" s="796"/>
      <c r="L82" s="796"/>
    </row>
    <row r="83" spans="1:12" s="960" customFormat="1">
      <c r="A83" s="2334"/>
      <c r="D83" s="2335"/>
      <c r="K83" s="796"/>
      <c r="L83" s="796"/>
    </row>
    <row r="84" spans="1:12" s="960" customFormat="1">
      <c r="A84" s="2334"/>
      <c r="D84" s="2335"/>
      <c r="K84" s="796"/>
      <c r="L84" s="796"/>
    </row>
    <row r="85" spans="1:12" s="960" customFormat="1">
      <c r="A85" s="2334"/>
      <c r="D85" s="2335"/>
      <c r="K85" s="796"/>
      <c r="L85" s="796"/>
    </row>
    <row r="86" spans="1:12" s="960" customFormat="1">
      <c r="A86" s="2334"/>
      <c r="D86" s="2335"/>
      <c r="K86" s="796"/>
      <c r="L86" s="796"/>
    </row>
    <row r="87" spans="1:12" s="960" customFormat="1">
      <c r="A87" s="2334"/>
      <c r="D87" s="2335"/>
      <c r="K87" s="796"/>
      <c r="L87" s="796"/>
    </row>
    <row r="88" spans="1:12" s="960" customFormat="1">
      <c r="A88" s="2334"/>
      <c r="D88" s="2335"/>
      <c r="K88" s="796"/>
      <c r="L88" s="796"/>
    </row>
    <row r="89" spans="1:12" s="960" customFormat="1">
      <c r="A89" s="2334"/>
      <c r="D89" s="2335"/>
      <c r="K89" s="796"/>
      <c r="L89" s="796"/>
    </row>
    <row r="90" spans="1:12" s="960" customFormat="1">
      <c r="A90" s="2334"/>
      <c r="D90" s="2335"/>
      <c r="K90" s="796"/>
      <c r="L90" s="796"/>
    </row>
    <row r="91" spans="1:12" s="960" customFormat="1">
      <c r="A91" s="2334"/>
      <c r="D91" s="2335"/>
      <c r="K91" s="796"/>
      <c r="L91" s="796"/>
    </row>
    <row r="92" spans="1:12" s="960" customFormat="1">
      <c r="A92" s="2334"/>
      <c r="D92" s="2335"/>
      <c r="K92" s="796"/>
      <c r="L92" s="796"/>
    </row>
    <row r="93" spans="1:12" s="960" customFormat="1">
      <c r="A93" s="2334"/>
      <c r="D93" s="2335"/>
      <c r="K93" s="796"/>
      <c r="L93" s="796"/>
    </row>
    <row r="94" spans="1:12" s="960" customFormat="1">
      <c r="A94" s="2334"/>
      <c r="D94" s="2335"/>
      <c r="K94" s="796"/>
      <c r="L94" s="796"/>
    </row>
    <row r="95" spans="1:12" s="960" customFormat="1">
      <c r="A95" s="2334"/>
      <c r="D95" s="2335"/>
      <c r="K95" s="796"/>
      <c r="L95" s="796"/>
    </row>
    <row r="96" spans="1:12" s="960" customFormat="1">
      <c r="A96" s="2334"/>
      <c r="D96" s="2335"/>
      <c r="K96" s="796"/>
      <c r="L96" s="796"/>
    </row>
    <row r="97" spans="1:12" s="960" customFormat="1">
      <c r="A97" s="2334"/>
      <c r="D97" s="2335"/>
      <c r="K97" s="796"/>
      <c r="L97" s="796"/>
    </row>
    <row r="98" spans="1:12" s="960" customFormat="1">
      <c r="A98" s="2334"/>
      <c r="D98" s="2335"/>
      <c r="K98" s="796"/>
      <c r="L98" s="796"/>
    </row>
    <row r="99" spans="1:12" s="960" customFormat="1">
      <c r="A99" s="2334"/>
      <c r="D99" s="2335"/>
      <c r="K99" s="796"/>
      <c r="L99" s="796"/>
    </row>
    <row r="100" spans="1:12" s="960" customFormat="1">
      <c r="A100" s="2334"/>
      <c r="D100" s="2335"/>
      <c r="K100" s="796"/>
      <c r="L100" s="796"/>
    </row>
    <row r="101" spans="1:12" s="960" customFormat="1">
      <c r="A101" s="2334"/>
      <c r="D101" s="2335"/>
      <c r="K101" s="796"/>
      <c r="L101" s="796"/>
    </row>
    <row r="102" spans="1:12" s="960" customFormat="1">
      <c r="A102" s="2334"/>
      <c r="D102" s="2335"/>
      <c r="K102" s="796"/>
      <c r="L102" s="796"/>
    </row>
    <row r="103" spans="1:12" s="960" customFormat="1">
      <c r="A103" s="2334"/>
      <c r="D103" s="2335"/>
      <c r="K103" s="796"/>
      <c r="L103" s="796"/>
    </row>
    <row r="104" spans="1:12" s="960" customFormat="1">
      <c r="A104" s="2334"/>
      <c r="D104" s="2335"/>
      <c r="K104" s="796"/>
      <c r="L104" s="796"/>
    </row>
    <row r="105" spans="1:12" s="960" customFormat="1">
      <c r="A105" s="2334"/>
      <c r="D105" s="2335"/>
      <c r="K105" s="796"/>
      <c r="L105" s="796"/>
    </row>
    <row r="106" spans="1:12" s="960" customFormat="1">
      <c r="A106" s="2334"/>
      <c r="D106" s="2335"/>
      <c r="K106" s="796"/>
      <c r="L106" s="796"/>
    </row>
    <row r="107" spans="1:12" s="960" customFormat="1">
      <c r="A107" s="2334"/>
      <c r="D107" s="2335"/>
      <c r="K107" s="796"/>
      <c r="L107" s="796"/>
    </row>
    <row r="108" spans="1:12" s="960" customFormat="1">
      <c r="A108" s="2334"/>
      <c r="D108" s="2335"/>
      <c r="K108" s="796"/>
      <c r="L108" s="796"/>
    </row>
    <row r="109" spans="1:12" s="960" customFormat="1">
      <c r="A109" s="2334"/>
      <c r="D109" s="2335"/>
      <c r="K109" s="796"/>
      <c r="L109" s="796"/>
    </row>
    <row r="110" spans="1:12" s="960" customFormat="1">
      <c r="A110" s="2334"/>
      <c r="D110" s="2335"/>
      <c r="K110" s="796"/>
      <c r="L110" s="796"/>
    </row>
    <row r="111" spans="1:12" s="960" customFormat="1">
      <c r="A111" s="2334"/>
      <c r="D111" s="2335"/>
      <c r="K111" s="796"/>
      <c r="L111" s="796"/>
    </row>
    <row r="112" spans="1:12" s="960" customFormat="1">
      <c r="A112" s="2334"/>
      <c r="D112" s="2335"/>
      <c r="K112" s="796"/>
      <c r="L112" s="796"/>
    </row>
    <row r="113" spans="1:12" s="960" customFormat="1">
      <c r="A113" s="2334"/>
      <c r="D113" s="2335"/>
      <c r="K113" s="796"/>
      <c r="L113" s="796"/>
    </row>
    <row r="114" spans="1:12" s="960" customFormat="1">
      <c r="A114" s="2334"/>
      <c r="D114" s="2335"/>
      <c r="K114" s="796"/>
      <c r="L114" s="796"/>
    </row>
    <row r="115" spans="1:12" s="960" customFormat="1">
      <c r="A115" s="2334"/>
      <c r="D115" s="2335"/>
      <c r="K115" s="796"/>
      <c r="L115" s="796"/>
    </row>
    <row r="116" spans="1:12" s="960" customFormat="1">
      <c r="A116" s="2334"/>
      <c r="D116" s="2335"/>
      <c r="K116" s="796"/>
      <c r="L116" s="796"/>
    </row>
    <row r="117" spans="1:12" s="960" customFormat="1">
      <c r="A117" s="2334"/>
      <c r="D117" s="2335"/>
      <c r="K117" s="796"/>
      <c r="L117" s="796"/>
    </row>
    <row r="118" spans="1:12" s="960" customFormat="1">
      <c r="A118" s="2334"/>
      <c r="D118" s="2335"/>
      <c r="K118" s="796"/>
      <c r="L118" s="796"/>
    </row>
    <row r="119" spans="1:12" s="960" customFormat="1">
      <c r="A119" s="2334"/>
      <c r="D119" s="2335"/>
      <c r="K119" s="796"/>
      <c r="L119" s="796"/>
    </row>
    <row r="120" spans="1:12" s="960" customFormat="1">
      <c r="A120" s="2334"/>
      <c r="D120" s="2335"/>
      <c r="K120" s="796"/>
      <c r="L120" s="796"/>
    </row>
    <row r="121" spans="1:12" s="960" customFormat="1">
      <c r="A121" s="2334"/>
      <c r="D121" s="2335"/>
      <c r="K121" s="796"/>
      <c r="L121" s="796"/>
    </row>
    <row r="122" spans="1:12" s="960" customFormat="1">
      <c r="A122" s="2334"/>
      <c r="D122" s="2335"/>
      <c r="K122" s="796"/>
      <c r="L122" s="796"/>
    </row>
    <row r="123" spans="1:12" s="960" customFormat="1">
      <c r="A123" s="2334"/>
      <c r="D123" s="2335"/>
      <c r="K123" s="796"/>
      <c r="L123" s="796"/>
    </row>
    <row r="124" spans="1:12" s="960" customFormat="1">
      <c r="A124" s="2334"/>
      <c r="D124" s="2335"/>
      <c r="K124" s="796"/>
      <c r="L124" s="796"/>
    </row>
    <row r="125" spans="1:12" s="960" customFormat="1">
      <c r="A125" s="2334"/>
      <c r="D125" s="2335"/>
      <c r="K125" s="796"/>
      <c r="L125" s="796"/>
    </row>
    <row r="126" spans="1:12" s="960" customFormat="1">
      <c r="A126" s="2334"/>
      <c r="D126" s="2335"/>
      <c r="K126" s="796"/>
      <c r="L126" s="796"/>
    </row>
    <row r="127" spans="1:12" s="960" customFormat="1">
      <c r="A127" s="2334"/>
      <c r="D127" s="2335"/>
      <c r="K127" s="796"/>
      <c r="L127" s="796"/>
    </row>
    <row r="128" spans="1:12" s="960" customFormat="1">
      <c r="A128" s="2334"/>
      <c r="D128" s="2335"/>
      <c r="K128" s="796"/>
      <c r="L128" s="796"/>
    </row>
    <row r="129" spans="1:12" s="960" customFormat="1">
      <c r="A129" s="2334"/>
      <c r="D129" s="2335"/>
      <c r="K129" s="796"/>
      <c r="L129" s="796"/>
    </row>
    <row r="130" spans="1:12" s="960" customFormat="1">
      <c r="A130" s="2334"/>
      <c r="D130" s="2335"/>
      <c r="K130" s="796"/>
      <c r="L130" s="796"/>
    </row>
    <row r="131" spans="1:12" s="960" customFormat="1">
      <c r="A131" s="2334"/>
      <c r="D131" s="2335"/>
      <c r="K131" s="796"/>
      <c r="L131" s="796"/>
    </row>
    <row r="132" spans="1:12" s="960" customFormat="1">
      <c r="A132" s="2334"/>
      <c r="D132" s="2335"/>
      <c r="K132" s="796"/>
      <c r="L132" s="796"/>
    </row>
    <row r="133" spans="1:12" s="960" customFormat="1">
      <c r="A133" s="2334"/>
      <c r="D133" s="2335"/>
      <c r="K133" s="796"/>
      <c r="L133" s="796"/>
    </row>
    <row r="134" spans="1:12" s="2268" customFormat="1">
      <c r="A134" s="2336"/>
      <c r="D134" s="2337"/>
      <c r="K134" s="27"/>
      <c r="L134" s="27"/>
    </row>
    <row r="135" spans="1:12" s="2268" customFormat="1">
      <c r="A135" s="2336"/>
      <c r="D135" s="2337"/>
      <c r="K135" s="27"/>
      <c r="L135" s="27"/>
    </row>
    <row r="136" spans="1:12" s="2268" customFormat="1">
      <c r="A136" s="2336"/>
      <c r="D136" s="2337"/>
      <c r="K136" s="27"/>
      <c r="L136" s="27"/>
    </row>
    <row r="137" spans="1:12" s="2268" customFormat="1">
      <c r="A137" s="2336"/>
      <c r="D137" s="2337"/>
      <c r="K137" s="27"/>
      <c r="L137" s="27"/>
    </row>
    <row r="138" spans="1:12" s="2268" customFormat="1">
      <c r="A138" s="2336"/>
      <c r="D138" s="2337"/>
      <c r="K138" s="27"/>
      <c r="L138" s="27"/>
    </row>
    <row r="139" spans="1:12" s="2268" customFormat="1">
      <c r="A139" s="2336"/>
      <c r="D139" s="2337"/>
      <c r="K139" s="27"/>
      <c r="L139" s="27"/>
    </row>
    <row r="140" spans="1:12" s="2268" customFormat="1">
      <c r="A140" s="2336"/>
      <c r="D140" s="2337"/>
      <c r="K140" s="27"/>
      <c r="L140" s="27"/>
    </row>
    <row r="141" spans="1:12" s="2268" customFormat="1">
      <c r="A141" s="2336"/>
      <c r="D141" s="2337"/>
      <c r="K141" s="27"/>
      <c r="L141" s="27"/>
    </row>
    <row r="142" spans="1:12" s="2268" customFormat="1">
      <c r="A142" s="2336"/>
      <c r="D142" s="2337"/>
      <c r="K142" s="27"/>
      <c r="L142" s="27"/>
    </row>
    <row r="143" spans="1:12" s="2268" customFormat="1">
      <c r="A143" s="2336"/>
      <c r="D143" s="2337"/>
      <c r="K143" s="27"/>
      <c r="L143" s="27"/>
    </row>
    <row r="144" spans="1:12" s="2268" customFormat="1">
      <c r="A144" s="2336"/>
      <c r="D144" s="2337"/>
      <c r="K144" s="27"/>
      <c r="L144" s="27"/>
    </row>
    <row r="145" spans="1:12" s="2268" customFormat="1">
      <c r="A145" s="2336"/>
      <c r="D145" s="2337"/>
      <c r="K145" s="27"/>
      <c r="L145" s="27"/>
    </row>
    <row r="146" spans="1:12" s="2268" customFormat="1">
      <c r="A146" s="2336"/>
      <c r="D146" s="2337"/>
      <c r="K146" s="27"/>
      <c r="L146" s="27"/>
    </row>
    <row r="147" spans="1:12" s="2268" customFormat="1">
      <c r="A147" s="2336"/>
      <c r="D147" s="2337"/>
      <c r="K147" s="27"/>
      <c r="L147" s="27"/>
    </row>
    <row r="148" spans="1:12" s="2268" customFormat="1">
      <c r="A148" s="2336"/>
      <c r="D148" s="2337"/>
      <c r="K148" s="27"/>
      <c r="L148" s="27"/>
    </row>
    <row r="149" spans="1:12" s="2268" customFormat="1">
      <c r="A149" s="2336"/>
      <c r="D149" s="2337"/>
      <c r="K149" s="27"/>
      <c r="L149" s="27"/>
    </row>
    <row r="150" spans="1:12" s="2268" customFormat="1">
      <c r="A150" s="2336"/>
      <c r="D150" s="2337"/>
      <c r="K150" s="27"/>
      <c r="L150" s="27"/>
    </row>
    <row r="151" spans="1:12" s="2268" customFormat="1">
      <c r="A151" s="2336"/>
      <c r="D151" s="2337"/>
      <c r="K151" s="27"/>
      <c r="L151" s="27"/>
    </row>
    <row r="152" spans="1:12" s="2268" customFormat="1">
      <c r="A152" s="2336"/>
      <c r="D152" s="2337"/>
      <c r="K152" s="27"/>
      <c r="L152" s="27"/>
    </row>
    <row r="153" spans="1:12" s="2268" customFormat="1">
      <c r="A153" s="2336"/>
      <c r="D153" s="2337"/>
      <c r="K153" s="27"/>
      <c r="L153" s="27"/>
    </row>
    <row r="154" spans="1:12" s="2268" customFormat="1">
      <c r="A154" s="2336"/>
      <c r="D154" s="2337"/>
      <c r="K154" s="27"/>
      <c r="L154" s="27"/>
    </row>
    <row r="155" spans="1:12" s="2268" customFormat="1">
      <c r="A155" s="2336"/>
      <c r="D155" s="2337"/>
      <c r="K155" s="27"/>
      <c r="L155" s="27"/>
    </row>
    <row r="156" spans="1:12" s="2268" customFormat="1">
      <c r="A156" s="2336"/>
      <c r="D156" s="2337"/>
      <c r="K156" s="27"/>
      <c r="L156" s="27"/>
    </row>
    <row r="157" spans="1:12" s="2268" customFormat="1">
      <c r="A157" s="2336"/>
      <c r="D157" s="2337"/>
      <c r="K157" s="27"/>
      <c r="L157" s="27"/>
    </row>
    <row r="158" spans="1:12" s="2268" customFormat="1">
      <c r="A158" s="2336"/>
      <c r="D158" s="2337"/>
      <c r="K158" s="27"/>
      <c r="L158" s="27"/>
    </row>
    <row r="159" spans="1:12" s="2268" customFormat="1">
      <c r="A159" s="2336"/>
      <c r="D159" s="2337"/>
      <c r="K159" s="27"/>
      <c r="L159" s="27"/>
    </row>
    <row r="160" spans="1:12" s="2268" customFormat="1">
      <c r="A160" s="2336"/>
      <c r="D160" s="2337"/>
      <c r="K160" s="27"/>
      <c r="L160" s="27"/>
    </row>
    <row r="161" spans="1:12" s="2268" customFormat="1">
      <c r="A161" s="2336"/>
      <c r="D161" s="2337"/>
      <c r="K161" s="27"/>
      <c r="L161" s="27"/>
    </row>
    <row r="162" spans="1:12" s="2268" customFormat="1">
      <c r="A162" s="2336"/>
      <c r="D162" s="2337"/>
      <c r="K162" s="27"/>
      <c r="L162" s="27"/>
    </row>
    <row r="163" spans="1:12" s="2268" customFormat="1">
      <c r="A163" s="2336"/>
      <c r="D163" s="2337"/>
      <c r="K163" s="27"/>
      <c r="L163" s="27"/>
    </row>
    <row r="164" spans="1:12" s="2268" customFormat="1">
      <c r="A164" s="2336"/>
      <c r="D164" s="2337"/>
      <c r="K164" s="27"/>
      <c r="L164" s="27"/>
    </row>
    <row r="165" spans="1:12" s="2268" customFormat="1">
      <c r="A165" s="2336"/>
      <c r="D165" s="2337"/>
      <c r="K165" s="27"/>
      <c r="L165" s="27"/>
    </row>
    <row r="166" spans="1:12" s="2268" customFormat="1">
      <c r="A166" s="2336"/>
      <c r="D166" s="2337"/>
      <c r="K166" s="27"/>
      <c r="L166" s="27"/>
    </row>
    <row r="167" spans="1:12" s="2268" customFormat="1">
      <c r="A167" s="2336"/>
      <c r="D167" s="2337"/>
      <c r="K167" s="27"/>
      <c r="L167" s="27"/>
    </row>
    <row r="168" spans="1:12" s="2268" customFormat="1">
      <c r="A168" s="2336"/>
      <c r="D168" s="2337"/>
      <c r="K168" s="27"/>
      <c r="L168" s="27"/>
    </row>
    <row r="169" spans="1:12" s="2268" customFormat="1">
      <c r="A169" s="2336"/>
      <c r="D169" s="2337"/>
      <c r="K169" s="27"/>
      <c r="L169" s="27"/>
    </row>
    <row r="170" spans="1:12" s="2268" customFormat="1">
      <c r="A170" s="2336"/>
      <c r="D170" s="2337"/>
      <c r="K170" s="27"/>
      <c r="L170" s="27"/>
    </row>
    <row r="171" spans="1:12" s="2268" customFormat="1">
      <c r="A171" s="2336"/>
      <c r="D171" s="2337"/>
      <c r="K171" s="27"/>
      <c r="L171" s="27"/>
    </row>
    <row r="172" spans="1:12" s="2268" customFormat="1">
      <c r="A172" s="2336"/>
      <c r="D172" s="2337"/>
      <c r="K172" s="27"/>
      <c r="L172" s="27"/>
    </row>
    <row r="173" spans="1:12" s="2268" customFormat="1">
      <c r="A173" s="2336"/>
      <c r="D173" s="2337"/>
      <c r="K173" s="27"/>
      <c r="L173" s="27"/>
    </row>
    <row r="174" spans="1:12" s="2268" customFormat="1">
      <c r="A174" s="2336"/>
      <c r="D174" s="2337"/>
      <c r="K174" s="27"/>
      <c r="L174" s="27"/>
    </row>
  </sheetData>
  <sheetProtection password="C66D" sheet="1" objects="1" scenarios="1" formatCells="0" formatColumns="0" formatRows="0"/>
  <phoneticPr fontId="6"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F32" sqref="F32"/>
    </sheetView>
  </sheetViews>
  <sheetFormatPr defaultColWidth="8.875"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625" style="2389" customWidth="1"/>
    <col min="10" max="10" width="2.625" style="2388" customWidth="1"/>
    <col min="11" max="11" width="11.875" style="2388" customWidth="1"/>
    <col min="12" max="12" width="16.625" style="2389" customWidth="1"/>
    <col min="13" max="13" width="2.625" style="2388" customWidth="1"/>
    <col min="14" max="14" width="11.875" style="2388" customWidth="1"/>
    <col min="15" max="15" width="16.625" style="2389" customWidth="1"/>
    <col min="16" max="16" width="2.625" style="2388" customWidth="1"/>
    <col min="17" max="17" width="11.875" style="2388" customWidth="1"/>
    <col min="18" max="18" width="16.625" style="2390" customWidth="1"/>
    <col min="19" max="29" width="8.875" style="2361"/>
    <col min="30" max="16384" width="8.875" style="2362"/>
  </cols>
  <sheetData>
    <row r="1" spans="1:29" s="2355" customFormat="1" ht="19.5" thickBot="1">
      <c r="A1" s="3153" t="s">
        <v>2078</v>
      </c>
      <c r="B1" s="3154"/>
      <c r="C1" s="3154"/>
      <c r="D1" s="3154"/>
      <c r="E1" s="3154"/>
      <c r="F1" s="3154"/>
      <c r="G1" s="3154"/>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2079</v>
      </c>
      <c r="D2" s="2359"/>
      <c r="E2" s="2360"/>
      <c r="F2" s="2280"/>
      <c r="G2" s="2358" t="s">
        <v>2080</v>
      </c>
      <c r="H2" s="2361"/>
      <c r="I2" s="2361"/>
      <c r="J2" s="2361"/>
      <c r="K2" s="2361"/>
      <c r="L2" s="2361"/>
      <c r="M2" s="2361"/>
      <c r="N2" s="2361"/>
      <c r="O2" s="2361"/>
      <c r="P2" s="2361"/>
      <c r="Q2" s="2361"/>
      <c r="R2" s="2361"/>
    </row>
    <row r="3" spans="1:29" ht="27">
      <c r="A3" s="415" t="s">
        <v>2081</v>
      </c>
      <c r="B3" s="1264" t="s">
        <v>2082</v>
      </c>
      <c r="C3" s="2363"/>
      <c r="D3" s="2364"/>
      <c r="E3" s="431" t="s">
        <v>2081</v>
      </c>
      <c r="F3" s="2365" t="s">
        <v>2083</v>
      </c>
      <c r="G3" s="2366"/>
      <c r="H3" s="2361"/>
      <c r="I3" s="2361"/>
      <c r="J3" s="2361"/>
      <c r="K3" s="2361"/>
      <c r="L3" s="2361"/>
      <c r="M3" s="2361"/>
      <c r="N3" s="2361"/>
      <c r="O3" s="2361"/>
      <c r="P3" s="2361"/>
      <c r="Q3" s="2361"/>
      <c r="R3" s="2361"/>
    </row>
    <row r="4" spans="1:29" ht="27.75">
      <c r="A4" s="431"/>
      <c r="B4" s="1791" t="s">
        <v>2084</v>
      </c>
      <c r="C4" s="2367" t="s">
        <v>3073</v>
      </c>
      <c r="D4" s="2364"/>
      <c r="E4" s="2368"/>
      <c r="F4" s="42" t="s">
        <v>2085</v>
      </c>
      <c r="G4" s="2369"/>
      <c r="H4" s="2361"/>
      <c r="I4" s="2361"/>
      <c r="J4" s="2361"/>
      <c r="K4" s="2361"/>
      <c r="L4" s="2361"/>
      <c r="M4" s="2361"/>
      <c r="N4" s="2361"/>
      <c r="O4" s="2361"/>
      <c r="P4" s="2361"/>
      <c r="Q4" s="2361"/>
      <c r="R4" s="2361"/>
    </row>
    <row r="5" spans="1:29" ht="42.75">
      <c r="A5" s="431"/>
      <c r="B5" s="1791" t="s">
        <v>2086</v>
      </c>
      <c r="C5" s="2367" t="s">
        <v>3074</v>
      </c>
      <c r="D5" s="2364"/>
      <c r="E5" s="2368"/>
      <c r="F5" s="1791" t="s">
        <v>2087</v>
      </c>
      <c r="G5" s="2369"/>
      <c r="H5" s="2361"/>
      <c r="I5" s="2361"/>
      <c r="J5" s="2361"/>
      <c r="K5" s="2361"/>
      <c r="L5" s="2361"/>
      <c r="M5" s="2361"/>
      <c r="N5" s="2361"/>
      <c r="O5" s="2361"/>
      <c r="P5" s="2361"/>
      <c r="Q5" s="2361"/>
      <c r="R5" s="2361"/>
    </row>
    <row r="6" spans="1:29" ht="81">
      <c r="A6" s="431"/>
      <c r="B6" s="1791" t="s">
        <v>2088</v>
      </c>
      <c r="C6" s="2947" t="s">
        <v>3075</v>
      </c>
      <c r="D6" s="2364"/>
      <c r="E6" s="2368"/>
      <c r="F6" s="1791" t="s">
        <v>2089</v>
      </c>
      <c r="G6" s="2369"/>
      <c r="H6" s="2361"/>
      <c r="I6" s="2361"/>
      <c r="J6" s="2361"/>
      <c r="K6" s="2361"/>
      <c r="L6" s="2361"/>
      <c r="M6" s="2361"/>
      <c r="N6" s="2361"/>
      <c r="O6" s="2361"/>
      <c r="P6" s="2361"/>
      <c r="Q6" s="2361"/>
      <c r="R6" s="2361"/>
    </row>
    <row r="7" spans="1:29" ht="114.75" thickBot="1">
      <c r="A7" s="431"/>
      <c r="B7" s="1791" t="s">
        <v>2087</v>
      </c>
      <c r="C7" s="2369" t="s">
        <v>3076</v>
      </c>
      <c r="D7" s="2370"/>
      <c r="E7" s="2371"/>
      <c r="F7" s="2372" t="s">
        <v>2090</v>
      </c>
      <c r="G7" s="2373"/>
      <c r="H7" s="2361"/>
      <c r="I7" s="2361"/>
      <c r="J7" s="2361"/>
      <c r="K7" s="2361"/>
      <c r="L7" s="2361"/>
      <c r="M7" s="2361"/>
      <c r="N7" s="2361"/>
      <c r="O7" s="2361"/>
      <c r="P7" s="2361"/>
      <c r="Q7" s="2361"/>
      <c r="R7" s="2361"/>
    </row>
    <row r="8" spans="1:29" ht="15">
      <c r="A8" s="431"/>
      <c r="B8" s="1791" t="s">
        <v>2089</v>
      </c>
      <c r="C8" s="2369"/>
      <c r="D8" s="2370"/>
      <c r="E8" s="2370"/>
      <c r="F8" s="1129"/>
      <c r="G8" s="1129"/>
      <c r="H8" s="2361"/>
      <c r="I8" s="2361"/>
      <c r="J8" s="2361"/>
      <c r="K8" s="2361"/>
      <c r="L8" s="2361"/>
      <c r="M8" s="2361"/>
      <c r="N8" s="2361"/>
      <c r="O8" s="2361"/>
      <c r="P8" s="2361"/>
      <c r="Q8" s="2361"/>
      <c r="R8" s="2361"/>
    </row>
    <row r="9" spans="1:29" ht="15">
      <c r="A9" s="431"/>
      <c r="B9" s="1791" t="s">
        <v>2091</v>
      </c>
      <c r="C9" s="2367"/>
      <c r="D9" s="2364"/>
      <c r="E9" s="2370"/>
      <c r="F9" s="1129"/>
      <c r="G9" s="1129"/>
      <c r="H9" s="2361"/>
      <c r="I9" s="2361"/>
      <c r="J9" s="2361"/>
      <c r="K9" s="2361"/>
      <c r="L9" s="2361"/>
      <c r="M9" s="2361"/>
      <c r="N9" s="2361"/>
      <c r="O9" s="2361"/>
      <c r="P9" s="2361"/>
      <c r="Q9" s="2361"/>
      <c r="R9" s="2361"/>
    </row>
    <row r="10" spans="1:29" s="117" customFormat="1" ht="15.75" thickBot="1">
      <c r="A10" s="2374"/>
      <c r="B10" s="2375" t="s">
        <v>2092</v>
      </c>
      <c r="C10" s="2948"/>
      <c r="D10" s="2364"/>
      <c r="E10" s="2364"/>
      <c r="F10" s="1129"/>
      <c r="G10" s="1129"/>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ht="15" hidden="1">
      <c r="A11" s="2379"/>
      <c r="B11" s="2370"/>
      <c r="C11" s="2364"/>
      <c r="D11" s="2364"/>
      <c r="E11" s="2364"/>
      <c r="F11" s="2370"/>
      <c r="G11" s="1147"/>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8" hidden="1">
      <c r="A12" s="2379"/>
      <c r="B12" s="2370"/>
      <c r="C12" s="2364"/>
      <c r="D12" s="2380"/>
      <c r="E12" s="2364"/>
      <c r="F12" s="2370"/>
      <c r="G12" s="1147"/>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9.5" hidden="1" thickBot="1">
      <c r="A13" s="2386" t="s">
        <v>2093</v>
      </c>
      <c r="B13" s="2380"/>
      <c r="C13" s="2380"/>
      <c r="D13" s="2387"/>
      <c r="E13" s="2380"/>
      <c r="F13" s="2380"/>
      <c r="G13" s="2380"/>
    </row>
    <row r="14" spans="1:29" ht="15.75" hidden="1" thickBot="1">
      <c r="A14" s="2391"/>
      <c r="B14" s="2392"/>
      <c r="C14" s="2393" t="s">
        <v>2094</v>
      </c>
      <c r="D14" s="2364"/>
      <c r="E14" s="2394"/>
      <c r="F14" s="2394"/>
      <c r="G14" s="2358" t="s">
        <v>2095</v>
      </c>
    </row>
    <row r="15" spans="1:29" ht="27" hidden="1">
      <c r="A15" s="68" t="s">
        <v>2096</v>
      </c>
      <c r="B15" s="1263" t="s">
        <v>2082</v>
      </c>
      <c r="C15" s="2395">
        <f>C3</f>
        <v>0</v>
      </c>
      <c r="D15" s="2364"/>
      <c r="E15" s="2396" t="s">
        <v>2097</v>
      </c>
      <c r="F15" s="1263" t="s">
        <v>2098</v>
      </c>
      <c r="G15" s="135">
        <f>G3</f>
        <v>0</v>
      </c>
    </row>
    <row r="16" spans="1:29" ht="28.5" hidden="1">
      <c r="A16" s="643"/>
      <c r="B16" s="2397" t="s">
        <v>2084</v>
      </c>
      <c r="C16" s="2398" t="str">
        <f>C4</f>
        <v>XX商圈，周边商业氛围，人流量</v>
      </c>
      <c r="D16" s="2364"/>
      <c r="E16" s="2399"/>
      <c r="F16" s="2400" t="s">
        <v>2085</v>
      </c>
      <c r="G16" s="136">
        <f>G4</f>
        <v>0</v>
      </c>
    </row>
    <row r="17" spans="1:18" ht="42.75" hidden="1">
      <c r="A17" s="643"/>
      <c r="B17" s="2397" t="s">
        <v>2086</v>
      </c>
      <c r="C17" s="2398" t="str">
        <f>C5</f>
        <v>XX商圈，周边办公楼项目，入驻率（物美慧科大厦 新奥特科技大厦 裕友大厦）</v>
      </c>
      <c r="D17" s="2370"/>
      <c r="E17" s="2399"/>
      <c r="F17" s="2400" t="s">
        <v>2099</v>
      </c>
      <c r="G17" s="1565"/>
    </row>
    <row r="18" spans="1:18" ht="71.25" hidden="1">
      <c r="A18" s="643"/>
      <c r="B18" s="2400" t="s">
        <v>2088</v>
      </c>
      <c r="C18" s="136" t="str">
        <f>C6</f>
        <v>周边道路状况、公共交通通达情况、停车便捷程度（快速路西四环北路 六号线海淀五路居站 五路桥公交站  61路 79路 121路 地上停车位）</v>
      </c>
      <c r="D18" s="2370"/>
      <c r="E18" s="2399"/>
      <c r="F18" s="2400" t="s">
        <v>2090</v>
      </c>
      <c r="G18" s="136">
        <f>G7</f>
        <v>0</v>
      </c>
    </row>
    <row r="19" spans="1:18" ht="15" hidden="1">
      <c r="A19" s="643"/>
      <c r="B19" s="2400" t="s">
        <v>2100</v>
      </c>
      <c r="C19" s="1565"/>
      <c r="D19" s="2364"/>
      <c r="E19" s="2399"/>
      <c r="F19" s="1791" t="s">
        <v>2087</v>
      </c>
      <c r="G19" s="136">
        <f>G5</f>
        <v>0</v>
      </c>
    </row>
    <row r="20" spans="1:18" ht="15" hidden="1">
      <c r="A20" s="643"/>
      <c r="B20" s="2400" t="s">
        <v>2101</v>
      </c>
      <c r="C20" s="2398">
        <f>C9</f>
        <v>0</v>
      </c>
      <c r="D20" s="2370"/>
      <c r="E20" s="2399"/>
      <c r="F20" s="1791" t="s">
        <v>2102</v>
      </c>
      <c r="G20" s="136">
        <f>G6</f>
        <v>0</v>
      </c>
    </row>
    <row r="21" spans="1:18" ht="114" hidden="1">
      <c r="A21" s="643"/>
      <c r="B21" s="1791" t="s">
        <v>2087</v>
      </c>
      <c r="C21" s="136" t="str">
        <f>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1" s="2364"/>
      <c r="E21" s="2399"/>
      <c r="F21" s="2400" t="s">
        <v>2103</v>
      </c>
      <c r="G21" s="2401"/>
    </row>
    <row r="22" spans="1:18" ht="13.5" hidden="1" customHeight="1">
      <c r="A22" s="643"/>
      <c r="B22" s="1791" t="s">
        <v>2089</v>
      </c>
      <c r="C22" s="136">
        <f>C8</f>
        <v>0</v>
      </c>
      <c r="D22" s="2364"/>
      <c r="E22" s="2399"/>
      <c r="F22" s="2400" t="s">
        <v>2092</v>
      </c>
      <c r="G22" s="1565"/>
    </row>
    <row r="23" spans="1:18" s="2361" customFormat="1" ht="15.75" hidden="1" thickBot="1">
      <c r="A23" s="643"/>
      <c r="B23" s="2400" t="s">
        <v>2103</v>
      </c>
      <c r="C23" s="2401"/>
      <c r="D23" s="2388"/>
      <c r="E23" s="2402"/>
      <c r="F23" s="2403" t="s">
        <v>2104</v>
      </c>
      <c r="G23" s="2404"/>
      <c r="H23" s="2388"/>
      <c r="I23" s="2389"/>
      <c r="J23" s="2388"/>
      <c r="K23" s="2388"/>
      <c r="L23" s="2389"/>
      <c r="M23" s="2388"/>
      <c r="N23" s="2388"/>
      <c r="O23" s="2389"/>
      <c r="P23" s="2388"/>
      <c r="Q23" s="2388"/>
      <c r="R23" s="2390"/>
    </row>
    <row r="24" spans="1:18" s="2361" customFormat="1" ht="15.75" hidden="1" thickBot="1">
      <c r="A24" s="2405"/>
      <c r="B24" s="2403" t="s">
        <v>2105</v>
      </c>
      <c r="C24" s="137">
        <f>C10</f>
        <v>0</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7"/>
  <sheetViews>
    <sheetView topLeftCell="B1" workbookViewId="0">
      <selection activeCell="G7" sqref="G7"/>
    </sheetView>
  </sheetViews>
  <sheetFormatPr defaultColWidth="8.875" defaultRowHeight="13.5"/>
  <cols>
    <col min="1" max="1" width="5.875" style="3012" customWidth="1"/>
    <col min="2" max="2" width="6.625" style="3012" customWidth="1"/>
    <col min="3" max="3" width="13.5" style="3012" customWidth="1"/>
    <col min="4" max="4" width="36.125" style="3012" customWidth="1"/>
    <col min="5" max="6" width="11.5" style="3012" customWidth="1"/>
    <col min="7" max="7" width="6" style="3012" customWidth="1"/>
    <col min="8" max="8" width="27.75" style="3022" customWidth="1"/>
    <col min="9" max="9" width="10.125" style="2993" bestFit="1" customWidth="1"/>
    <col min="10" max="34" width="8.875" style="2993"/>
  </cols>
  <sheetData>
    <row r="1" spans="1:34" ht="21" customHeight="1">
      <c r="A1" s="3157" t="s">
        <v>3217</v>
      </c>
      <c r="B1" s="3157" t="s">
        <v>3218</v>
      </c>
      <c r="C1" s="3157" t="s">
        <v>3227</v>
      </c>
      <c r="D1" s="3157" t="s">
        <v>3219</v>
      </c>
      <c r="E1" s="3162" t="s">
        <v>3220</v>
      </c>
      <c r="F1" s="3162"/>
      <c r="G1" s="3162" t="s">
        <v>1354</v>
      </c>
      <c r="H1" s="3163" t="s">
        <v>3645</v>
      </c>
      <c r="I1" s="2995"/>
    </row>
    <row r="2" spans="1:34" ht="21" customHeight="1">
      <c r="A2" s="3157"/>
      <c r="B2" s="3157"/>
      <c r="C2" s="3157"/>
      <c r="D2" s="3157"/>
      <c r="E2" s="3021" t="s">
        <v>3221</v>
      </c>
      <c r="F2" s="3021" t="s">
        <v>3222</v>
      </c>
      <c r="G2" s="3162"/>
      <c r="H2" s="3163"/>
    </row>
    <row r="3" spans="1:34" ht="30.75" customHeight="1">
      <c r="A3" s="3012">
        <v>1</v>
      </c>
      <c r="B3" s="3012">
        <v>1</v>
      </c>
      <c r="C3" s="3012">
        <v>562</v>
      </c>
      <c r="D3" s="2994" t="s">
        <v>3223</v>
      </c>
      <c r="E3" s="3014">
        <v>41456</v>
      </c>
      <c r="F3" s="3014">
        <v>43646</v>
      </c>
      <c r="G3" s="3012">
        <v>11</v>
      </c>
      <c r="H3" s="2994" t="s">
        <v>3652</v>
      </c>
      <c r="J3" s="2993">
        <f>G3*C3</f>
        <v>6182</v>
      </c>
    </row>
    <row r="4" spans="1:34" s="3024" customFormat="1" ht="30.75" customHeight="1">
      <c r="A4" s="3159">
        <v>2</v>
      </c>
      <c r="B4" s="3023">
        <v>1</v>
      </c>
      <c r="C4" s="3159">
        <v>226.9</v>
      </c>
      <c r="D4" s="3167" t="s">
        <v>3648</v>
      </c>
      <c r="E4" s="3158">
        <v>42901</v>
      </c>
      <c r="F4" s="3158">
        <v>44726</v>
      </c>
      <c r="G4" s="3159">
        <v>10.5</v>
      </c>
      <c r="H4" s="3166" t="s">
        <v>3651</v>
      </c>
      <c r="I4" s="3023"/>
      <c r="J4" s="3023">
        <f>G4*C4</f>
        <v>2382.4500000000003</v>
      </c>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row>
    <row r="5" spans="1:34" s="3024" customFormat="1" ht="30.75" customHeight="1">
      <c r="A5" s="3159"/>
      <c r="B5" s="3023">
        <v>2</v>
      </c>
      <c r="C5" s="3159"/>
      <c r="D5" s="3159"/>
      <c r="E5" s="3158"/>
      <c r="F5" s="3158"/>
      <c r="G5" s="3159"/>
      <c r="H5" s="3166"/>
      <c r="I5" s="3023"/>
      <c r="J5" s="3023"/>
      <c r="K5" s="3023"/>
      <c r="L5" s="3023"/>
      <c r="M5" s="3023"/>
      <c r="N5" s="3023"/>
      <c r="O5" s="3023"/>
      <c r="P5" s="3023"/>
      <c r="Q5" s="3023"/>
      <c r="R5" s="3023"/>
      <c r="S5" s="3023"/>
      <c r="T5" s="3023"/>
      <c r="U5" s="3023"/>
      <c r="V5" s="3023"/>
      <c r="W5" s="3023"/>
      <c r="X5" s="3023"/>
      <c r="Y5" s="3023"/>
      <c r="Z5" s="3023"/>
      <c r="AA5" s="3023"/>
      <c r="AB5" s="3023"/>
      <c r="AC5" s="3023"/>
      <c r="AD5" s="3023"/>
      <c r="AE5" s="3023"/>
      <c r="AF5" s="3023"/>
      <c r="AG5" s="3023"/>
      <c r="AH5" s="3023"/>
    </row>
    <row r="6" spans="1:34" ht="30.75" customHeight="1">
      <c r="A6" s="3155">
        <v>3</v>
      </c>
      <c r="B6" s="3013">
        <v>2</v>
      </c>
      <c r="C6" s="3012">
        <v>1239.8</v>
      </c>
      <c r="D6" s="3157" t="s">
        <v>3224</v>
      </c>
      <c r="E6" s="3156">
        <v>42705</v>
      </c>
      <c r="F6" s="3165">
        <v>43799</v>
      </c>
      <c r="G6" s="3012">
        <v>8.5</v>
      </c>
      <c r="H6" s="3164" t="s">
        <v>3689</v>
      </c>
      <c r="J6" s="2993">
        <f>G6*C6</f>
        <v>10538.3</v>
      </c>
      <c r="K6" s="2993">
        <f>(J6+J4+J3)/抵押物清单!I4</f>
        <v>9.0780025566818257</v>
      </c>
      <c r="L6" s="2993">
        <f>(J3+J6)/(C3+C6)</f>
        <v>9.2797757797757789</v>
      </c>
    </row>
    <row r="7" spans="1:34" ht="30.75" customHeight="1">
      <c r="A7" s="3155"/>
      <c r="B7" s="3012">
        <v>6</v>
      </c>
      <c r="C7" s="3012">
        <v>931.91</v>
      </c>
      <c r="D7" s="3157"/>
      <c r="E7" s="3156"/>
      <c r="F7" s="3165"/>
      <c r="G7" s="3012">
        <v>6.1</v>
      </c>
      <c r="H7" s="3164"/>
      <c r="J7" s="2993">
        <f>C7*G7</f>
        <v>5684.6509999999998</v>
      </c>
    </row>
    <row r="8" spans="1:34" ht="30.75" customHeight="1">
      <c r="A8" s="3155"/>
      <c r="B8" s="3012">
        <v>7</v>
      </c>
      <c r="C8" s="3012">
        <v>931.91</v>
      </c>
      <c r="D8" s="3157"/>
      <c r="E8" s="3156"/>
      <c r="F8" s="3165"/>
      <c r="G8" s="3012">
        <v>6.1</v>
      </c>
      <c r="H8" s="3164"/>
      <c r="J8" s="3012">
        <f>C8*G8</f>
        <v>5684.6509999999998</v>
      </c>
      <c r="K8" s="2993">
        <f>SUM(J7:J15)/抵押物清单!I104</f>
        <v>5.8300840678871921</v>
      </c>
      <c r="L8" s="3052">
        <f>SUM(J7:J13)/SUM(抵押物清单!I5:I81)</f>
        <v>5.6269854797545902</v>
      </c>
    </row>
    <row r="9" spans="1:34" ht="30.75" customHeight="1">
      <c r="A9" s="3155"/>
      <c r="B9" s="3012">
        <v>8</v>
      </c>
      <c r="C9" s="3012">
        <v>931.91</v>
      </c>
      <c r="D9" s="3157"/>
      <c r="E9" s="3156"/>
      <c r="F9" s="3165"/>
      <c r="G9" s="3012">
        <v>6.1</v>
      </c>
      <c r="H9" s="3164"/>
      <c r="J9" s="3012">
        <f>C9*G9</f>
        <v>5684.6509999999998</v>
      </c>
    </row>
    <row r="10" spans="1:34" ht="30.75" customHeight="1">
      <c r="A10" s="3155">
        <v>4</v>
      </c>
      <c r="B10" s="3012">
        <v>3</v>
      </c>
      <c r="C10" s="3155">
        <v>2820.04</v>
      </c>
      <c r="D10" s="3157" t="s">
        <v>3225</v>
      </c>
      <c r="E10" s="3156">
        <v>41214</v>
      </c>
      <c r="F10" s="3156">
        <v>43404</v>
      </c>
      <c r="G10" s="3012">
        <v>5.2</v>
      </c>
      <c r="H10" s="3161" t="s">
        <v>3646</v>
      </c>
      <c r="J10" s="3160">
        <f>C10*G10</f>
        <v>14664.208000000001</v>
      </c>
    </row>
    <row r="11" spans="1:34" ht="30.75" customHeight="1">
      <c r="A11" s="3155"/>
      <c r="B11" s="3012">
        <v>4</v>
      </c>
      <c r="C11" s="3155"/>
      <c r="D11" s="3155"/>
      <c r="E11" s="3155"/>
      <c r="F11" s="3155"/>
      <c r="G11" s="3012">
        <v>5.2</v>
      </c>
      <c r="H11" s="3161"/>
      <c r="J11" s="3160"/>
    </row>
    <row r="12" spans="1:34" ht="30.75" customHeight="1">
      <c r="A12" s="3155"/>
      <c r="B12" s="3012">
        <v>5</v>
      </c>
      <c r="C12" s="3155"/>
      <c r="D12" s="3155"/>
      <c r="E12" s="3155"/>
      <c r="F12" s="3155"/>
      <c r="G12" s="3012">
        <v>5.2</v>
      </c>
      <c r="H12" s="3161"/>
      <c r="J12" s="3160"/>
    </row>
    <row r="13" spans="1:34" ht="30.75" customHeight="1">
      <c r="A13" s="3012">
        <v>5</v>
      </c>
      <c r="B13" s="3012">
        <v>9</v>
      </c>
      <c r="C13" s="3012">
        <v>931.64</v>
      </c>
      <c r="D13" s="3054" t="s">
        <v>3686</v>
      </c>
      <c r="E13" s="3053">
        <v>42267</v>
      </c>
      <c r="F13" s="3053">
        <v>43363</v>
      </c>
      <c r="G13" s="3012">
        <v>5.5</v>
      </c>
      <c r="H13" s="3055" t="s">
        <v>3685</v>
      </c>
      <c r="J13" s="3052">
        <f>C13*G13</f>
        <v>5124.0199999999995</v>
      </c>
    </row>
    <row r="14" spans="1:34" ht="30.75" customHeight="1">
      <c r="A14" s="3155">
        <v>6</v>
      </c>
      <c r="B14" s="3012">
        <v>10</v>
      </c>
      <c r="C14" s="3155">
        <v>1984.98</v>
      </c>
      <c r="D14" s="3157" t="s">
        <v>3648</v>
      </c>
      <c r="E14" s="3156">
        <v>42901</v>
      </c>
      <c r="F14" s="3156">
        <v>44726</v>
      </c>
      <c r="G14" s="3155">
        <v>6.5</v>
      </c>
      <c r="H14" s="3161" t="s">
        <v>3647</v>
      </c>
      <c r="J14" s="3160">
        <f>C14*G14</f>
        <v>12902.37</v>
      </c>
    </row>
    <row r="15" spans="1:34" ht="30.75" customHeight="1">
      <c r="A15" s="3155"/>
      <c r="B15" s="3012">
        <v>11</v>
      </c>
      <c r="C15" s="3155"/>
      <c r="D15" s="3155"/>
      <c r="E15" s="3155"/>
      <c r="F15" s="3155"/>
      <c r="G15" s="3155"/>
      <c r="H15" s="3161"/>
      <c r="J15" s="3160"/>
    </row>
    <row r="16" spans="1:34" ht="30.75" customHeight="1">
      <c r="A16" s="3012">
        <v>7</v>
      </c>
      <c r="B16" s="3012">
        <v>-1</v>
      </c>
    </row>
    <row r="17" spans="1:8" ht="30.75" customHeight="1">
      <c r="A17" s="3012">
        <v>8</v>
      </c>
      <c r="B17" s="3012">
        <v>-1</v>
      </c>
      <c r="C17" s="3013" t="s">
        <v>3226</v>
      </c>
      <c r="D17" s="3013" t="s">
        <v>3649</v>
      </c>
      <c r="E17" s="3014">
        <v>42901</v>
      </c>
      <c r="F17" s="3014">
        <v>44726</v>
      </c>
      <c r="G17" s="3012">
        <v>1000</v>
      </c>
      <c r="H17" s="2994" t="s">
        <v>3650</v>
      </c>
    </row>
  </sheetData>
  <mergeCells count="34">
    <mergeCell ref="A4:A5"/>
    <mergeCell ref="G1:G2"/>
    <mergeCell ref="H1:H2"/>
    <mergeCell ref="H6:H9"/>
    <mergeCell ref="B1:B2"/>
    <mergeCell ref="A1:A2"/>
    <mergeCell ref="A6:A9"/>
    <mergeCell ref="D1:D2"/>
    <mergeCell ref="C1:C2"/>
    <mergeCell ref="E1:F1"/>
    <mergeCell ref="D6:D9"/>
    <mergeCell ref="E6:E9"/>
    <mergeCell ref="F6:F9"/>
    <mergeCell ref="H4:H5"/>
    <mergeCell ref="C4:C5"/>
    <mergeCell ref="D4:D5"/>
    <mergeCell ref="E4:E5"/>
    <mergeCell ref="F4:F5"/>
    <mergeCell ref="G4:G5"/>
    <mergeCell ref="J14:J15"/>
    <mergeCell ref="J10:J12"/>
    <mergeCell ref="H10:H12"/>
    <mergeCell ref="G14:G15"/>
    <mergeCell ref="H14:H15"/>
    <mergeCell ref="E14:E15"/>
    <mergeCell ref="F14:F15"/>
    <mergeCell ref="A10:A12"/>
    <mergeCell ref="A14:A15"/>
    <mergeCell ref="C10:C12"/>
    <mergeCell ref="E10:E12"/>
    <mergeCell ref="F10:F12"/>
    <mergeCell ref="D10:D12"/>
    <mergeCell ref="C14:C15"/>
    <mergeCell ref="D14:D15"/>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workbookViewId="0">
      <selection activeCell="F9" sqref="F9"/>
    </sheetView>
  </sheetViews>
  <sheetFormatPr defaultColWidth="8.875" defaultRowHeight="13.5"/>
  <cols>
    <col min="1" max="1" width="23.375" style="1734" customWidth="1"/>
    <col min="2" max="9" width="15.625" style="1734" customWidth="1"/>
    <col min="10" max="16384" width="8.875" style="1734"/>
  </cols>
  <sheetData>
    <row r="1" spans="1:10" ht="16.5">
      <c r="A1" s="1739" t="s">
        <v>1365</v>
      </c>
      <c r="B1" s="1739">
        <f>SUM(B14:B23)</f>
        <v>11628.210000000001</v>
      </c>
      <c r="C1" s="1738"/>
      <c r="D1" s="1738"/>
      <c r="E1" s="1738"/>
      <c r="F1" s="1738"/>
      <c r="G1" s="1736"/>
    </row>
    <row r="2" spans="1:10" ht="16.5">
      <c r="A2" s="1739" t="s">
        <v>1353</v>
      </c>
      <c r="B2" s="1739">
        <f>SUM(C14:C23)</f>
        <v>966.97</v>
      </c>
      <c r="C2" s="1738"/>
      <c r="D2" s="1738"/>
      <c r="E2" s="1738"/>
      <c r="F2" s="1738"/>
      <c r="G2" s="1736"/>
    </row>
    <row r="3" spans="1:10" ht="16.5">
      <c r="A3" s="1739" t="s">
        <v>1362</v>
      </c>
      <c r="B3" s="1740">
        <f>项目基本情况!D3</f>
        <v>43185</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48299</v>
      </c>
      <c r="C5" s="1739">
        <f ca="1">ROUND(B5*10000/$B$1,0)</f>
        <v>41536</v>
      </c>
      <c r="D5" s="1739">
        <f ca="1">ROUND(B5*10000/$B$2,0)</f>
        <v>499488</v>
      </c>
      <c r="E5" s="1738"/>
      <c r="F5" s="1736"/>
      <c r="G5" s="1736"/>
    </row>
    <row r="6" spans="1:10" ht="16.5">
      <c r="A6" s="1739" t="s">
        <v>1356</v>
      </c>
      <c r="B6" s="1739">
        <f ca="1">SUM(G14:G23)</f>
        <v>48299</v>
      </c>
      <c r="C6" s="1739">
        <f ca="1">ROUND(B6*10000/$B$1,0)</f>
        <v>41536</v>
      </c>
      <c r="D6" s="1739">
        <f ca="1">ROUND(B6*10000/$B$2,0)</f>
        <v>499488</v>
      </c>
      <c r="E6" s="1738"/>
      <c r="F6" s="1736"/>
      <c r="G6" s="1736"/>
    </row>
    <row r="7" spans="1:10" ht="16.5">
      <c r="A7" s="1739" t="s">
        <v>1364</v>
      </c>
      <c r="B7" s="1739">
        <f>SUM(H14:H23)</f>
        <v>0</v>
      </c>
      <c r="C7" s="1739">
        <f>ROUND(B7*10000/$B$1,0)</f>
        <v>0</v>
      </c>
      <c r="D7" s="1739">
        <f>ROUND(B7*10000/$B$2,0)</f>
        <v>0</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8532.39</v>
      </c>
      <c r="C14" s="1737">
        <f>结果表!C118</f>
        <v>709.53</v>
      </c>
      <c r="D14" s="1737">
        <f ca="1">结果表!H118</f>
        <v>37508</v>
      </c>
      <c r="E14" s="1737">
        <f ca="1">ROUND(D14*10000/B14,0)</f>
        <v>43960</v>
      </c>
      <c r="F14" s="1737">
        <f ca="1">ROUND(D14*10000/C14,0)</f>
        <v>528632</v>
      </c>
      <c r="G14" s="1737">
        <f ca="1">结果表!D122</f>
        <v>37508</v>
      </c>
      <c r="H14" s="1737" t="str">
        <f>结果表!D124</f>
        <v>——</v>
      </c>
      <c r="I14" s="1737" t="str">
        <f>结果表!D126</f>
        <v>——</v>
      </c>
      <c r="J14" s="1736"/>
    </row>
    <row r="15" spans="1:10" ht="16.5">
      <c r="A15" s="1735" t="s">
        <v>1349</v>
      </c>
      <c r="B15" s="1742">
        <f>'结果表 (1)'!B118</f>
        <v>2104.29</v>
      </c>
      <c r="C15" s="1742">
        <f>'结果表 (1)'!C118</f>
        <v>174.99</v>
      </c>
      <c r="D15" s="1742">
        <f ca="1">G15</f>
        <v>10331</v>
      </c>
      <c r="E15" s="1737">
        <f t="shared" ref="E15:E23" ca="1" si="0">ROUND(D15*10000/B15,0)</f>
        <v>49095</v>
      </c>
      <c r="F15" s="1737">
        <f t="shared" ref="F15:F23" ca="1" si="1">ROUND(D15*10000/C15,0)</f>
        <v>590377</v>
      </c>
      <c r="G15" s="1743">
        <f ca="1">'结果表 (1)'!G19</f>
        <v>10331</v>
      </c>
      <c r="H15" s="1743"/>
      <c r="I15" s="1742"/>
      <c r="J15" s="1736"/>
    </row>
    <row r="16" spans="1:10" ht="16.5">
      <c r="A16" s="1735" t="s">
        <v>1348</v>
      </c>
      <c r="B16" s="1742">
        <f>'结果表 (2) '!B118</f>
        <v>991.5300000000002</v>
      </c>
      <c r="C16" s="1742">
        <f>'结果表 (2) '!C118</f>
        <v>82.45</v>
      </c>
      <c r="D16" s="1742">
        <f ca="1">G16</f>
        <v>460</v>
      </c>
      <c r="E16" s="1737">
        <f t="shared" ca="1" si="0"/>
        <v>4639</v>
      </c>
      <c r="F16" s="1737">
        <f t="shared" ca="1" si="1"/>
        <v>55791</v>
      </c>
      <c r="G16" s="1743">
        <f ca="1">'结果表 (2) '!G19</f>
        <v>460</v>
      </c>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workbookViewId="0">
      <selection activeCell="B49" sqref="B49"/>
    </sheetView>
  </sheetViews>
  <sheetFormatPr defaultColWidth="8.875" defaultRowHeight="13.5"/>
  <cols>
    <col min="1" max="1" width="3.5" style="1011" customWidth="1"/>
    <col min="2" max="9" width="10" style="1011" customWidth="1"/>
    <col min="10" max="16384" width="8.875" style="1011"/>
  </cols>
  <sheetData>
    <row r="36" spans="1:9">
      <c r="A36" s="1010" t="s">
        <v>818</v>
      </c>
      <c r="B36" s="1010" t="s">
        <v>819</v>
      </c>
    </row>
    <row r="37" spans="1:9" ht="27.75" customHeight="1">
      <c r="A37" s="1010"/>
      <c r="B37" s="3062" t="str">
        <f>项目基本情况!B1</f>
        <v>北京市海淀区西四环北路160号房地产抵押价值预评估</v>
      </c>
      <c r="C37" s="3062"/>
      <c r="D37" s="3062"/>
      <c r="E37" s="3062"/>
      <c r="F37" s="3062"/>
      <c r="G37" s="3062"/>
      <c r="H37" s="3062"/>
      <c r="I37" s="3062"/>
    </row>
    <row r="38" spans="1:9">
      <c r="A38" s="1012"/>
      <c r="B38" s="1012"/>
    </row>
    <row r="39" spans="1:9">
      <c r="A39" s="1010" t="s">
        <v>818</v>
      </c>
      <c r="B39" s="1010" t="s">
        <v>820</v>
      </c>
    </row>
    <row r="40" spans="1:9">
      <c r="A40" s="1010"/>
      <c r="B40" s="1938" t="str">
        <f>项目基本情况!B5</f>
        <v>昆仑信托有限责任公司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项目基本情况!K4</f>
        <v>（注册号：0)、（注册号：0)</v>
      </c>
    </row>
    <row r="47" spans="1:9">
      <c r="A47" s="1010"/>
      <c r="B47" s="1010" t="str">
        <f>项目基本情况!K5</f>
        <v/>
      </c>
    </row>
    <row r="48" spans="1:9">
      <c r="A48" s="1010" t="s">
        <v>818</v>
      </c>
      <c r="B48" s="1010" t="s">
        <v>824</v>
      </c>
    </row>
    <row r="49" spans="2:2">
      <c r="B49" s="1938" t="str">
        <f>"康正预评字"&amp;项目基本情况!B2&amp;"号"</f>
        <v>康正预评字2018-1-0214-P01DYGJ3号</v>
      </c>
    </row>
  </sheetData>
  <sheetProtection password="C66D" sheet="1" objects="1" scenarios="1" formatCells="0" formatRows="0" insertColumns="0" deleteRows="0"/>
  <mergeCells count="1">
    <mergeCell ref="B37:I37"/>
  </mergeCells>
  <phoneticPr fontId="89"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view="pageBreakPreview" zoomScaleSheetLayoutView="100" workbookViewId="0">
      <selection activeCell="I29" sqref="I29"/>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20" t="s">
        <v>2106</v>
      </c>
      <c r="B1" s="2411"/>
      <c r="C1" s="2412" t="s">
        <v>27</v>
      </c>
      <c r="D1" s="2411"/>
      <c r="E1" s="2411"/>
      <c r="F1" s="2413" t="s">
        <v>2107</v>
      </c>
      <c r="G1" s="2066" t="s">
        <v>3045</v>
      </c>
      <c r="H1" s="2414" t="str">
        <f>IF(G1="现房","——","估价对象范围")</f>
        <v>——</v>
      </c>
      <c r="I1" s="2415" t="s">
        <v>3066</v>
      </c>
    </row>
    <row r="2" spans="1:12" ht="21.75" customHeight="1" thickBot="1">
      <c r="A2" s="3201" t="str">
        <f>项目基本情况!S2</f>
        <v>北京市海淀区西四环北路160号房地产</v>
      </c>
      <c r="B2" s="3202"/>
      <c r="C2" s="3202"/>
      <c r="D2" s="3202"/>
      <c r="E2" s="3202"/>
      <c r="F2" s="3202"/>
      <c r="G2" s="3202"/>
      <c r="H2" s="3202"/>
      <c r="I2" s="3203"/>
    </row>
    <row r="3" spans="1:12" ht="12.75">
      <c r="A3" s="3205" t="s">
        <v>2108</v>
      </c>
      <c r="B3" s="3206"/>
      <c r="C3" s="3206"/>
      <c r="D3" s="3206"/>
      <c r="E3" s="3206"/>
      <c r="F3" s="3206"/>
      <c r="G3" s="3206"/>
      <c r="H3" s="3206"/>
      <c r="I3" s="3206"/>
    </row>
    <row r="4" spans="1:12" ht="14.25">
      <c r="A4" s="2418" t="s">
        <v>2109</v>
      </c>
      <c r="B4" s="2419" t="s">
        <v>2110</v>
      </c>
      <c r="C4" s="2420" t="s">
        <v>3654</v>
      </c>
      <c r="D4" s="2420" t="s">
        <v>3069</v>
      </c>
      <c r="E4" s="3198" t="s">
        <v>2111</v>
      </c>
      <c r="F4" s="3199"/>
      <c r="G4" s="3199"/>
      <c r="H4" s="3199"/>
      <c r="I4" s="3207"/>
      <c r="K4" s="2421" t="str">
        <f>IF(ISNUMBER(FIND("比较法",结果表!C4)),"比较法",IF(ISNUMBER(FIND("成本法",结果表!C4)),"成本法",IF(ISNUMBER(FIND("假设开发法",结果表!C4)),"假设开发法",IF(ISNUMBER(FIND("收益法",结果表!C4)),"收益法","基准地价系数修正法"))))</f>
        <v>比较法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81" t="s">
        <v>2112</v>
      </c>
      <c r="B5" s="3106">
        <v>25</v>
      </c>
      <c r="C5" s="3184"/>
      <c r="D5" s="3204"/>
      <c r="E5" s="140" t="s">
        <v>2113</v>
      </c>
      <c r="F5" s="2422"/>
      <c r="G5" s="2422"/>
      <c r="H5" s="2422"/>
      <c r="I5" s="1827"/>
    </row>
    <row r="6" spans="1:12" ht="12.75">
      <c r="A6" s="3181"/>
      <c r="B6" s="3106"/>
      <c r="C6" s="3185"/>
      <c r="D6" s="3204"/>
      <c r="E6" s="140" t="s">
        <v>2114</v>
      </c>
      <c r="F6" s="2422"/>
      <c r="G6" s="2422"/>
      <c r="H6" s="2422"/>
      <c r="I6" s="1827"/>
    </row>
    <row r="7" spans="1:12" ht="12.75">
      <c r="A7" s="3181"/>
      <c r="B7" s="3106"/>
      <c r="C7" s="3186"/>
      <c r="D7" s="3204"/>
      <c r="E7" s="140" t="s">
        <v>2115</v>
      </c>
      <c r="F7" s="2422"/>
      <c r="G7" s="2422"/>
      <c r="H7" s="2422"/>
      <c r="I7" s="1827"/>
    </row>
    <row r="8" spans="1:12" ht="12.75">
      <c r="A8" s="3181" t="s">
        <v>2116</v>
      </c>
      <c r="B8" s="3106">
        <v>15</v>
      </c>
      <c r="C8" s="3184"/>
      <c r="D8" s="3204"/>
      <c r="E8" s="140" t="s">
        <v>2117</v>
      </c>
      <c r="F8" s="2422"/>
      <c r="G8" s="2422"/>
      <c r="H8" s="2422"/>
      <c r="I8" s="1827"/>
    </row>
    <row r="9" spans="1:12" ht="12.75">
      <c r="A9" s="3181"/>
      <c r="B9" s="3106"/>
      <c r="C9" s="3186"/>
      <c r="D9" s="3204"/>
      <c r="E9" s="140" t="s">
        <v>2118</v>
      </c>
      <c r="F9" s="2422"/>
      <c r="G9" s="2422"/>
      <c r="H9" s="2422"/>
      <c r="I9" s="1827"/>
    </row>
    <row r="10" spans="1:12" ht="12.75">
      <c r="A10" s="3181" t="s">
        <v>2119</v>
      </c>
      <c r="B10" s="3106">
        <v>15</v>
      </c>
      <c r="C10" s="3184"/>
      <c r="D10" s="3204"/>
      <c r="E10" s="140" t="s">
        <v>2120</v>
      </c>
      <c r="F10" s="2422"/>
      <c r="G10" s="2422"/>
      <c r="H10" s="2422"/>
      <c r="I10" s="1827"/>
    </row>
    <row r="11" spans="1:12" ht="12.75">
      <c r="A11" s="3181"/>
      <c r="B11" s="3106"/>
      <c r="C11" s="3186"/>
      <c r="D11" s="3204"/>
      <c r="E11" s="140" t="s">
        <v>2121</v>
      </c>
      <c r="F11" s="2422"/>
      <c r="G11" s="2422"/>
      <c r="H11" s="2422"/>
      <c r="I11" s="1827"/>
    </row>
    <row r="12" spans="1:12" ht="12.75">
      <c r="A12" s="3181" t="s">
        <v>2122</v>
      </c>
      <c r="B12" s="3106">
        <v>15</v>
      </c>
      <c r="C12" s="3184"/>
      <c r="D12" s="3204"/>
      <c r="E12" s="140" t="s">
        <v>2123</v>
      </c>
      <c r="F12" s="2422"/>
      <c r="G12" s="2422"/>
      <c r="H12" s="2422"/>
      <c r="I12" s="1827"/>
    </row>
    <row r="13" spans="1:12" ht="12.75">
      <c r="A13" s="3181"/>
      <c r="B13" s="3106"/>
      <c r="C13" s="3186"/>
      <c r="D13" s="3204"/>
      <c r="E13" s="140" t="s">
        <v>2124</v>
      </c>
      <c r="F13" s="2422"/>
      <c r="G13" s="2422"/>
      <c r="H13" s="2422"/>
      <c r="I13" s="1827"/>
    </row>
    <row r="14" spans="1:12" ht="12.75">
      <c r="A14" s="3181" t="s">
        <v>2125</v>
      </c>
      <c r="B14" s="3106">
        <v>30</v>
      </c>
      <c r="C14" s="3184">
        <v>7</v>
      </c>
      <c r="D14" s="3204">
        <v>3</v>
      </c>
      <c r="E14" s="140" t="s">
        <v>2126</v>
      </c>
      <c r="F14" s="2422"/>
      <c r="G14" s="2422"/>
      <c r="H14" s="2422"/>
      <c r="I14" s="1827"/>
    </row>
    <row r="15" spans="1:12" ht="12.75">
      <c r="A15" s="3181"/>
      <c r="B15" s="3106"/>
      <c r="C15" s="3185"/>
      <c r="D15" s="3204"/>
      <c r="E15" s="140" t="s">
        <v>2127</v>
      </c>
      <c r="F15" s="2422"/>
      <c r="G15" s="2422"/>
      <c r="H15" s="2422"/>
      <c r="I15" s="1827"/>
    </row>
    <row r="16" spans="1:12" ht="12.75">
      <c r="A16" s="3181"/>
      <c r="B16" s="3106"/>
      <c r="C16" s="3186"/>
      <c r="D16" s="3204"/>
      <c r="E16" s="140" t="s">
        <v>2128</v>
      </c>
      <c r="F16" s="2422"/>
      <c r="G16" s="2422"/>
      <c r="H16" s="2422"/>
      <c r="I16" s="1827"/>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8532.39</v>
      </c>
      <c r="M18" s="2421">
        <f>IF(C1="",'数据-汇总表'!E3,SUMIF(项目类型,C1,'数据-汇总表'!E17:E26))</f>
        <v>8532.39</v>
      </c>
    </row>
    <row r="19" spans="1:35" ht="15">
      <c r="A19" s="2427" t="s">
        <v>2134</v>
      </c>
      <c r="B19" s="2428" t="s">
        <v>2135</v>
      </c>
      <c r="C19" s="143">
        <f ca="1">SUMIF(INDIRECT("'"&amp;C4&amp;"'"&amp;"!A:A"),结果表!B19,INDIRECT("'"&amp;C4&amp;"'"&amp;"!B:B"))</f>
        <v>38220</v>
      </c>
      <c r="D19" s="144">
        <f ca="1">SUMIF(INDIRECT("'"&amp;D4&amp;"'"&amp;"!A:A"),结果表!B19,INDIRECT("'"&amp;D4&amp;"'"&amp;"!B:B"))</f>
        <v>35845</v>
      </c>
      <c r="E19" s="2427" t="s">
        <v>2136</v>
      </c>
      <c r="F19" s="2428" t="s">
        <v>2135</v>
      </c>
      <c r="G19" s="145">
        <f ca="1">ROUND(C19*$C$18+D19*$D$18,0)</f>
        <v>37508</v>
      </c>
      <c r="H19" s="2429" t="s">
        <v>2137</v>
      </c>
      <c r="I19" s="138"/>
      <c r="K19" s="2421" t="s">
        <v>2138</v>
      </c>
      <c r="L19" s="2421">
        <f>IF(C1="",'数据-汇总表'!D3,SUMIF(项目类型,C1,'数据-汇总表'!D17:D26)+SUMIF(项目类型,C1,'数据-汇总表'!H17:H27))</f>
        <v>709.53</v>
      </c>
      <c r="M19" s="2421">
        <f>IF(C1="",'数据-汇总表'!D3,SUMIF(项目类型,C1,'数据-汇总表'!D17:D26))</f>
        <v>709.53</v>
      </c>
    </row>
    <row r="20" spans="1:35" ht="15">
      <c r="A20" s="2430"/>
      <c r="B20" s="1243" t="s">
        <v>2139</v>
      </c>
      <c r="C20" s="146">
        <f ca="1">SUMIF(INDIRECT("'"&amp;C4&amp;"'"&amp;"!A:A"),结果表!B20,INDIRECT("'"&amp;C4&amp;"'"&amp;"!B:B"))</f>
        <v>44794</v>
      </c>
      <c r="D20" s="147">
        <f ca="1">SUMIF(INDIRECT("'"&amp;D4&amp;"'"&amp;"!A:A"),结果表!B20,INDIRECT("'"&amp;D4&amp;"'"&amp;"!B:B"))</f>
        <v>42011</v>
      </c>
      <c r="E20" s="2430"/>
      <c r="F20" s="1243" t="s">
        <v>2139</v>
      </c>
      <c r="G20" s="148">
        <f ca="1">ROUND(C20*$C$18+D20*$D$18,0)</f>
        <v>43959</v>
      </c>
      <c r="H20" s="976" t="s">
        <v>2140</v>
      </c>
      <c r="I20" s="138"/>
    </row>
    <row r="21" spans="1:35" ht="15" customHeight="1" thickBot="1">
      <c r="A21" s="996"/>
      <c r="B21" s="2431" t="s">
        <v>2141</v>
      </c>
      <c r="C21" s="787">
        <f ca="1">ROUND(C19*10000/L19,0)</f>
        <v>538666</v>
      </c>
      <c r="D21" s="788">
        <f ca="1">ROUND(D19*10000/L19,0)</f>
        <v>505194</v>
      </c>
      <c r="E21" s="996"/>
      <c r="F21" s="2431" t="s">
        <v>2141</v>
      </c>
      <c r="G21" s="149">
        <f ca="1">ROUND(G19*10000/L19,0)</f>
        <v>528632</v>
      </c>
      <c r="H21" s="2432" t="s">
        <v>2140</v>
      </c>
      <c r="I21" s="138"/>
    </row>
    <row r="22" spans="1:35" ht="15" thickBot="1">
      <c r="A22" s="2275" t="s">
        <v>2142</v>
      </c>
      <c r="B22" s="2433"/>
      <c r="C22" s="2434"/>
      <c r="D22" s="789">
        <f ca="1">IF(C19&lt;D19,D19/C19-1,C19/D19-1)</f>
        <v>6.6257497558934286E-2</v>
      </c>
      <c r="E22" s="138"/>
      <c r="F22" s="138"/>
      <c r="G22" s="138"/>
      <c r="H22" s="138"/>
      <c r="I22" s="138"/>
    </row>
    <row r="23" spans="1:35" ht="13.5" thickBot="1">
      <c r="A23" s="2411"/>
      <c r="B23" s="2411"/>
      <c r="C23" s="2411"/>
      <c r="D23" s="2411"/>
      <c r="E23" s="138"/>
      <c r="F23" s="138"/>
      <c r="G23" s="138"/>
      <c r="H23" s="138"/>
      <c r="I23" s="138"/>
    </row>
    <row r="24" spans="1:35" ht="14.25">
      <c r="A24" s="3175" t="s">
        <v>2143</v>
      </c>
      <c r="B24" s="2428" t="s">
        <v>2135</v>
      </c>
      <c r="C24" s="145">
        <f>IF(B30=0,0,D30)</f>
        <v>0</v>
      </c>
      <c r="D24" s="2435"/>
      <c r="E24" s="138"/>
      <c r="F24" s="138"/>
      <c r="G24" s="138"/>
      <c r="H24" s="138"/>
      <c r="I24" s="138"/>
    </row>
    <row r="25" spans="1:35" ht="14.25">
      <c r="A25" s="3176"/>
      <c r="B25" s="1243" t="s">
        <v>2139</v>
      </c>
      <c r="C25" s="150">
        <f>IF(B30=0,0,C30)</f>
        <v>0</v>
      </c>
      <c r="D25" s="2436"/>
      <c r="E25" s="138"/>
      <c r="F25" s="138"/>
      <c r="G25" s="138">
        <f>'比较法-办公'!B2+'比较法-商业'!B2+'比较法-车位'!B2</f>
        <v>49281</v>
      </c>
      <c r="H25" s="138">
        <f ca="1">D19+'结果表 (1)'!D19+'结果表 (2) '!D19</f>
        <v>46006</v>
      </c>
      <c r="I25" s="138"/>
    </row>
    <row r="26" spans="1:35" ht="13.5" customHeight="1" thickBot="1">
      <c r="A26" s="2437" t="s">
        <v>2144</v>
      </c>
      <c r="B26" s="151" t="s">
        <v>2145</v>
      </c>
      <c r="C26" s="151" t="s">
        <v>2146</v>
      </c>
      <c r="D26" s="152" t="s">
        <v>2147</v>
      </c>
      <c r="E26" s="138"/>
      <c r="F26" s="138"/>
      <c r="G26" s="138">
        <v>0.7</v>
      </c>
      <c r="H26" s="138">
        <f>1-G26</f>
        <v>0.30000000000000004</v>
      </c>
      <c r="I26" s="138"/>
    </row>
    <row r="27" spans="1:35" ht="15" thickBot="1">
      <c r="A27" s="2437"/>
      <c r="B27" s="151">
        <v>0</v>
      </c>
      <c r="C27" s="151">
        <v>0</v>
      </c>
      <c r="D27" s="152">
        <f>ROUND(C27*B27/10000,0)</f>
        <v>0</v>
      </c>
      <c r="E27" s="138"/>
      <c r="F27" s="138"/>
      <c r="G27" s="138"/>
      <c r="H27" s="138">
        <f ca="1">G25*G26+H25*H26</f>
        <v>48298.5</v>
      </c>
      <c r="I27" s="3061">
        <f ca="1">IF(G25&lt;H25,H25/G25-1,G25/H25-1)</f>
        <v>7.1186366995609207E-2</v>
      </c>
    </row>
    <row r="28" spans="1:35" ht="14.25">
      <c r="A28" s="2437"/>
      <c r="B28" s="151"/>
      <c r="C28" s="151"/>
      <c r="D28" s="152"/>
      <c r="E28" s="138"/>
      <c r="F28" s="138"/>
      <c r="G28" s="138"/>
      <c r="H28" s="138">
        <f ca="1">H27/'数据-汇总表'!E3</f>
        <v>4.1535627581545222</v>
      </c>
      <c r="I28" s="138"/>
    </row>
    <row r="29" spans="1:35" ht="14.25">
      <c r="A29" s="2437"/>
      <c r="B29" s="151"/>
      <c r="C29" s="151"/>
      <c r="D29" s="152"/>
      <c r="E29" s="138"/>
      <c r="F29" s="138"/>
      <c r="G29" s="138"/>
      <c r="H29" s="138">
        <f ca="1">H27/'数据-汇总表'!F31</f>
        <v>4.5407495571926582</v>
      </c>
      <c r="I29" s="138"/>
    </row>
    <row r="30" spans="1:35" ht="14.25">
      <c r="A30" s="151" t="s">
        <v>2148</v>
      </c>
      <c r="B30" s="151"/>
      <c r="C30" s="151"/>
      <c r="D30" s="151"/>
      <c r="E30" s="2920" t="s">
        <v>3028</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2149</v>
      </c>
      <c r="B32" s="2441"/>
      <c r="C32" s="153">
        <f ca="1">IF(D32="总价",G19-C24,G20-C25)</f>
        <v>37508</v>
      </c>
      <c r="D32" s="2442" t="s">
        <v>2150</v>
      </c>
      <c r="E32" s="138"/>
      <c r="F32" s="138"/>
      <c r="G32" s="138"/>
      <c r="H32" s="138"/>
      <c r="I32" s="138"/>
    </row>
    <row r="33" spans="1:15" ht="15">
      <c r="A33" s="953" t="s">
        <v>2151</v>
      </c>
      <c r="B33" s="2443"/>
      <c r="C33" s="2444" t="s">
        <v>3653</v>
      </c>
      <c r="D33" s="2445" t="s">
        <v>3056</v>
      </c>
      <c r="E33" s="2446" t="s">
        <v>2152</v>
      </c>
      <c r="F33" s="2447" t="str">
        <f>IF(D32="楼面单价","取值（单价）","取值（总价）")</f>
        <v>取值（总价）</v>
      </c>
      <c r="G33" s="138"/>
      <c r="H33" s="138"/>
      <c r="I33" s="138"/>
    </row>
    <row r="34" spans="1:15" ht="15">
      <c r="A34" s="2448"/>
      <c r="B34" s="2449" t="s">
        <v>2153</v>
      </c>
      <c r="C34" s="157">
        <f ca="1">IF(C33="自定义",F34,C32-C35)</f>
        <v>37508</v>
      </c>
      <c r="D34" s="1051">
        <f ca="1">IF(C33="自定义",ROUND(C34/C32,3),IF(C33="收益比率",SUMIF(INDIRECT("'"&amp;D33&amp;"'"&amp;"!b:b"),"土地收益比率",INDIRECT("'"&amp;D33&amp;"'"&amp;"!c:c")),SUMIF(INDIRECT("'"&amp;D33&amp;"'"&amp;"!b:b"),"土地成本比率",INDIRECT("'"&amp;D33&amp;"'"&amp;"!c:c"))))</f>
        <v>0</v>
      </c>
      <c r="E34" s="2450" t="s">
        <v>2154</v>
      </c>
      <c r="F34" s="1732"/>
      <c r="G34" s="138"/>
      <c r="H34" s="138"/>
      <c r="I34" s="138"/>
    </row>
    <row r="35" spans="1:15" ht="15.75" thickBot="1">
      <c r="A35" s="2451"/>
      <c r="B35" s="2452" t="s">
        <v>2155</v>
      </c>
      <c r="C35" s="1437">
        <f ca="1">IF(C33="自定义",F35,ROUND(C32*D35,0))</f>
        <v>0</v>
      </c>
      <c r="D35" s="1438">
        <f ca="1">IF(C33="自定义",ROUND(C35/C32,3),IF(C33="收益比率",SUMIF(INDIRECT("'"&amp;D33&amp;"'"&amp;"!b:b"),"建筑物收益比率",INDIRECT("'"&amp;D33&amp;"'"&amp;"!c:c")),SUMIF(INDIRECT("'"&amp;D33&amp;"'"&amp;"!b:b"),"建筑物成本比率",INDIRECT("'"&amp;D33&amp;"'"&amp;"!c:c"))))</f>
        <v>0</v>
      </c>
      <c r="E35" s="2453" t="s">
        <v>2156</v>
      </c>
      <c r="F35" s="163"/>
      <c r="G35" s="138"/>
      <c r="H35" s="138"/>
      <c r="I35" s="138"/>
    </row>
    <row r="36" spans="1:15" ht="15.75" thickBot="1">
      <c r="A36" s="3193" t="s">
        <v>2157</v>
      </c>
      <c r="B36" s="2454" t="s">
        <v>2158</v>
      </c>
      <c r="C36" s="154"/>
      <c r="D36" s="2455"/>
      <c r="E36" s="2456"/>
      <c r="F36" s="2457"/>
      <c r="G36" s="138"/>
      <c r="H36" s="138"/>
      <c r="I36" s="138"/>
    </row>
    <row r="37" spans="1:15" ht="15.75" thickBot="1">
      <c r="A37" s="3194"/>
      <c r="B37" s="2261" t="s">
        <v>2159</v>
      </c>
      <c r="C37" s="156"/>
      <c r="D37" s="1388"/>
      <c r="E37" s="1388"/>
      <c r="F37" s="2457"/>
      <c r="G37" s="138"/>
      <c r="H37" s="138"/>
      <c r="I37" s="138"/>
    </row>
    <row r="38" spans="1:15" ht="15.75" thickBot="1">
      <c r="A38" s="3195"/>
      <c r="B38" s="2458" t="s">
        <v>2160</v>
      </c>
      <c r="C38" s="725"/>
      <c r="D38" s="2459" t="s">
        <v>2161</v>
      </c>
      <c r="E38" s="1388"/>
      <c r="F38" s="2457"/>
      <c r="G38" s="138"/>
      <c r="H38" s="138"/>
      <c r="I38" s="138"/>
    </row>
    <row r="39" spans="1:15" ht="15">
      <c r="A39" s="2430" t="s">
        <v>2162</v>
      </c>
      <c r="B39" s="2460" t="s">
        <v>2163</v>
      </c>
      <c r="C39" s="2461" t="s">
        <v>2164</v>
      </c>
      <c r="D39" s="2461" t="s">
        <v>2165</v>
      </c>
      <c r="E39" s="2462" t="s">
        <v>2166</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172" t="s">
        <v>2171</v>
      </c>
      <c r="B45" s="3173"/>
      <c r="C45" s="3174"/>
      <c r="D45" s="164">
        <f ca="1">ROUND(H101*F45,0)</f>
        <v>37508</v>
      </c>
      <c r="E45" s="165" t="s">
        <v>2172</v>
      </c>
      <c r="F45" s="166">
        <v>1</v>
      </c>
      <c r="G45" s="167" t="s">
        <v>2173</v>
      </c>
      <c r="H45" s="138"/>
      <c r="I45" s="138"/>
      <c r="J45" s="3232" t="s">
        <v>2174</v>
      </c>
      <c r="K45" s="3232"/>
      <c r="L45" s="3232"/>
      <c r="M45" s="3232"/>
      <c r="N45" s="3232"/>
      <c r="O45" s="3232"/>
    </row>
    <row r="46" spans="1:15" ht="14.25" hidden="1" customHeight="1">
      <c r="A46" s="3169" t="s">
        <v>2175</v>
      </c>
      <c r="B46" s="3170"/>
      <c r="C46" s="3170"/>
      <c r="D46" s="3170"/>
      <c r="E46" s="3170"/>
      <c r="F46" s="3170"/>
      <c r="G46" s="3171"/>
      <c r="H46" s="2473"/>
      <c r="I46" s="168"/>
      <c r="J46" s="1805">
        <v>1</v>
      </c>
      <c r="K46" s="3232" t="s">
        <v>2176</v>
      </c>
      <c r="L46" s="3232"/>
      <c r="M46" s="3252"/>
      <c r="N46" s="3252"/>
      <c r="O46" s="3252"/>
    </row>
    <row r="47" spans="1:15" ht="12" hidden="1" customHeight="1">
      <c r="A47" s="169" t="s">
        <v>2177</v>
      </c>
      <c r="B47" s="170"/>
      <c r="C47" s="171"/>
      <c r="D47" s="172" t="s">
        <v>2178</v>
      </c>
      <c r="E47" s="24" t="s">
        <v>2179</v>
      </c>
      <c r="F47" s="173" t="s">
        <v>2180</v>
      </c>
      <c r="G47" s="174" t="s">
        <v>2181</v>
      </c>
      <c r="H47" s="2473"/>
      <c r="I47" s="168"/>
      <c r="J47" s="1805">
        <v>2</v>
      </c>
      <c r="K47" s="3232" t="s">
        <v>2182</v>
      </c>
      <c r="L47" s="3232"/>
      <c r="M47" s="3253">
        <f>'数据-取费表'!B2</f>
        <v>43185</v>
      </c>
      <c r="N47" s="3253"/>
      <c r="O47" s="3253"/>
    </row>
    <row r="48" spans="1:15" ht="25.5" hidden="1">
      <c r="A48" s="3200" t="s">
        <v>2183</v>
      </c>
      <c r="B48" s="3183"/>
      <c r="C48" s="3183"/>
      <c r="D48" s="140">
        <f>IF(H48="情况1",0,IF(H48="情况2",D52,IF(H48="情况3",D53,IF(H48="情况4",D54))))</f>
        <v>0</v>
      </c>
      <c r="E48" s="1794" t="str">
        <f>IF(H48="情况4","(销售额-原购置价)×税（费）率","销售额×税（费）率")</f>
        <v>销售额×税（费）率</v>
      </c>
      <c r="F48" s="175" t="str">
        <f>IF(H48="情况1","免征",'数据-取费表'!B41)</f>
        <v>免征</v>
      </c>
      <c r="G48" s="2474" t="s">
        <v>2184</v>
      </c>
      <c r="H48" s="2475" t="s">
        <v>2185</v>
      </c>
      <c r="I48" s="2473"/>
      <c r="J48" s="1805">
        <v>3</v>
      </c>
      <c r="K48" s="3232" t="s">
        <v>2186</v>
      </c>
      <c r="L48" s="3232"/>
      <c r="M48" s="3254">
        <f ca="1">H101</f>
        <v>37508</v>
      </c>
      <c r="N48" s="3254"/>
      <c r="O48" s="3254"/>
    </row>
    <row r="49" spans="1:35" ht="25.5" hidden="1" customHeight="1">
      <c r="A49" s="176" t="s">
        <v>2187</v>
      </c>
      <c r="B49" s="3168" t="s">
        <v>2188</v>
      </c>
      <c r="C49" s="3168"/>
      <c r="D49" s="177">
        <v>0</v>
      </c>
      <c r="E49" s="23" t="s">
        <v>2189</v>
      </c>
      <c r="F49" s="28" t="s">
        <v>34</v>
      </c>
      <c r="G49" s="3238"/>
      <c r="H49" s="138"/>
      <c r="I49" s="2476"/>
      <c r="J49" s="1805">
        <v>4</v>
      </c>
      <c r="K49" s="3232" t="str">
        <f>IF(项目基本情况!E8="房地产抵押价值","房地产抵押价值","抵押担保权已注销时的房地产抵押价值")</f>
        <v>房地产抵押价值</v>
      </c>
      <c r="L49" s="3232"/>
      <c r="M49" s="3254">
        <f ca="1">IF(项目基本情况!E8="房地产抵押价值",H107,H109)</f>
        <v>37508</v>
      </c>
      <c r="N49" s="3254"/>
      <c r="O49" s="3254"/>
    </row>
    <row r="50" spans="1:35" ht="25.5" hidden="1" customHeight="1">
      <c r="A50" s="178"/>
      <c r="B50" s="3168" t="s">
        <v>2190</v>
      </c>
      <c r="C50" s="3168"/>
      <c r="D50" s="179"/>
      <c r="E50" s="31"/>
      <c r="F50" s="180"/>
      <c r="G50" s="3239"/>
      <c r="H50" s="138"/>
      <c r="I50" s="2476"/>
      <c r="J50" s="3232" t="s">
        <v>2191</v>
      </c>
      <c r="K50" s="3232"/>
      <c r="L50" s="3232"/>
      <c r="M50" s="3232"/>
      <c r="N50" s="3232"/>
      <c r="O50" s="3232"/>
    </row>
    <row r="51" spans="1:35" ht="12" hidden="1" customHeight="1">
      <c r="A51" s="181"/>
      <c r="B51" s="3168" t="s">
        <v>2192</v>
      </c>
      <c r="C51" s="3168"/>
      <c r="D51" s="182"/>
      <c r="E51" s="30"/>
      <c r="F51" s="180"/>
      <c r="G51" s="3240"/>
      <c r="H51" s="138"/>
      <c r="I51" s="2476"/>
      <c r="J51" s="2477" t="s">
        <v>2193</v>
      </c>
      <c r="K51" s="3232" t="s">
        <v>2194</v>
      </c>
      <c r="L51" s="3232"/>
      <c r="M51" s="2477" t="s">
        <v>2195</v>
      </c>
      <c r="N51" s="2477" t="s">
        <v>2196</v>
      </c>
      <c r="O51" s="2477" t="s">
        <v>2197</v>
      </c>
    </row>
    <row r="52" spans="1:35" ht="24" hidden="1" customHeight="1">
      <c r="A52" s="183" t="s">
        <v>2198</v>
      </c>
      <c r="B52" s="3168" t="s">
        <v>2199</v>
      </c>
      <c r="C52" s="3168"/>
      <c r="D52" s="182">
        <f ca="1">ROUND(D45*'数据-取费表'!B41/(1+'数据-取费表'!C42),0)</f>
        <v>2000</v>
      </c>
      <c r="E52" s="11" t="s">
        <v>2200</v>
      </c>
      <c r="F52" s="184">
        <f>'数据-取费表'!B41</f>
        <v>5.6000000000000001E-2</v>
      </c>
      <c r="G52" s="2478"/>
      <c r="H52" s="138"/>
      <c r="I52" s="2476"/>
      <c r="J52" s="1805">
        <v>1</v>
      </c>
      <c r="K52" s="3233" t="s">
        <v>2201</v>
      </c>
      <c r="L52" s="3233"/>
      <c r="M52" s="1747">
        <f>D48</f>
        <v>0</v>
      </c>
      <c r="N52" s="1805" t="str">
        <f>E48</f>
        <v>销售额×税（费）率</v>
      </c>
      <c r="O52" s="1748" t="str">
        <f>F48</f>
        <v>免征</v>
      </c>
    </row>
    <row r="53" spans="1:35" ht="12" hidden="1" customHeight="1">
      <c r="A53" s="183" t="s">
        <v>2202</v>
      </c>
      <c r="B53" s="3191" t="s">
        <v>2203</v>
      </c>
      <c r="C53" s="3192"/>
      <c r="D53" s="182">
        <f ca="1">ROUND(D45*'数据-取费表'!B41/(1+'数据-取费表'!C42),0)</f>
        <v>2000</v>
      </c>
      <c r="E53" s="11" t="s">
        <v>2200</v>
      </c>
      <c r="F53" s="184">
        <f>'数据-取费表'!B41</f>
        <v>5.6000000000000001E-2</v>
      </c>
      <c r="G53" s="2478"/>
      <c r="H53" s="138"/>
      <c r="I53" s="2476"/>
      <c r="J53" s="1805">
        <v>2</v>
      </c>
      <c r="K53" s="3233" t="s">
        <v>2204</v>
      </c>
      <c r="L53" s="3233"/>
      <c r="M53" s="1747">
        <f t="shared" ref="M53:O54" ca="1" si="0">D55</f>
        <v>19</v>
      </c>
      <c r="N53" s="1805" t="str">
        <f t="shared" si="0"/>
        <v>销售额×税（费）率</v>
      </c>
      <c r="O53" s="1748">
        <f t="shared" si="0"/>
        <v>5.0000000000000001E-4</v>
      </c>
    </row>
    <row r="54" spans="1:35" ht="12" hidden="1" customHeight="1">
      <c r="A54" s="183" t="s">
        <v>2205</v>
      </c>
      <c r="B54" s="3191" t="s">
        <v>2206</v>
      </c>
      <c r="C54" s="3192"/>
      <c r="D54" s="182">
        <f ca="1">C68</f>
        <v>2000</v>
      </c>
      <c r="E54" s="30" t="s">
        <v>2207</v>
      </c>
      <c r="F54" s="184">
        <f>'数据-取费表'!B41</f>
        <v>5.6000000000000001E-2</v>
      </c>
      <c r="G54" s="2478"/>
      <c r="H54" s="2479"/>
      <c r="I54" s="2476"/>
      <c r="J54" s="1805">
        <v>3</v>
      </c>
      <c r="K54" s="3233" t="s">
        <v>2208</v>
      </c>
      <c r="L54" s="3233"/>
      <c r="M54" s="1747">
        <f t="shared" ca="1" si="0"/>
        <v>21230</v>
      </c>
      <c r="N54" s="1805" t="str">
        <f t="shared" si="0"/>
        <v>增值额×税（费）率</v>
      </c>
      <c r="O54" s="1749" t="str">
        <f t="shared" si="0"/>
        <v>——</v>
      </c>
    </row>
    <row r="55" spans="1:35" ht="24" hidden="1" customHeight="1">
      <c r="A55" s="3182" t="s">
        <v>2209</v>
      </c>
      <c r="B55" s="3183"/>
      <c r="C55" s="3183"/>
      <c r="D55" s="185">
        <f ca="1">IF(H55="个人住宅",0,ROUND(D45*I55,0))</f>
        <v>19</v>
      </c>
      <c r="E55" s="11" t="s">
        <v>2210</v>
      </c>
      <c r="F55" s="184">
        <f>IF(H55="正常",I55,"免征")</f>
        <v>5.0000000000000001E-4</v>
      </c>
      <c r="G55" s="2478"/>
      <c r="H55" s="2475" t="s">
        <v>2211</v>
      </c>
      <c r="I55" s="186">
        <f>'数据-取费表'!B49</f>
        <v>5.0000000000000001E-4</v>
      </c>
      <c r="J55" s="1805" t="str">
        <f>IF(H59="非个人房产","",4)</f>
        <v/>
      </c>
      <c r="K55" s="3233" t="str">
        <f>IF(H59="非个人房产","——","个人所得税")</f>
        <v>——</v>
      </c>
      <c r="L55" s="3233"/>
      <c r="M55" s="1750" t="str">
        <f>D59</f>
        <v>——</v>
      </c>
      <c r="N55" s="1803" t="str">
        <f>E59</f>
        <v>——</v>
      </c>
      <c r="O55" s="1751" t="str">
        <f>F59</f>
        <v>——</v>
      </c>
    </row>
    <row r="56" spans="1:35" ht="24.75" hidden="1">
      <c r="A56" s="3182" t="s">
        <v>2212</v>
      </c>
      <c r="B56" s="3183"/>
      <c r="C56" s="3183"/>
      <c r="D56" s="185">
        <f ca="1">IF(H56="个人住宅",D57,D58)</f>
        <v>21230</v>
      </c>
      <c r="E56" s="11" t="s">
        <v>2213</v>
      </c>
      <c r="F56" s="184" t="str">
        <f>IF(H56="正常",F58,"免征")</f>
        <v>——</v>
      </c>
      <c r="G56" s="2480" t="s">
        <v>2214</v>
      </c>
      <c r="H56" s="2481" t="s">
        <v>2211</v>
      </c>
      <c r="I56" s="2482"/>
      <c r="J56" s="1805" t="str">
        <f>IF(项目基本情况!K6="上海银行",IF(J55="",4,J55+1),"")</f>
        <v/>
      </c>
      <c r="K56" s="3256" t="str">
        <f>IF(项目基本情况!K6="上海银行","其他处置费用","")</f>
        <v/>
      </c>
      <c r="L56" s="3257"/>
      <c r="M56" s="1747" t="str">
        <f>IF(项目基本情况!K6="上海银行",M69,"")</f>
        <v/>
      </c>
      <c r="N56" s="3259" t="str">
        <f>IF(项目基本情况!K6="上海银行","包含处置中涉及的律师、诉讼、拍卖、评估等费用","")</f>
        <v/>
      </c>
      <c r="O56" s="3260"/>
    </row>
    <row r="57" spans="1:35" ht="12.75" hidden="1">
      <c r="A57" s="183" t="s">
        <v>2187</v>
      </c>
      <c r="B57" s="3198" t="s">
        <v>2215</v>
      </c>
      <c r="C57" s="3207"/>
      <c r="D57" s="187">
        <v>0</v>
      </c>
      <c r="E57" s="23" t="s">
        <v>2189</v>
      </c>
      <c r="F57" s="155"/>
      <c r="G57" s="2478"/>
      <c r="H57" s="2482"/>
      <c r="I57" s="2482"/>
      <c r="J57" s="3233">
        <f>IF(AND(J55="",J56=""),4,IF(项目基本情况!K6="上海银行",结果表!J56+1,结果表!J55+1))</f>
        <v>4</v>
      </c>
      <c r="K57" s="3233" t="s">
        <v>2216</v>
      </c>
      <c r="L57" s="2483" t="s">
        <v>2217</v>
      </c>
      <c r="M57" s="1752"/>
      <c r="N57" s="1753">
        <f ca="1">SUMIF(M52:M56,"&lt;9e307")</f>
        <v>21249</v>
      </c>
      <c r="O57" s="2484"/>
      <c r="P57" s="1746">
        <f ca="1">N57/M49</f>
        <v>0.56651914258291569</v>
      </c>
    </row>
    <row r="58" spans="1:35" ht="24.75" hidden="1">
      <c r="A58" s="183" t="s">
        <v>2198</v>
      </c>
      <c r="B58" s="3198" t="s">
        <v>2218</v>
      </c>
      <c r="C58" s="3199"/>
      <c r="D58" s="185">
        <f ca="1">IF(H58="转让取得",C81,C97)</f>
        <v>21230</v>
      </c>
      <c r="E58" s="11" t="s">
        <v>2213</v>
      </c>
      <c r="F58" s="24" t="s">
        <v>34</v>
      </c>
      <c r="G58" s="2478"/>
      <c r="H58" s="2481" t="s">
        <v>2219</v>
      </c>
      <c r="I58" s="2482"/>
      <c r="J58" s="3233"/>
      <c r="K58" s="3233"/>
      <c r="L58" s="2483" t="s">
        <v>2220</v>
      </c>
      <c r="M58" s="1754"/>
      <c r="N58" s="2485" t="str">
        <f ca="1">NUMBERSTRING(INT(N57*10000),2)&amp;"元整"</f>
        <v>贰亿壹仟贰佰肆拾玖万元整</v>
      </c>
      <c r="O58" s="2486"/>
    </row>
    <row r="59" spans="1:35" ht="24.75" hidden="1" thickBot="1">
      <c r="A59" s="3236" t="s">
        <v>2221</v>
      </c>
      <c r="B59" s="3237"/>
      <c r="C59" s="3237"/>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234">
        <f>J57+1</f>
        <v>5</v>
      </c>
      <c r="K59" s="3233" t="s">
        <v>2223</v>
      </c>
      <c r="L59" s="1805" t="s">
        <v>2217</v>
      </c>
      <c r="M59" s="1755"/>
      <c r="N59" s="1756">
        <f ca="1">M49-N57</f>
        <v>16259</v>
      </c>
      <c r="O59" s="2488"/>
    </row>
    <row r="60" spans="1:35" ht="12" hidden="1" customHeight="1">
      <c r="A60" s="2489"/>
      <c r="B60" s="2411"/>
      <c r="C60" s="2411"/>
      <c r="D60" s="2411"/>
      <c r="E60" s="2161"/>
      <c r="F60" s="2482"/>
      <c r="G60" s="2482"/>
      <c r="H60" s="2490"/>
      <c r="I60" s="138"/>
      <c r="J60" s="3235"/>
      <c r="K60" s="3233"/>
      <c r="L60" s="2483" t="s">
        <v>2220</v>
      </c>
      <c r="M60" s="1754"/>
      <c r="N60" s="2485" t="str">
        <f ca="1">NUMBERSTRING(INT(N59*10000),2)&amp;"元整"</f>
        <v>壹亿陆仟贰佰伍拾玖万元整</v>
      </c>
      <c r="O60" s="2486"/>
    </row>
    <row r="61" spans="1:35" ht="13.5" hidden="1" thickBot="1">
      <c r="A61" s="3180" t="s">
        <v>2224</v>
      </c>
      <c r="B61" s="3180"/>
      <c r="C61" s="3180"/>
      <c r="D61" s="3180"/>
      <c r="E61" s="3180"/>
      <c r="F61" s="2482"/>
      <c r="G61" s="2482"/>
      <c r="H61" s="2490"/>
      <c r="I61" s="138"/>
      <c r="J61" s="1805">
        <f>J59+1</f>
        <v>6</v>
      </c>
      <c r="K61" s="3233" t="s">
        <v>2225</v>
      </c>
      <c r="L61" s="3233"/>
      <c r="M61" s="1757"/>
      <c r="N61" s="1758">
        <f ca="1">ROUND(N59*10000/'数据-汇总表'!E3,0)</f>
        <v>13982</v>
      </c>
      <c r="O61" s="2491"/>
    </row>
    <row r="62" spans="1:35" ht="12.75" hidden="1">
      <c r="A62" s="3196" t="s">
        <v>2226</v>
      </c>
      <c r="B62" s="3197"/>
      <c r="C62" s="1797"/>
      <c r="D62" s="1797" t="s">
        <v>2227</v>
      </c>
      <c r="E62" s="192" t="s">
        <v>2228</v>
      </c>
      <c r="F62" s="2482"/>
      <c r="G62" s="2482"/>
      <c r="H62" s="2490"/>
      <c r="I62" s="138"/>
    </row>
    <row r="63" spans="1:35" ht="12.75" hidden="1">
      <c r="A63" s="203" t="s">
        <v>775</v>
      </c>
      <c r="B63" s="193" t="s">
        <v>2229</v>
      </c>
      <c r="C63" s="194">
        <f ca="1">ROUND((C64+C65)/(1+'数据-取费表'!C42),0)</f>
        <v>35722</v>
      </c>
      <c r="D63" s="195"/>
      <c r="E63" s="196"/>
      <c r="F63" s="2482"/>
      <c r="G63" s="2482"/>
      <c r="H63" s="2490"/>
      <c r="I63" s="138"/>
      <c r="J63" s="3258" t="s">
        <v>2230</v>
      </c>
      <c r="K63" s="2492" t="s">
        <v>2231</v>
      </c>
      <c r="L63" s="1745">
        <f ca="1">IF(M49&gt;10000,M49*0.5%,IF(AND(M49&gt;1000,M49&lt;=10000),M49*1%,IF(AND(M49&gt;100,M49&lt;=1000),M49*3%,IF(AND(M49&gt;10,M49&lt;=100),M49*5%,M49*8%))))</f>
        <v>187.54</v>
      </c>
      <c r="M63" s="24">
        <f ca="1">ROUND(L63,1)</f>
        <v>187.5</v>
      </c>
      <c r="Z63" s="2416"/>
      <c r="AI63" s="2417"/>
    </row>
    <row r="64" spans="1:35" ht="14.25" hidden="1" customHeight="1">
      <c r="A64" s="197" t="s">
        <v>770</v>
      </c>
      <c r="B64" s="198" t="s">
        <v>2232</v>
      </c>
      <c r="C64" s="199">
        <f ca="1">D45</f>
        <v>37508</v>
      </c>
      <c r="D64" s="200" t="s">
        <v>32</v>
      </c>
      <c r="E64" s="201"/>
      <c r="F64" s="2482"/>
      <c r="G64" s="2482"/>
      <c r="H64" s="2490"/>
      <c r="I64" s="138"/>
      <c r="J64" s="3258"/>
      <c r="K64" s="2492" t="s">
        <v>2233</v>
      </c>
      <c r="L64" s="1745">
        <f ca="1">IF(M49&gt;2000,M49*0.5%,IF(AND(M49&gt;1000,M49&lt;=2000),M49*0.6%,IF(AND(M49&gt;500,M49&lt;=1000),M49*0.7%,IF(AND(M49&gt;200,M49&lt;=500),M49*0.8%,IF(AND(M49&gt;100,M49&lt;=200),M49*0.9%,IF(AND(M49&gt;50,M49&lt;=100),M49*1%,IF(AND(M49&gt;20,M49&lt;=50),M49*1.5%,IF(AND(M49&gt;10,M49&lt;=20),M49*2%,IF(AND(M49&gt;1,M49&lt;=10),M49*2.5%)))))))))</f>
        <v>187.54</v>
      </c>
      <c r="M64" s="24">
        <f t="shared" ref="M64:M65" ca="1" si="1">ROUND(L64,1)</f>
        <v>187.5</v>
      </c>
      <c r="N64" s="138" t="s">
        <v>2234</v>
      </c>
      <c r="Z64" s="2416"/>
      <c r="AI64" s="2417"/>
    </row>
    <row r="65" spans="1:35" ht="14.25" hidden="1" customHeight="1">
      <c r="A65" s="197" t="s">
        <v>771</v>
      </c>
      <c r="B65" s="198" t="s">
        <v>2235</v>
      </c>
      <c r="C65" s="202"/>
      <c r="D65" s="200"/>
      <c r="E65" s="201"/>
      <c r="F65" s="2482"/>
      <c r="G65" s="2482"/>
      <c r="H65" s="2490"/>
      <c r="I65" s="138"/>
      <c r="J65" s="3258"/>
      <c r="K65" s="2492" t="s">
        <v>2236</v>
      </c>
      <c r="L65" s="1745">
        <f ca="1">IF(M49&gt;1000,M49*0.1%,IF(AND(M49&gt;500,M49&lt;=1000),M49*0.5%,IF(AND(M49&gt;50,M49&lt;=500),M49*1%,IF(AND(M49&gt;1,M49&lt;=50),M49*1.5%))))</f>
        <v>37.508000000000003</v>
      </c>
      <c r="M65" s="24">
        <f t="shared" ca="1" si="1"/>
        <v>37.5</v>
      </c>
      <c r="N65" s="138" t="s">
        <v>2234</v>
      </c>
      <c r="Z65" s="2416"/>
      <c r="AI65" s="2417"/>
    </row>
    <row r="66" spans="1:35" ht="14.25" hidden="1" customHeight="1">
      <c r="A66" s="203" t="s">
        <v>772</v>
      </c>
      <c r="B66" s="204" t="s">
        <v>2237</v>
      </c>
      <c r="C66" s="205"/>
      <c r="D66" s="206" t="s">
        <v>32</v>
      </c>
      <c r="E66" s="1769" t="s">
        <v>1371</v>
      </c>
      <c r="F66" s="2482"/>
      <c r="G66" s="2482"/>
      <c r="H66" s="2490"/>
      <c r="I66" s="138"/>
      <c r="J66" s="3258"/>
      <c r="K66" s="2492" t="s">
        <v>2238</v>
      </c>
      <c r="L66" s="1745">
        <f ca="1">M49*0.5%</f>
        <v>187.54</v>
      </c>
      <c r="M66" s="24">
        <f ca="1">IF(L66&gt;0.5,0.5,ROUND(L66,0))</f>
        <v>0.5</v>
      </c>
      <c r="N66" s="138" t="s">
        <v>2239</v>
      </c>
      <c r="Z66" s="2416"/>
      <c r="AI66" s="2417"/>
    </row>
    <row r="67" spans="1:35" ht="14.25" hidden="1" customHeight="1">
      <c r="A67" s="203" t="s">
        <v>773</v>
      </c>
      <c r="B67" s="204" t="s">
        <v>2240</v>
      </c>
      <c r="C67" s="207">
        <f ca="1">C63-C66</f>
        <v>35722</v>
      </c>
      <c r="D67" s="200" t="s">
        <v>32</v>
      </c>
      <c r="E67" s="201"/>
      <c r="F67" s="2482"/>
      <c r="G67" s="2482"/>
      <c r="H67" s="2490"/>
      <c r="I67" s="138"/>
      <c r="J67" s="3258"/>
      <c r="K67" s="2492" t="s">
        <v>2241</v>
      </c>
      <c r="L67" s="1745">
        <f ca="1">IF(M49&gt;=10000,(8.25+(M49-10000)*0.01%),IF(AND(M49&gt;=8000,M49&lt;10000),(7.85+(M49-8000)*0.02%),IF(AND(M49&gt;=5000,M49&lt;8000),(6.65+(M49-5000)*0.04%),IF(AND(M49&gt;=2000,M49&lt;5000),(4.25+(PM49-2000)*0.08%),IF(AND(M49&gt;=1000,M49&lt;2000),(2.75+(M49-1000)*0.15%),IF(AND(M49&gt;=100,M49&lt;1000),(0.5+(M49-100)*0.25%),IF(AND(M49&gt;0,M49&lt;100),M49*0.5%)))))))</f>
        <v>11.0008</v>
      </c>
      <c r="M67" s="24">
        <f ca="1">ROUND(L67*0.9,1)</f>
        <v>9.9</v>
      </c>
      <c r="Z67" s="2416"/>
      <c r="AI67" s="2417"/>
    </row>
    <row r="68" spans="1:35" ht="14.25" hidden="1" customHeight="1" thickBot="1">
      <c r="A68" s="208" t="s">
        <v>774</v>
      </c>
      <c r="B68" s="209" t="s">
        <v>2242</v>
      </c>
      <c r="C68" s="210">
        <f ca="1">IF(C67&lt;=0,0,ROUND(C67*D68,0))</f>
        <v>2000</v>
      </c>
      <c r="D68" s="211">
        <f>'数据-取费表'!B41</f>
        <v>5.6000000000000001E-2</v>
      </c>
      <c r="E68" s="212"/>
      <c r="F68" s="2482"/>
      <c r="G68" s="2482"/>
      <c r="H68" s="2490"/>
      <c r="I68" s="138"/>
      <c r="J68" s="3258"/>
      <c r="K68" s="2492" t="s">
        <v>2243</v>
      </c>
      <c r="L68" s="1745">
        <f ca="1">IF(M49&gt;10000,M49*0.5%,IF(AND(M49&gt;5000,M49&lt;=10000),M49*1%,IF(AND(M49&gt;1000,M49&lt;=5000),M49*2%,IF(AND(M49&gt;200,M49&lt;=1000),M49*3%,M49*5%))))</f>
        <v>187.54</v>
      </c>
      <c r="M68" s="24">
        <f ca="1">ROUND(L68,1)</f>
        <v>187.5</v>
      </c>
      <c r="Z68" s="2416"/>
      <c r="AI68" s="2417"/>
    </row>
    <row r="69" spans="1:35" s="2439" customFormat="1" ht="16.5" hidden="1" customHeight="1">
      <c r="A69" s="2493"/>
      <c r="B69" s="2494"/>
      <c r="C69" s="2495"/>
      <c r="D69" s="2496"/>
      <c r="E69" s="2497"/>
      <c r="F69" s="2161"/>
      <c r="G69" s="2161"/>
      <c r="H69" s="2160"/>
      <c r="I69" s="2411"/>
      <c r="J69" s="3258"/>
      <c r="K69" s="2492" t="s">
        <v>2244</v>
      </c>
      <c r="L69" s="2498"/>
      <c r="M69" s="24">
        <f ca="1">ROUND(SUM(M63:M68),0)</f>
        <v>610</v>
      </c>
      <c r="N69" s="1746">
        <f ca="1">M69/M49</f>
        <v>1.626319718460062E-2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hidden="1" thickBot="1">
      <c r="A70" s="3217" t="s">
        <v>2245</v>
      </c>
      <c r="B70" s="3218"/>
      <c r="C70" s="3218"/>
      <c r="D70" s="3218"/>
      <c r="E70" s="3218"/>
      <c r="F70" s="3218"/>
      <c r="G70" s="3218"/>
      <c r="H70" s="321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96" t="s">
        <v>2226</v>
      </c>
      <c r="B71" s="3197"/>
      <c r="C71" s="1797"/>
      <c r="D71" s="1797"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35722</v>
      </c>
      <c r="D72" s="200" t="s">
        <v>32</v>
      </c>
      <c r="E72" s="1796"/>
      <c r="F72" s="1790"/>
      <c r="G72" s="1790"/>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214</v>
      </c>
      <c r="D73" s="200" t="s">
        <v>32</v>
      </c>
      <c r="E73" s="1796"/>
      <c r="F73" s="1790"/>
      <c r="G73" s="1790"/>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1796"/>
      <c r="F74" s="1790"/>
      <c r="G74" s="1790"/>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91" t="s">
        <v>2254</v>
      </c>
      <c r="F76" s="3168"/>
      <c r="G76" s="3168"/>
      <c r="H76" s="321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6" t="s">
        <v>2257</v>
      </c>
      <c r="H77" s="1801"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214</v>
      </c>
      <c r="D78" s="226">
        <f>'数据-取费表'!B43</f>
        <v>6.000000000000001E-3</v>
      </c>
      <c r="E78" s="3177" t="s">
        <v>2259</v>
      </c>
      <c r="F78" s="3178"/>
      <c r="G78" s="3178"/>
      <c r="H78" s="3187"/>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779</v>
      </c>
      <c r="B79" s="204" t="s">
        <v>2260</v>
      </c>
      <c r="C79" s="207">
        <f ca="1">C72-C73</f>
        <v>35508</v>
      </c>
      <c r="D79" s="200" t="s">
        <v>32</v>
      </c>
      <c r="E79" s="1796"/>
      <c r="F79" s="1790"/>
      <c r="G79" s="1790"/>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165.92523364485982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21230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217" t="s">
        <v>2263</v>
      </c>
      <c r="B83" s="3218"/>
      <c r="C83" s="3218"/>
      <c r="D83" s="3218"/>
      <c r="E83" s="3218"/>
      <c r="F83" s="3218"/>
      <c r="G83" s="3218"/>
      <c r="H83" s="321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96" t="s">
        <v>2226</v>
      </c>
      <c r="B84" s="3197"/>
      <c r="C84" s="1797"/>
      <c r="D84" s="1797"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35722</v>
      </c>
      <c r="D85" s="200" t="s">
        <v>32</v>
      </c>
      <c r="E85" s="1796"/>
      <c r="F85" s="1790"/>
      <c r="G85" s="1790"/>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214</v>
      </c>
      <c r="D86" s="235"/>
      <c r="E86" s="1796"/>
      <c r="F86" s="1790"/>
      <c r="G86" s="1790"/>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1792"/>
      <c r="F87" s="1793"/>
      <c r="G87" s="1793"/>
      <c r="H87" s="1795"/>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1793"/>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1793"/>
      <c r="G89" s="1793"/>
      <c r="H89" s="1795"/>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1793"/>
      <c r="G90" s="1793"/>
      <c r="H90" s="1795"/>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77" t="s">
        <v>2272</v>
      </c>
      <c r="F91" s="3178"/>
      <c r="G91" s="3178"/>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77" t="s">
        <v>2276</v>
      </c>
      <c r="F92" s="3178"/>
      <c r="G92" s="3178"/>
      <c r="H92" s="3187"/>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214</v>
      </c>
      <c r="D93" s="226">
        <f>'数据-取费表'!B43</f>
        <v>6.000000000000001E-3</v>
      </c>
      <c r="E93" s="3177" t="s">
        <v>2259</v>
      </c>
      <c r="F93" s="3178"/>
      <c r="G93" s="3178"/>
      <c r="H93" s="3187"/>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188" t="s">
        <v>2280</v>
      </c>
      <c r="F94" s="3189"/>
      <c r="G94" s="3189"/>
      <c r="H94" s="319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779</v>
      </c>
      <c r="B95" s="204" t="s">
        <v>2260</v>
      </c>
      <c r="C95" s="207">
        <f ca="1">ROUND(C85-C86,0)</f>
        <v>35508</v>
      </c>
      <c r="D95" s="200" t="s">
        <v>32</v>
      </c>
      <c r="E95" s="1796"/>
      <c r="F95" s="1790"/>
      <c r="G95" s="1790"/>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165.92523364485982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21230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2281</v>
      </c>
      <c r="B99" s="2411"/>
      <c r="C99" s="2411"/>
      <c r="D99" s="2411"/>
      <c r="E99" s="2161"/>
      <c r="F99" s="2161"/>
      <c r="G99" s="2161"/>
      <c r="H99" s="2160"/>
      <c r="I99" s="138"/>
    </row>
    <row r="100" spans="1:35" ht="18.75" customHeight="1">
      <c r="A100" s="3149" t="s">
        <v>2282</v>
      </c>
      <c r="B100" s="3150"/>
      <c r="C100" s="3150"/>
      <c r="D100" s="3179"/>
      <c r="E100" s="3150" t="s">
        <v>2283</v>
      </c>
      <c r="F100" s="3150"/>
      <c r="G100" s="3150"/>
      <c r="H100" s="3179"/>
      <c r="I100" s="138"/>
    </row>
    <row r="101" spans="1:35" ht="18.75" customHeight="1">
      <c r="A101" s="3241" t="s">
        <v>2284</v>
      </c>
      <c r="B101" s="3242"/>
      <c r="C101" s="734" t="str">
        <f>C4</f>
        <v>比较法-办公</v>
      </c>
      <c r="D101" s="735" t="str">
        <f>D4</f>
        <v>收益法（办公）</v>
      </c>
      <c r="E101" s="3255" t="s">
        <v>2285</v>
      </c>
      <c r="F101" s="3209"/>
      <c r="G101" s="2513" t="s">
        <v>2286</v>
      </c>
      <c r="H101" s="1041">
        <f ca="1">H118</f>
        <v>37508</v>
      </c>
      <c r="I101" s="138"/>
    </row>
    <row r="102" spans="1:35" ht="18.75" customHeight="1">
      <c r="A102" s="3211" t="s">
        <v>2287</v>
      </c>
      <c r="B102" s="2513" t="s">
        <v>2286</v>
      </c>
      <c r="C102" s="734">
        <f ca="1">C19</f>
        <v>38220</v>
      </c>
      <c r="D102" s="735">
        <f ca="1">D19</f>
        <v>35845</v>
      </c>
      <c r="E102" s="3255"/>
      <c r="F102" s="3209"/>
      <c r="G102" s="2513" t="s">
        <v>2288</v>
      </c>
      <c r="H102" s="371">
        <f ca="1">I118</f>
        <v>43960</v>
      </c>
      <c r="I102" s="138"/>
    </row>
    <row r="103" spans="1:35" ht="42.75" customHeight="1">
      <c r="A103" s="3211"/>
      <c r="B103" s="2513" t="s">
        <v>2288</v>
      </c>
      <c r="C103" s="736">
        <f ca="1">C20</f>
        <v>44794</v>
      </c>
      <c r="D103" s="737">
        <f ca="1">D20</f>
        <v>42011</v>
      </c>
      <c r="E103" s="3250" t="s">
        <v>2289</v>
      </c>
      <c r="F103" s="3251"/>
      <c r="G103" s="2514" t="s">
        <v>2290</v>
      </c>
      <c r="H103" s="1041">
        <f>IF(D36="正常操作",H104+H105+H106,H105+H106)</f>
        <v>0</v>
      </c>
      <c r="I103" s="138"/>
    </row>
    <row r="104" spans="1:35" ht="18.75" customHeight="1">
      <c r="A104" s="3211" t="s">
        <v>2291</v>
      </c>
      <c r="B104" s="2515" t="s">
        <v>2286</v>
      </c>
      <c r="C104" s="738">
        <f ca="1">H118</f>
        <v>37508</v>
      </c>
      <c r="D104" s="739"/>
      <c r="E104" s="2261" t="s">
        <v>2292</v>
      </c>
      <c r="F104" s="2253"/>
      <c r="G104" s="2514" t="s">
        <v>2290</v>
      </c>
      <c r="H104" s="1042">
        <f>IF(D36="同一抵押权人同一抵押物续贷",C36&amp;"（未扣减，详见特别提示）",C36)</f>
        <v>0</v>
      </c>
      <c r="I104" s="138"/>
    </row>
    <row r="105" spans="1:35" ht="18.75" customHeight="1" thickBot="1">
      <c r="A105" s="3212"/>
      <c r="B105" s="2516" t="s">
        <v>2288</v>
      </c>
      <c r="C105" s="740">
        <f ca="1">I118</f>
        <v>43960</v>
      </c>
      <c r="D105" s="741"/>
      <c r="E105" s="2261" t="s">
        <v>2293</v>
      </c>
      <c r="F105" s="2253"/>
      <c r="G105" s="2514" t="s">
        <v>2290</v>
      </c>
      <c r="H105" s="1042">
        <f>C37</f>
        <v>0</v>
      </c>
      <c r="I105" s="138"/>
    </row>
    <row r="106" spans="1:35" ht="18.75" customHeight="1">
      <c r="A106" s="2411" t="s">
        <v>2294</v>
      </c>
      <c r="B106" s="2411"/>
      <c r="C106" s="2411"/>
      <c r="D106" s="2411"/>
      <c r="E106" s="2517" t="s">
        <v>2295</v>
      </c>
      <c r="F106" s="2253"/>
      <c r="G106" s="2514" t="s">
        <v>2290</v>
      </c>
      <c r="H106" s="1042">
        <f>C38</f>
        <v>0</v>
      </c>
      <c r="I106" s="138"/>
    </row>
    <row r="107" spans="1:35" ht="18.75" customHeight="1">
      <c r="A107" s="138"/>
      <c r="B107" s="138"/>
      <c r="C107" s="138"/>
      <c r="D107" s="138"/>
      <c r="E107" s="3208" t="str">
        <f>IF(项目基本情况!E8="已注销","——","3.房地产抵押价值")</f>
        <v>3.房地产抵押价值</v>
      </c>
      <c r="F107" s="3209"/>
      <c r="G107" s="2513" t="s">
        <v>2286</v>
      </c>
      <c r="H107" s="1041">
        <f ca="1">IF(E107="——","——",H101-H103)</f>
        <v>37508</v>
      </c>
      <c r="I107" s="138"/>
    </row>
    <row r="108" spans="1:35" ht="18.75" customHeight="1">
      <c r="A108" s="138"/>
      <c r="B108" s="138"/>
      <c r="C108" s="138"/>
      <c r="D108" s="138"/>
      <c r="E108" s="3208"/>
      <c r="F108" s="3209"/>
      <c r="G108" s="2513" t="s">
        <v>2288</v>
      </c>
      <c r="H108" s="371">
        <f ca="1">ROUND(H107*10000/'数据-汇总表'!E3,0)</f>
        <v>32256</v>
      </c>
      <c r="I108" s="138"/>
    </row>
    <row r="109" spans="1:35" ht="18.75" customHeight="1">
      <c r="A109" s="138"/>
      <c r="B109" s="138"/>
      <c r="C109" s="138"/>
      <c r="D109" s="138"/>
      <c r="E109" s="3208" t="str">
        <f>IF(项目基本情况!E8="已注销及未注销","4.抵押担保权已注销时的房地产抵押价值",IF(项目基本情况!E8="已注销","3.抵押担保权已注销时的房地产抵押价值","——"))</f>
        <v>——</v>
      </c>
      <c r="F109" s="3209"/>
      <c r="G109" s="2513" t="s">
        <v>2286</v>
      </c>
      <c r="H109" s="348" t="str">
        <f>IF(E109="——","——",H101-H105-H106)</f>
        <v>——</v>
      </c>
      <c r="I109" s="138"/>
    </row>
    <row r="110" spans="1:35" ht="18.75" customHeight="1">
      <c r="A110" s="138"/>
      <c r="B110" s="138"/>
      <c r="C110" s="138"/>
      <c r="D110" s="138"/>
      <c r="E110" s="3208"/>
      <c r="F110" s="3209"/>
      <c r="G110" s="2513" t="s">
        <v>2288</v>
      </c>
      <c r="H110" s="371" t="str">
        <f>IF(H109="——","——",ROUND(H109*10000/'数据-汇总表'!E3,0))</f>
        <v>——</v>
      </c>
      <c r="I110" s="138"/>
    </row>
    <row r="111" spans="1:35" ht="18.75" customHeight="1">
      <c r="A111" s="138"/>
      <c r="B111" s="138"/>
      <c r="C111" s="138"/>
      <c r="D111" s="138"/>
      <c r="E111" s="3243" t="str">
        <f>IF(项目基本情况!E9="抵押净值",IF(OR(项目基本情况!E8="已注销",项目基本情况!E8="房地产抵押价值"),"4.抵押净值","5.抵押净值"),"——")</f>
        <v>——</v>
      </c>
      <c r="F111" s="3244"/>
      <c r="G111" s="2513" t="s">
        <v>2286</v>
      </c>
      <c r="H111" s="1041" t="str">
        <f>IF(E111="——","——",N59)</f>
        <v>——</v>
      </c>
      <c r="I111" s="138"/>
    </row>
    <row r="112" spans="1:35" ht="18.75" customHeight="1" thickBot="1">
      <c r="A112" s="138"/>
      <c r="B112" s="138"/>
      <c r="C112" s="138"/>
      <c r="D112" s="138"/>
      <c r="E112" s="3245"/>
      <c r="F112" s="3246"/>
      <c r="G112" s="2518" t="s">
        <v>2288</v>
      </c>
      <c r="H112" s="788" t="str">
        <f>IF(E111="——","——",N61)</f>
        <v>——</v>
      </c>
      <c r="I112" s="138"/>
    </row>
    <row r="113" spans="1:11" ht="18.75" customHeight="1">
      <c r="A113" s="138"/>
      <c r="B113" s="138"/>
      <c r="C113" s="138"/>
      <c r="D113" s="138"/>
      <c r="E113" s="3213" t="s">
        <v>2294</v>
      </c>
      <c r="F113" s="3213"/>
      <c r="G113" s="3213"/>
      <c r="H113" s="3213"/>
      <c r="I113" s="138"/>
    </row>
    <row r="114" spans="1:11" ht="3.75" customHeight="1">
      <c r="A114" s="2411"/>
      <c r="B114" s="2411"/>
      <c r="C114" s="2411"/>
      <c r="D114" s="2411"/>
      <c r="E114" s="2489"/>
      <c r="F114" s="2489"/>
      <c r="G114" s="2489"/>
      <c r="H114" s="2489"/>
      <c r="I114" s="2411"/>
    </row>
    <row r="115" spans="1:11" ht="18.75" customHeight="1">
      <c r="A115" s="3226" t="s">
        <v>2296</v>
      </c>
      <c r="B115" s="3227"/>
      <c r="C115" s="3227"/>
      <c r="D115" s="3227"/>
      <c r="E115" s="3227"/>
      <c r="F115" s="3227"/>
      <c r="G115" s="3227"/>
      <c r="H115" s="3227"/>
      <c r="I115" s="3228"/>
    </row>
    <row r="116" spans="1:11" ht="27" customHeight="1">
      <c r="A116" s="3106" t="s">
        <v>2297</v>
      </c>
      <c r="B116" s="3214" t="s">
        <v>2298</v>
      </c>
      <c r="C116" s="3214" t="s">
        <v>2299</v>
      </c>
      <c r="D116" s="3230" t="s">
        <v>2300</v>
      </c>
      <c r="E116" s="3231"/>
      <c r="F116" s="3222" t="s">
        <v>3067</v>
      </c>
      <c r="G116" s="3222"/>
      <c r="H116" s="3106" t="s">
        <v>2301</v>
      </c>
      <c r="I116" s="3106"/>
    </row>
    <row r="117" spans="1:11" ht="18.75" customHeight="1">
      <c r="A117" s="3106"/>
      <c r="B117" s="3215"/>
      <c r="C117" s="3215"/>
      <c r="D117" s="1791" t="s">
        <v>2302</v>
      </c>
      <c r="E117" s="1791" t="s">
        <v>2303</v>
      </c>
      <c r="F117" s="1791" t="s">
        <v>2302</v>
      </c>
      <c r="G117" s="1791" t="s">
        <v>2304</v>
      </c>
      <c r="H117" s="1791" t="s">
        <v>2302</v>
      </c>
      <c r="I117" s="1791" t="s">
        <v>2304</v>
      </c>
    </row>
    <row r="118" spans="1:11" ht="24.75" customHeight="1">
      <c r="A118" s="2519" t="str">
        <f>项目基本情况!S2</f>
        <v>北京市海淀区西四环北路160号房地产</v>
      </c>
      <c r="B118" s="1791">
        <f>M18</f>
        <v>8532.39</v>
      </c>
      <c r="C118" s="1791">
        <f>M19</f>
        <v>709.53</v>
      </c>
      <c r="D118" s="1791">
        <f ca="1">ROUND(IF(D32="总价",C34,E118*B118/10000),0)</f>
        <v>37508</v>
      </c>
      <c r="E118" s="1791">
        <f ca="1">ROUND(IF(C33="自定义",IF(D32="楼面单价",C34,D118*10000/B118),I118-G118),0)</f>
        <v>43960</v>
      </c>
      <c r="F118" s="1791">
        <f ca="1">ROUND(IF(D32="总价",C35,G118*B118/10000),0)</f>
        <v>0</v>
      </c>
      <c r="G118" s="1791">
        <f ca="1">ROUND(IF(D32="楼面单价",C35,F118*10000/B118),0)</f>
        <v>0</v>
      </c>
      <c r="H118" s="1791">
        <f ca="1">ROUND(IF(D32="总价",C32,I118*B118/10000),0)</f>
        <v>37508</v>
      </c>
      <c r="I118" s="1791">
        <f ca="1">ROUND(IF(D32="楼面单价",C32,H118*10000/B118),0)</f>
        <v>43960</v>
      </c>
    </row>
    <row r="119" spans="1:11" ht="18.75" customHeight="1">
      <c r="A119" s="3106" t="s">
        <v>2305</v>
      </c>
      <c r="B119" s="3106"/>
      <c r="C119" s="3106"/>
      <c r="D119" s="3219" t="str">
        <f ca="1">NUMBERSTRING(INT(D118*10000),2)&amp;"元整"</f>
        <v>叁亿柒仟伍佰零捌万元整</v>
      </c>
      <c r="E119" s="3221"/>
      <c r="F119" s="3219" t="str">
        <f ca="1">NUMBERSTRING(INT(F118*10000),2)&amp;"元整"</f>
        <v>零元整</v>
      </c>
      <c r="G119" s="3221"/>
      <c r="H119" s="3219" t="str">
        <f ca="1">NUMBERSTRING(INT(H118*10000),2)&amp;"元整"</f>
        <v>叁亿柒仟伍佰零捌万元整</v>
      </c>
      <c r="I119" s="3221"/>
    </row>
    <row r="120" spans="1:11" ht="18.75" customHeight="1">
      <c r="A120" s="3247" t="str">
        <f>IF(项目基本情况!B9="房地产市场价值","",MID(E103,3,LEN(E103)-2))</f>
        <v>估价师知悉的法定优先受偿款</v>
      </c>
      <c r="B120" s="3248"/>
      <c r="C120" s="3249"/>
      <c r="D120" s="3247">
        <f>H103</f>
        <v>0</v>
      </c>
      <c r="E120" s="3248"/>
      <c r="F120" s="3248"/>
      <c r="G120" s="3248"/>
      <c r="H120" s="3248"/>
      <c r="I120" s="3249"/>
      <c r="K120" s="2416" t="str">
        <f>IF(D120=0,"故，本次评估不存在"&amp;A120,"故，本次评估"&amp;A120&amp;"为人民币"&amp;D120&amp;"万元整。")</f>
        <v>故，本次评估不存在估价师知悉的法定优先受偿款</v>
      </c>
    </row>
    <row r="121" spans="1:11" ht="18.75" customHeight="1">
      <c r="A121" s="3223" t="s">
        <v>2305</v>
      </c>
      <c r="B121" s="3224"/>
      <c r="C121" s="3225"/>
      <c r="D121" s="3219" t="str">
        <f>IF(D120=0,"零元整",NUMBERSTRING(INT(D120*10000),2)&amp;"元整")</f>
        <v>零元整</v>
      </c>
      <c r="E121" s="3220"/>
      <c r="F121" s="3220"/>
      <c r="G121" s="3220"/>
      <c r="H121" s="3220"/>
      <c r="I121" s="3221"/>
    </row>
    <row r="122" spans="1:11" ht="18.75" customHeight="1">
      <c r="A122" s="3210" t="str">
        <f>IF(项目基本情况!B9="房地产市场价值","",MID(E107,3,LEN(E107)-2))</f>
        <v>房地产抵押价值</v>
      </c>
      <c r="B122" s="3210"/>
      <c r="C122" s="3210"/>
      <c r="D122" s="3247">
        <f ca="1">H107</f>
        <v>37508</v>
      </c>
      <c r="E122" s="3248"/>
      <c r="F122" s="3248"/>
      <c r="G122" s="3248"/>
      <c r="H122" s="3248"/>
      <c r="I122" s="3249"/>
    </row>
    <row r="123" spans="1:11" ht="18.75" customHeight="1">
      <c r="A123" s="3106" t="s">
        <v>2305</v>
      </c>
      <c r="B123" s="3106"/>
      <c r="C123" s="3106"/>
      <c r="D123" s="3219" t="str">
        <f ca="1">NUMBERSTRING(INT(D122*10000),2)&amp;"元整"</f>
        <v>叁亿柒仟伍佰零捌万元整</v>
      </c>
      <c r="E123" s="3220"/>
      <c r="F123" s="3220"/>
      <c r="G123" s="3220"/>
      <c r="H123" s="3220"/>
      <c r="I123" s="3221"/>
    </row>
    <row r="124" spans="1:11" ht="18.75" customHeight="1">
      <c r="A124" s="3210" t="str">
        <f>IF(项目基本情况!B9="房地产市场价值","",MID(E109,3,LEN(E109)-2))</f>
        <v/>
      </c>
      <c r="B124" s="3210"/>
      <c r="C124" s="3210"/>
      <c r="D124" s="3247" t="str">
        <f>H109</f>
        <v>——</v>
      </c>
      <c r="E124" s="3248"/>
      <c r="F124" s="3248"/>
      <c r="G124" s="3248"/>
      <c r="H124" s="3248"/>
      <c r="I124" s="3249"/>
    </row>
    <row r="125" spans="1:11" ht="18.75" customHeight="1">
      <c r="A125" s="3106" t="s">
        <v>2305</v>
      </c>
      <c r="B125" s="3106"/>
      <c r="C125" s="3106"/>
      <c r="D125" s="3219" t="e">
        <f>NUMBERSTRING(INT(D124*10000),2)&amp;"元整"</f>
        <v>#VALUE!</v>
      </c>
      <c r="E125" s="3220"/>
      <c r="F125" s="3220"/>
      <c r="G125" s="3220"/>
      <c r="H125" s="3220"/>
      <c r="I125" s="3221"/>
    </row>
    <row r="126" spans="1:11" ht="18.75" customHeight="1">
      <c r="A126" s="3210" t="str">
        <f>IF(项目基本情况!B9="房地产市场价值","",MID(E111,3,LEN(E111)-2))</f>
        <v/>
      </c>
      <c r="B126" s="3210"/>
      <c r="C126" s="3210"/>
      <c r="D126" s="3247" t="str">
        <f>H111</f>
        <v>——</v>
      </c>
      <c r="E126" s="3248"/>
      <c r="F126" s="3248"/>
      <c r="G126" s="3248"/>
      <c r="H126" s="3248"/>
      <c r="I126" s="3249"/>
    </row>
    <row r="127" spans="1:11" ht="18.75" customHeight="1">
      <c r="A127" s="3106" t="s">
        <v>2305</v>
      </c>
      <c r="B127" s="3106"/>
      <c r="C127" s="3106"/>
      <c r="D127" s="3219" t="e">
        <f>NUMBERSTRING(INT(D126*10000),2)&amp;"元整"</f>
        <v>#VALUE!</v>
      </c>
      <c r="E127" s="3220"/>
      <c r="F127" s="3220"/>
      <c r="G127" s="3220"/>
      <c r="H127" s="3220"/>
      <c r="I127" s="3221"/>
    </row>
    <row r="128" spans="1:11" ht="21.75" customHeight="1">
      <c r="A128" s="3229" t="s">
        <v>2306</v>
      </c>
      <c r="B128" s="3229"/>
      <c r="C128" s="3229"/>
      <c r="D128" s="3229"/>
      <c r="E128" s="3229"/>
      <c r="F128" s="3229"/>
      <c r="G128" s="3229"/>
      <c r="H128" s="3229"/>
      <c r="I128" s="3229"/>
    </row>
    <row r="129" spans="1:35" ht="21.75" customHeight="1">
      <c r="A129" s="2520" t="s">
        <v>2307</v>
      </c>
      <c r="B129" s="2521"/>
      <c r="C129" s="2522" t="s">
        <v>2308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2309</v>
      </c>
      <c r="G135" s="2537"/>
      <c r="H135" s="2537"/>
      <c r="I135" s="2538" t="s">
        <v>2310</v>
      </c>
    </row>
    <row r="136" spans="1:35" ht="21.75" customHeight="1">
      <c r="A136" s="793"/>
      <c r="B136" s="2539"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2312</v>
      </c>
    </row>
    <row r="139" spans="1:35" ht="21.75" customHeight="1">
      <c r="A139" s="793"/>
      <c r="B139" s="2539" t="s">
        <v>2313</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2312</v>
      </c>
    </row>
    <row r="142" spans="1:35" ht="21.75" customHeight="1">
      <c r="A142" s="793"/>
      <c r="B142" s="2539"/>
      <c r="C142" s="2540"/>
      <c r="D142" s="2541"/>
      <c r="E142" s="2541"/>
      <c r="F142" s="2334"/>
      <c r="G142" s="793"/>
      <c r="H142" s="793"/>
      <c r="I142" s="793"/>
    </row>
    <row r="143" spans="1:35" s="139" customFormat="1" ht="21.75" customHeight="1">
      <c r="A143" s="793"/>
      <c r="B143" s="2539"/>
      <c r="C143" s="2540"/>
      <c r="D143" s="2541"/>
      <c r="E143" s="2541"/>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1"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625" style="295" customWidth="1"/>
    <col min="9" max="254" width="9" style="295" customWidth="1"/>
    <col min="255" max="16384" width="8.375" style="295"/>
  </cols>
  <sheetData>
    <row r="1" spans="1:8" s="244" customFormat="1" ht="20.25">
      <c r="A1" s="240" t="s">
        <v>2314</v>
      </c>
      <c r="B1" s="1933"/>
      <c r="C1" s="2548" t="s">
        <v>2416</v>
      </c>
      <c r="D1" s="242"/>
      <c r="E1" s="242"/>
      <c r="F1" s="242"/>
      <c r="G1" s="1375">
        <f>MATCH(B1,'数据-取费表'!A6:A16,0)+5</f>
        <v>9</v>
      </c>
      <c r="H1" s="1278" t="str">
        <f>IF(ISERROR(FIND("住宅",B1)),"非住宅","住宅")</f>
        <v>非住宅</v>
      </c>
    </row>
    <row r="2" spans="1:8" s="244" customFormat="1" ht="18" customHeight="1">
      <c r="A2" s="245" t="s">
        <v>2315</v>
      </c>
      <c r="B2" s="246">
        <f ca="1">ROUND(IF(D2="——",C52/10000,C52/10000-E2),0)</f>
        <v>5205</v>
      </c>
      <c r="C2" s="243" t="s">
        <v>2316</v>
      </c>
      <c r="D2" s="2542" t="s">
        <v>70</v>
      </c>
      <c r="E2" s="1436" t="e">
        <f ca="1">SUMIF(INDIRECT("'"&amp;G2&amp;"'"&amp;"!A:A"),"承租人权益价值",INDIRECT("'"&amp;G2&amp;"'"&amp;"!c:c"))</f>
        <v>#REF!</v>
      </c>
      <c r="F2" s="2543" t="s">
        <v>2316</v>
      </c>
      <c r="G2" s="2544"/>
    </row>
    <row r="3" spans="1:8" s="244" customFormat="1" ht="18" customHeight="1" thickBot="1">
      <c r="A3" s="247" t="s">
        <v>2317</v>
      </c>
      <c r="B3" s="248">
        <f ca="1">ROUND(B2*10000/(IF(B1="",'数据-汇总表'!E3,INDIRECT("'数据-取费表'!k"&amp;$G$1))),0)</f>
        <v>4476</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2325642</v>
      </c>
      <c r="D5" s="255" t="s">
        <v>2322</v>
      </c>
      <c r="E5" s="256" t="s">
        <v>2323</v>
      </c>
      <c r="F5" s="256" t="s">
        <v>2324</v>
      </c>
      <c r="G5" s="257"/>
    </row>
    <row r="6" spans="1:8" s="258" customFormat="1" ht="13.5" customHeight="1">
      <c r="A6" s="945" t="s">
        <v>2325</v>
      </c>
      <c r="B6" s="259" t="s">
        <v>2326</v>
      </c>
      <c r="C6" s="260"/>
      <c r="D6" s="261"/>
      <c r="E6" s="262"/>
      <c r="F6" s="262"/>
      <c r="G6" s="263"/>
    </row>
    <row r="7" spans="1:8" s="258" customFormat="1" ht="13.5" customHeight="1">
      <c r="A7" s="945" t="s">
        <v>2327</v>
      </c>
      <c r="B7" s="259" t="s">
        <v>2328</v>
      </c>
      <c r="C7" s="264">
        <f>ROUND(C6*F7,0)</f>
        <v>0</v>
      </c>
      <c r="D7" s="264"/>
      <c r="E7" s="262"/>
      <c r="F7" s="265">
        <f>'数据-取费表'!B48+'数据-取费表'!B49</f>
        <v>3.0499999999999999E-2</v>
      </c>
      <c r="G7" s="263"/>
    </row>
    <row r="8" spans="1:8" s="267" customFormat="1">
      <c r="A8" s="945" t="s">
        <v>2329</v>
      </c>
      <c r="B8" s="259" t="s">
        <v>2330</v>
      </c>
      <c r="C8" s="264">
        <f ca="1">IF(G8="已包含在土地购买价格中",0,C9+C10)</f>
        <v>2325642</v>
      </c>
      <c r="D8" s="266"/>
      <c r="E8" s="264"/>
      <c r="F8" s="265"/>
      <c r="G8" s="2545"/>
    </row>
    <row r="9" spans="1:8" s="258" customFormat="1" ht="13.5" customHeight="1">
      <c r="A9" s="946" t="s">
        <v>800</v>
      </c>
      <c r="B9" s="268" t="s">
        <v>2331</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801</v>
      </c>
      <c r="B10" s="268" t="s">
        <v>2333</v>
      </c>
      <c r="C10" s="269">
        <f ca="1">ROUND(D10*E10,0)</f>
        <v>2325642</v>
      </c>
      <c r="D10" s="1028">
        <f ca="1">IF(B1="",'数据-汇总表'!E6,IF(INDIRECT("'数据-取费表'!c"&amp;$G$1)="住宅",INDIRECT("'数据-取费表'!s"&amp;$G$1),INDIRECT("'数据-取费表'!k"&amp;$G$1)+INDIRECT("'数据-取费表'!s"&amp;$G$1)))</f>
        <v>11628.210000000001</v>
      </c>
      <c r="E10" s="269">
        <f>'数据-取费表'!B28</f>
        <v>200</v>
      </c>
      <c r="F10" s="265"/>
      <c r="G10" s="270"/>
    </row>
    <row r="11" spans="1:8" s="258" customFormat="1" ht="13.5" hidden="1" customHeight="1">
      <c r="A11" s="271" t="s">
        <v>7</v>
      </c>
      <c r="B11" s="259" t="s">
        <v>2334</v>
      </c>
      <c r="C11" s="255"/>
      <c r="D11" s="1030"/>
      <c r="E11" s="262"/>
      <c r="F11" s="262"/>
      <c r="G11" s="263"/>
    </row>
    <row r="12" spans="1:8" s="258" customFormat="1" ht="13.5" hidden="1" customHeight="1">
      <c r="A12" s="271" t="s">
        <v>8</v>
      </c>
      <c r="B12" s="259" t="s">
        <v>2417</v>
      </c>
      <c r="C12" s="255">
        <v>0</v>
      </c>
      <c r="D12" s="1030"/>
      <c r="E12" s="272"/>
      <c r="F12" s="265">
        <v>3.0499999999999999E-2</v>
      </c>
      <c r="G12" s="263"/>
    </row>
    <row r="13" spans="1:8" s="258" customFormat="1" ht="13.5" hidden="1" customHeight="1">
      <c r="A13" s="271" t="s">
        <v>9</v>
      </c>
      <c r="B13" s="259" t="s">
        <v>2418</v>
      </c>
      <c r="C13" s="255"/>
      <c r="D13" s="1030"/>
      <c r="E13" s="262"/>
      <c r="F13" s="262"/>
      <c r="G13" s="263"/>
    </row>
    <row r="14" spans="1:8" s="258" customFormat="1" ht="13.5" hidden="1" customHeight="1">
      <c r="A14" s="271" t="s">
        <v>10</v>
      </c>
      <c r="B14" s="259" t="s">
        <v>2330</v>
      </c>
      <c r="C14" s="255"/>
      <c r="D14" s="1030"/>
      <c r="E14" s="262"/>
      <c r="F14" s="262"/>
      <c r="G14" s="263" t="s">
        <v>2419</v>
      </c>
    </row>
    <row r="15" spans="1:8" s="258" customFormat="1" ht="13.5" hidden="1" customHeight="1">
      <c r="A15" s="271" t="s">
        <v>11</v>
      </c>
      <c r="B15" s="259" t="s">
        <v>2420</v>
      </c>
      <c r="C15" s="264"/>
      <c r="D15" s="1030"/>
      <c r="E15" s="262"/>
      <c r="F15" s="262"/>
      <c r="G15" s="263" t="s">
        <v>2421</v>
      </c>
    </row>
    <row r="16" spans="1:8" s="258" customFormat="1" ht="13.5" hidden="1" customHeight="1">
      <c r="A16" s="271" t="s">
        <v>12</v>
      </c>
      <c r="B16" s="259" t="s">
        <v>2330</v>
      </c>
      <c r="C16" s="264"/>
      <c r="D16" s="1030"/>
      <c r="E16" s="262"/>
      <c r="F16" s="262"/>
      <c r="G16" s="263"/>
    </row>
    <row r="17" spans="1:7" s="258" customFormat="1" ht="13.5" hidden="1" customHeight="1">
      <c r="A17" s="271" t="s">
        <v>13</v>
      </c>
      <c r="B17" s="259" t="s">
        <v>2422</v>
      </c>
      <c r="C17" s="273"/>
      <c r="D17" s="1031"/>
      <c r="E17" s="273"/>
      <c r="F17" s="273"/>
      <c r="G17" s="263" t="s">
        <v>2421</v>
      </c>
    </row>
    <row r="18" spans="1:7" s="258" customFormat="1" ht="13.5" hidden="1" customHeight="1">
      <c r="A18" s="271" t="s">
        <v>14</v>
      </c>
      <c r="B18" s="259" t="s">
        <v>2423</v>
      </c>
      <c r="C18" s="264">
        <v>0</v>
      </c>
      <c r="D18" s="1030"/>
      <c r="E18" s="262"/>
      <c r="F18" s="265">
        <v>3.0499999999999999E-2</v>
      </c>
      <c r="G18" s="263" t="s">
        <v>2424</v>
      </c>
    </row>
    <row r="19" spans="1:7" s="267" customFormat="1" ht="13.5" customHeight="1">
      <c r="A19" s="299" t="s">
        <v>2425</v>
      </c>
      <c r="B19" s="254" t="s">
        <v>2426</v>
      </c>
      <c r="C19" s="255">
        <f ca="1">IF(G19="已包含在土地取得成本中","0",ROUND(D19*E19,0))</f>
        <v>2325642</v>
      </c>
      <c r="D19" s="1032">
        <f ca="1">D9+D10</f>
        <v>11628.210000000001</v>
      </c>
      <c r="E19" s="255">
        <f>'数据-取费表'!B31</f>
        <v>200</v>
      </c>
      <c r="F19" s="275"/>
      <c r="G19" s="2545"/>
    </row>
    <row r="20" spans="1:7" s="258" customFormat="1" ht="13.5" customHeight="1">
      <c r="A20" s="299" t="s">
        <v>2427</v>
      </c>
      <c r="B20" s="254" t="s">
        <v>2428</v>
      </c>
      <c r="C20" s="276">
        <f ca="1">ROUND((C5+C19)*F20,0)</f>
        <v>93026</v>
      </c>
      <c r="D20" s="276"/>
      <c r="E20" s="276"/>
      <c r="F20" s="277">
        <f>'数据-取费表'!B37</f>
        <v>0.02</v>
      </c>
      <c r="G20" s="278" t="s">
        <v>2429</v>
      </c>
    </row>
    <row r="21" spans="1:7" s="258" customFormat="1" ht="13.5" customHeight="1">
      <c r="A21" s="299" t="s">
        <v>2430</v>
      </c>
      <c r="B21" s="254" t="s">
        <v>2431</v>
      </c>
      <c r="C21" s="279">
        <f>F21</f>
        <v>0.03</v>
      </c>
      <c r="D21" s="280" t="s">
        <v>2432</v>
      </c>
      <c r="E21" s="276"/>
      <c r="F21" s="277">
        <f>'数据-取费表'!B38</f>
        <v>0.03</v>
      </c>
      <c r="G21" s="278" t="s">
        <v>2433</v>
      </c>
    </row>
    <row r="22" spans="1:7" s="258" customFormat="1" ht="13.5" customHeight="1">
      <c r="A22" s="299" t="s">
        <v>2434</v>
      </c>
      <c r="B22" s="254" t="s">
        <v>2435</v>
      </c>
      <c r="C22" s="1376">
        <f ca="1">ROUND(SUM(C23:C25),0)</f>
        <v>456785</v>
      </c>
      <c r="D22" s="279">
        <f ca="1">C26</f>
        <v>1.4E-3</v>
      </c>
      <c r="E22" s="280" t="s">
        <v>2432</v>
      </c>
      <c r="F22" s="281">
        <f ca="1">'数据-取费表'!B40</f>
        <v>4.7500000000000001E-2</v>
      </c>
      <c r="G22" s="278" t="str">
        <f>IF('数据-取费表'!B22&lt;=1,"单利计息","复利计息")</f>
        <v>复利计息</v>
      </c>
    </row>
    <row r="23" spans="1:7" s="258" customFormat="1" ht="13.5" customHeight="1">
      <c r="A23" s="947" t="s">
        <v>2325</v>
      </c>
      <c r="B23" s="259" t="s">
        <v>2436</v>
      </c>
      <c r="C23" s="1377">
        <f ca="1">ROUND(IF('数据-取费表'!B22&lt;=1,C5*F22*'数据-取费表'!B22,C5*(POWER((1+F22),'数据-取费表'!B22)-1)),0)</f>
        <v>226183</v>
      </c>
      <c r="D23" s="282"/>
      <c r="E23" s="282"/>
      <c r="F23" s="283"/>
      <c r="G23" s="284" t="s">
        <v>2437</v>
      </c>
    </row>
    <row r="24" spans="1:7" s="258" customFormat="1" ht="13.5" customHeight="1">
      <c r="A24" s="947" t="s">
        <v>2327</v>
      </c>
      <c r="B24" s="259" t="s">
        <v>2438</v>
      </c>
      <c r="C24" s="1377">
        <f ca="1">ROUND(IF('数据-取费表'!B22&lt;=1,C19*F22*('数据-取费表'!B19/2+'数据-取费表'!B20),C19*(POWER((1+F22),('数据-取费表'!B19/2+'数据-取费表'!B20))-1)),0)</f>
        <v>226183</v>
      </c>
      <c r="D24" s="282"/>
      <c r="E24" s="282"/>
      <c r="F24" s="283"/>
      <c r="G24" s="284" t="s">
        <v>2439</v>
      </c>
    </row>
    <row r="25" spans="1:7" s="258" customFormat="1" ht="24">
      <c r="A25" s="947" t="s">
        <v>2329</v>
      </c>
      <c r="B25" s="259" t="s">
        <v>2440</v>
      </c>
      <c r="C25" s="1377">
        <f ca="1">ROUND(IF('数据-取费表'!B22&lt;=1,C20*F22*'数据-取费表'!B22/2,C20*(POWER((1+F22),'数据-取费表'!B22/2)-1)),0)</f>
        <v>4419</v>
      </c>
      <c r="D25" s="282"/>
      <c r="E25" s="285"/>
      <c r="F25" s="283"/>
      <c r="G25" s="286" t="s">
        <v>2441</v>
      </c>
    </row>
    <row r="26" spans="1:7" s="258" customFormat="1">
      <c r="A26" s="947" t="s">
        <v>795</v>
      </c>
      <c r="B26" s="259" t="s">
        <v>2364</v>
      </c>
      <c r="C26" s="282">
        <f ca="1">ROUND(IF('数据-取费表'!B22&lt;=1,F21*F22*'数据-取费表'!B22/2,F21*(POWER((1+F22),'数据-取费表'!B22/2)-1)),4)</f>
        <v>1.4E-3</v>
      </c>
      <c r="D26" s="282"/>
      <c r="E26" s="285"/>
      <c r="F26" s="283"/>
      <c r="G26" s="287"/>
    </row>
    <row r="27" spans="1:7" s="258" customFormat="1" ht="24.75">
      <c r="A27" s="299" t="s">
        <v>2365</v>
      </c>
      <c r="B27" s="288" t="s">
        <v>2366</v>
      </c>
      <c r="C27" s="289">
        <f ca="1">C28</f>
        <v>711647</v>
      </c>
      <c r="D27" s="279">
        <f ca="1">C29</f>
        <v>4.4999999999999997E-3</v>
      </c>
      <c r="E27" s="280" t="s">
        <v>2367</v>
      </c>
      <c r="F27" s="290">
        <f ca="1">IF(B1="",'数据-取费表'!Q16,INDIRECT("'数据-取费表'!q"&amp;$G$1))</f>
        <v>0.15</v>
      </c>
      <c r="G27" s="291" t="s">
        <v>2368</v>
      </c>
    </row>
    <row r="28" spans="1:7" s="258" customFormat="1" ht="13.5" customHeight="1">
      <c r="A28" s="947" t="s">
        <v>791</v>
      </c>
      <c r="B28" s="292" t="s">
        <v>2369</v>
      </c>
      <c r="C28" s="293">
        <f ca="1">ROUND((C5+C19+C20)*F27,0)</f>
        <v>711647</v>
      </c>
      <c r="D28" s="279"/>
      <c r="E28" s="280"/>
      <c r="F28" s="290"/>
      <c r="G28" s="291"/>
    </row>
    <row r="29" spans="1:7" s="258" customFormat="1" ht="13.5" customHeight="1">
      <c r="A29" s="947" t="s">
        <v>792</v>
      </c>
      <c r="B29" s="292" t="s">
        <v>2370</v>
      </c>
      <c r="C29" s="282">
        <f ca="1">ROUND(C21*F27,4)</f>
        <v>4.4999999999999997E-3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6491812</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37743932</v>
      </c>
      <c r="D33" s="276"/>
      <c r="E33" s="256"/>
      <c r="F33" s="285"/>
      <c r="G33" s="278"/>
    </row>
    <row r="34" spans="1:7" s="302" customFormat="1" ht="13.5" customHeight="1">
      <c r="A34" s="947" t="s">
        <v>791</v>
      </c>
      <c r="B34" s="259" t="s">
        <v>2378</v>
      </c>
      <c r="C34" s="264">
        <f ca="1">ROUND(IF(B1="",SUMPRODUCT('数据-取费表'!K6:K14,'数据-取费表'!L6:L14),INDIRECT("'数据-取费表'!l"&amp;$G$1)*INDIRECT("'数据-取费表'!k"&amp;$G$1)+'数据-取费表'!L14*INDIRECT("'数据-取费表'!S"&amp;$G$1)),0)</f>
        <v>33893100</v>
      </c>
      <c r="D34" s="261"/>
      <c r="E34" s="264"/>
      <c r="F34" s="301"/>
      <c r="G34" s="263"/>
    </row>
    <row r="35" spans="1:7" ht="13.5" customHeight="1">
      <c r="A35" s="947" t="s">
        <v>796</v>
      </c>
      <c r="B35" s="259" t="s">
        <v>2380</v>
      </c>
      <c r="C35" s="264">
        <f ca="1">ROUND(C34*F35,0)</f>
        <v>1016793</v>
      </c>
      <c r="D35" s="264"/>
      <c r="E35" s="264"/>
      <c r="F35" s="303">
        <f>'数据-取费表'!B33</f>
        <v>0.03</v>
      </c>
      <c r="G35" s="263" t="s">
        <v>2381</v>
      </c>
    </row>
    <row r="36" spans="1:7" ht="24">
      <c r="A36" s="947"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47" t="s">
        <v>798</v>
      </c>
      <c r="B37" s="259" t="s">
        <v>2384</v>
      </c>
      <c r="C37" s="293">
        <f ca="1">ROUND(E37*D37,0)</f>
        <v>2325642</v>
      </c>
      <c r="D37" s="261">
        <f ca="1">D19</f>
        <v>11628.210000000001</v>
      </c>
      <c r="E37" s="293">
        <f>'数据-取费表'!B35</f>
        <v>200</v>
      </c>
      <c r="F37" s="303"/>
      <c r="G37" s="305"/>
    </row>
    <row r="38" spans="1:7" ht="13.5" customHeight="1">
      <c r="A38" s="947" t="s">
        <v>799</v>
      </c>
      <c r="B38" s="259" t="s">
        <v>2386</v>
      </c>
      <c r="C38" s="264">
        <f ca="1">ROUND(C34*F38,0)</f>
        <v>508397</v>
      </c>
      <c r="D38" s="264"/>
      <c r="E38" s="264"/>
      <c r="F38" s="303">
        <f>'数据-取费表'!B36</f>
        <v>1.4999999999999999E-2</v>
      </c>
      <c r="G38" s="263" t="s">
        <v>2381</v>
      </c>
    </row>
    <row r="39" spans="1:7" s="258" customFormat="1" ht="13.5" customHeight="1">
      <c r="A39" s="299" t="s">
        <v>2387</v>
      </c>
      <c r="B39" s="254" t="s">
        <v>2388</v>
      </c>
      <c r="C39" s="276">
        <f ca="1">ROUND(C33*F20,0)</f>
        <v>754879</v>
      </c>
      <c r="D39" s="276"/>
      <c r="E39" s="276"/>
      <c r="F39" s="277"/>
      <c r="G39" s="278" t="s">
        <v>2389</v>
      </c>
    </row>
    <row r="40" spans="1:7" s="258" customFormat="1" ht="13.5" customHeight="1">
      <c r="A40" s="299" t="s">
        <v>2390</v>
      </c>
      <c r="B40" s="254" t="s">
        <v>2391</v>
      </c>
      <c r="C40" s="1724">
        <f>F21</f>
        <v>0.03</v>
      </c>
      <c r="D40" s="280" t="s">
        <v>2392</v>
      </c>
      <c r="E40" s="276"/>
      <c r="F40" s="277"/>
      <c r="G40" s="278" t="s">
        <v>2393</v>
      </c>
    </row>
    <row r="41" spans="1:7" s="258" customFormat="1" ht="13.5" customHeight="1">
      <c r="A41" s="299" t="s">
        <v>2394</v>
      </c>
      <c r="B41" s="254" t="s">
        <v>2395</v>
      </c>
      <c r="C41" s="276">
        <f ca="1">ROUND(SUM(C42:C43),0)</f>
        <v>1828694</v>
      </c>
      <c r="D41" s="279">
        <f ca="1">C44</f>
        <v>1.4E-3</v>
      </c>
      <c r="E41" s="280" t="s">
        <v>2392</v>
      </c>
      <c r="F41" s="281"/>
      <c r="G41" s="278" t="str">
        <f>IF('数据-取费表'!B22&lt;=1,"单利计息","复利计息")</f>
        <v>复利计息</v>
      </c>
    </row>
    <row r="42" spans="1:7" ht="13.5" customHeight="1">
      <c r="A42" s="947" t="s">
        <v>791</v>
      </c>
      <c r="B42" s="259" t="s">
        <v>2396</v>
      </c>
      <c r="C42" s="282">
        <f ca="1">ROUND(IF('数据-取费表'!B22&lt;=1,C33*F22*'数据-取费表'!B20/2,C33*(POWER((1+F22),'数据-取费表'!B20/2)-1)),0)</f>
        <v>1792837</v>
      </c>
      <c r="D42" s="282"/>
      <c r="E42" s="282"/>
      <c r="F42" s="283"/>
      <c r="G42" s="3261" t="s">
        <v>2444</v>
      </c>
    </row>
    <row r="43" spans="1:7" ht="13.5" customHeight="1">
      <c r="A43" s="947" t="s">
        <v>792</v>
      </c>
      <c r="B43" s="259" t="s">
        <v>2398</v>
      </c>
      <c r="C43" s="282">
        <f ca="1">ROUND(IF('数据-取费表'!B22&lt;=1,C39*F22*'数据-取费表'!B20/2,C39*(POWER((1+F22),'数据-取费表'!B20/2)-1)),0)</f>
        <v>35857</v>
      </c>
      <c r="D43" s="282"/>
      <c r="E43" s="282"/>
      <c r="F43" s="283"/>
      <c r="G43" s="3262"/>
    </row>
    <row r="44" spans="1:7" ht="13.5" customHeight="1">
      <c r="A44" s="947" t="s">
        <v>793</v>
      </c>
      <c r="B44" s="259" t="s">
        <v>2399</v>
      </c>
      <c r="C44" s="282">
        <f ca="1">ROUND(IF('数据-取费表'!B22&lt;=1,C40*F22*'数据-取费表'!B20/2,C40*(POWER((1+F22),'数据-取费表'!B20/2)-1)),4)</f>
        <v>1.4E-3</v>
      </c>
      <c r="D44" s="282"/>
      <c r="E44" s="282"/>
      <c r="F44" s="283"/>
      <c r="G44" s="3263"/>
    </row>
    <row r="45" spans="1:7" s="258" customFormat="1" ht="13.5" customHeight="1">
      <c r="A45" s="299" t="s">
        <v>2400</v>
      </c>
      <c r="B45" s="288" t="s">
        <v>2366</v>
      </c>
      <c r="C45" s="289">
        <f ca="1">C46</f>
        <v>5774822</v>
      </c>
      <c r="D45" s="279">
        <f ca="1">C47</f>
        <v>4.4999999999999997E-3</v>
      </c>
      <c r="E45" s="280" t="s">
        <v>2392</v>
      </c>
      <c r="F45" s="290"/>
      <c r="G45" s="291" t="s">
        <v>2401</v>
      </c>
    </row>
    <row r="46" spans="1:7" s="258" customFormat="1" ht="13.5" customHeight="1">
      <c r="A46" s="947" t="s">
        <v>791</v>
      </c>
      <c r="B46" s="292" t="s">
        <v>2402</v>
      </c>
      <c r="C46" s="293">
        <f ca="1">ROUND((C33+C39)*F27,0)</f>
        <v>5774822</v>
      </c>
      <c r="D46" s="307"/>
      <c r="E46" s="280"/>
      <c r="F46" s="290"/>
      <c r="G46" s="291"/>
    </row>
    <row r="47" spans="1:7" s="258" customFormat="1" ht="13.5" customHeight="1">
      <c r="A47" s="947" t="s">
        <v>792</v>
      </c>
      <c r="B47" s="292" t="s">
        <v>2403</v>
      </c>
      <c r="C47" s="282">
        <f ca="1">ROUND(C40*F27,4)</f>
        <v>4.4999999999999997E-3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50617399</v>
      </c>
      <c r="D49" s="276"/>
      <c r="E49" s="276"/>
      <c r="F49" s="308"/>
      <c r="G49" s="278" t="s">
        <v>2407</v>
      </c>
    </row>
    <row r="50" spans="1:7" s="302" customFormat="1">
      <c r="A50" s="299" t="s">
        <v>2408</v>
      </c>
      <c r="B50" s="254" t="s">
        <v>2409</v>
      </c>
      <c r="C50" s="276"/>
      <c r="D50" s="276"/>
      <c r="E50" s="276"/>
      <c r="F50" s="308">
        <f>IF('数据-取费表'!B24=0,'数据-取费表'!N16,1)</f>
        <v>0.9</v>
      </c>
      <c r="G50" s="291"/>
    </row>
    <row r="51" spans="1:7" ht="16.5" customHeight="1">
      <c r="A51" s="299" t="s">
        <v>2411</v>
      </c>
      <c r="B51" s="254" t="s">
        <v>2446</v>
      </c>
      <c r="C51" s="276">
        <f ca="1">ROUND(C49*F50,0)</f>
        <v>45555659</v>
      </c>
      <c r="D51" s="276"/>
      <c r="E51" s="276"/>
      <c r="F51" s="308"/>
      <c r="G51" s="278" t="s">
        <v>2413</v>
      </c>
    </row>
    <row r="52" spans="1:7" s="252" customFormat="1" ht="16.5" thickBot="1">
      <c r="A52" s="309" t="s">
        <v>2414</v>
      </c>
      <c r="B52" s="310"/>
      <c r="C52" s="311">
        <f ca="1">C31+C51</f>
        <v>52047471</v>
      </c>
      <c r="D52" s="310"/>
      <c r="E52" s="310"/>
      <c r="F52" s="310"/>
      <c r="G52" s="312"/>
    </row>
    <row r="55" spans="1:7" ht="15">
      <c r="B55" s="314" t="s">
        <v>2415</v>
      </c>
      <c r="C55" s="315"/>
    </row>
    <row r="56" spans="1:7">
      <c r="B56" s="317" t="s">
        <v>1514</v>
      </c>
      <c r="C56" s="319">
        <f ca="1">1-C57</f>
        <v>0.125</v>
      </c>
    </row>
    <row r="57" spans="1:7">
      <c r="B57" s="317" t="s">
        <v>1515</v>
      </c>
      <c r="C57" s="318">
        <f ca="1">ROUND(C51/C52,3)</f>
        <v>0.875</v>
      </c>
    </row>
  </sheetData>
  <sheetProtection password="C66D" sheet="1" objects="1" scenarios="1" formatCells="0"/>
  <mergeCells count="1">
    <mergeCell ref="G42:G44"/>
  </mergeCells>
  <phoneticPr fontId="14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M10" sqref="M10"/>
    </sheetView>
  </sheetViews>
  <sheetFormatPr defaultColWidth="6.625" defaultRowHeight="12.75"/>
  <cols>
    <col min="1" max="1" width="9.625" style="796" customWidth="1"/>
    <col min="2" max="2" width="25.625" style="948" customWidth="1"/>
    <col min="3" max="3" width="10.375" style="991" customWidth="1"/>
    <col min="4" max="4" width="9.875" style="948" customWidth="1"/>
    <col min="5" max="5" width="9.5" style="796" customWidth="1"/>
    <col min="6" max="6" width="10.125" style="948" customWidth="1"/>
    <col min="7" max="7" width="10.62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2447</v>
      </c>
      <c r="B1" s="1577"/>
      <c r="C1" s="1578"/>
      <c r="D1" s="1576"/>
      <c r="E1" s="320"/>
      <c r="F1" s="320"/>
      <c r="G1" s="1577"/>
      <c r="H1" s="320"/>
      <c r="I1" s="320"/>
      <c r="J1" s="320"/>
      <c r="K1" s="320">
        <f>MATCH(C1,'数据-取费表'!A6:A16,0)+5</f>
        <v>9</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2" customFormat="1" ht="16.5" customHeight="1">
      <c r="A4" s="949" t="s">
        <v>2450</v>
      </c>
      <c r="B4" s="950"/>
      <c r="C4" s="992">
        <f>SUM(C8:K8)</f>
        <v>0</v>
      </c>
      <c r="D4" s="950"/>
      <c r="E4" s="950"/>
      <c r="F4" s="950"/>
      <c r="G4" s="950"/>
      <c r="H4" s="950"/>
      <c r="I4" s="950"/>
      <c r="J4" s="950"/>
      <c r="K4" s="951"/>
    </row>
    <row r="5" spans="1:33" s="956" customFormat="1" ht="24.75">
      <c r="A5" s="953" t="s">
        <v>2451</v>
      </c>
      <c r="B5" s="954" t="s">
        <v>2452</v>
      </c>
      <c r="C5" s="2549" t="s">
        <v>2453</v>
      </c>
      <c r="D5" s="2549" t="s">
        <v>2454</v>
      </c>
      <c r="E5" s="2549" t="s">
        <v>2455</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2456</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2459</v>
      </c>
      <c r="B8" s="177" t="s">
        <v>2460</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2461</v>
      </c>
      <c r="B9" s="950"/>
      <c r="C9" s="950"/>
      <c r="D9" s="950"/>
      <c r="E9" s="950"/>
      <c r="F9" s="950"/>
      <c r="G9" s="950"/>
      <c r="H9" s="950"/>
      <c r="I9" s="950"/>
      <c r="J9" s="950"/>
      <c r="K9" s="951"/>
    </row>
    <row r="10" spans="1:33" s="966" customFormat="1" ht="13.5" customHeight="1">
      <c r="A10" s="953" t="s">
        <v>2462</v>
      </c>
      <c r="B10" s="8" t="s">
        <v>2463</v>
      </c>
      <c r="C10" s="962" t="s">
        <v>2464</v>
      </c>
      <c r="D10" s="963" t="s">
        <v>2465</v>
      </c>
      <c r="E10" s="963" t="s">
        <v>2466</v>
      </c>
      <c r="F10" s="963" t="s">
        <v>2467</v>
      </c>
      <c r="G10" s="8"/>
      <c r="H10" s="964"/>
      <c r="I10" s="964"/>
      <c r="J10" s="964"/>
      <c r="K10" s="965"/>
    </row>
    <row r="11" spans="1:33" s="971" customFormat="1" ht="13.5" customHeight="1">
      <c r="A11" s="967" t="s">
        <v>1334</v>
      </c>
      <c r="B11" s="968" t="s">
        <v>2468</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1335</v>
      </c>
      <c r="B12" s="968" t="s">
        <v>2469</v>
      </c>
      <c r="C12" s="24">
        <f ca="1">ROUND(C11*F12,0)</f>
        <v>0</v>
      </c>
      <c r="D12" s="969"/>
      <c r="E12" s="375"/>
      <c r="F12" s="972">
        <f>'数据-取费表'!B33</f>
        <v>0.03</v>
      </c>
      <c r="G12" s="8" t="s">
        <v>2470</v>
      </c>
      <c r="H12" s="964"/>
      <c r="I12" s="964"/>
      <c r="J12" s="964"/>
      <c r="K12" s="965"/>
    </row>
    <row r="13" spans="1:33" s="971" customFormat="1" ht="13.5" customHeight="1">
      <c r="A13" s="967" t="s">
        <v>1336</v>
      </c>
      <c r="B13" s="968" t="s">
        <v>2471</v>
      </c>
      <c r="C13" s="24">
        <f ca="1">ROUND(IF(C1="",SUMIF('数据-取费表'!C:C,"住宅",'数据-取费表'!P:P)*F13,IF(INDIRECT("'数据-取费表'!c"&amp;$K$1)="住宅",INDIRECT("'数据-取费表'!P"&amp;$K$1)*F13,0)),0)</f>
        <v>0</v>
      </c>
      <c r="D13" s="1029"/>
      <c r="E13" s="375"/>
      <c r="F13" s="972">
        <f>'数据-取费表'!B34</f>
        <v>0</v>
      </c>
      <c r="G13" s="8" t="s">
        <v>2472</v>
      </c>
      <c r="H13" s="964"/>
      <c r="I13" s="964"/>
      <c r="J13" s="964"/>
      <c r="K13" s="965"/>
    </row>
    <row r="14" spans="1:33" s="973" customFormat="1" ht="13.5" customHeight="1">
      <c r="A14" s="967" t="s">
        <v>1337</v>
      </c>
      <c r="B14" s="968" t="s">
        <v>2473</v>
      </c>
      <c r="C14" s="24">
        <f ca="1">ROUND(D14*E14*F11/10000,0)</f>
        <v>0</v>
      </c>
      <c r="D14" s="1029">
        <f ca="1">IF(C1="",'数据-汇总表'!E3,INDIRECT("'数据-取费表'!K"&amp;$K$1)+INDIRECT("'数据-取费表'!S"&amp;$K$1))</f>
        <v>11628.210000000001</v>
      </c>
      <c r="E14" s="24">
        <f>'数据-取费表'!B35</f>
        <v>200</v>
      </c>
      <c r="F14" s="972"/>
      <c r="G14" s="8" t="s">
        <v>2474</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2475</v>
      </c>
      <c r="C15" s="979">
        <f ca="1">ROUND(C11*F15,0)</f>
        <v>0</v>
      </c>
      <c r="D15" s="974"/>
      <c r="E15" s="979"/>
      <c r="F15" s="980">
        <f>'数据-取费表'!B36</f>
        <v>1.4999999999999999E-2</v>
      </c>
      <c r="G15" s="140" t="s">
        <v>2476</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2477</v>
      </c>
      <c r="C16" s="979">
        <f ca="1">SUM(C11:C15)</f>
        <v>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2478</v>
      </c>
      <c r="C17" s="24">
        <f ca="1">ROUND(D17*E17/10000,0)</f>
        <v>0</v>
      </c>
      <c r="D17" s="1029">
        <f ca="1">D14</f>
        <v>11628.210000000001</v>
      </c>
      <c r="E17" s="24">
        <f>'数据-取费表'!B32</f>
        <v>0</v>
      </c>
      <c r="F17" s="974"/>
      <c r="G17" s="140" t="s">
        <v>2479</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2480</v>
      </c>
      <c r="C18" s="24">
        <f ca="1">C19+C20-IF(C1="",'数据-取费表'!B29,IF(G18="已全部缴纳",C19+C20,H18))</f>
        <v>0</v>
      </c>
      <c r="D18" s="1029"/>
      <c r="E18" s="24"/>
      <c r="F18" s="972"/>
      <c r="G18" s="2551"/>
      <c r="H18" s="1573"/>
      <c r="I18" s="2552" t="s">
        <v>2481</v>
      </c>
      <c r="J18" s="975"/>
      <c r="K18" s="976"/>
    </row>
    <row r="19" spans="1:33" s="971" customFormat="1" ht="13.5" customHeight="1">
      <c r="A19" s="967" t="s">
        <v>805</v>
      </c>
      <c r="B19" s="968" t="s">
        <v>2482</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806</v>
      </c>
      <c r="B20" s="968" t="s">
        <v>2483</v>
      </c>
      <c r="C20" s="24">
        <f ca="1">ROUND(D20*E20/10000,0)</f>
        <v>233</v>
      </c>
      <c r="D20" s="1029">
        <f ca="1">IF(C1="",'数据-汇总表'!E6,IF(INDIRECT("'数据-取费表'!c"&amp;$K$1)="住宅",INDIRECT("'数据-取费表'!s"&amp;$K$1),INDIRECT("'数据-取费表'!k"&amp;$K$1)+INDIRECT("'数据-取费表'!s"&amp;$K$1)))</f>
        <v>11628.210000000001</v>
      </c>
      <c r="E20" s="24">
        <f>'数据-取费表'!B28</f>
        <v>200</v>
      </c>
      <c r="F20" s="972"/>
      <c r="G20" s="15"/>
      <c r="H20" s="977"/>
      <c r="I20" s="977"/>
      <c r="J20" s="977"/>
      <c r="K20" s="978"/>
    </row>
    <row r="21" spans="1:33" s="971" customFormat="1" ht="13.5" customHeight="1">
      <c r="A21" s="957" t="s">
        <v>802</v>
      </c>
      <c r="B21" s="981" t="s">
        <v>2484</v>
      </c>
      <c r="C21" s="982">
        <f ca="1">C16+C17+C18</f>
        <v>0</v>
      </c>
      <c r="D21" s="983"/>
      <c r="E21" s="325"/>
      <c r="F21" s="325"/>
      <c r="G21" s="140" t="s">
        <v>2485</v>
      </c>
      <c r="H21" s="975"/>
      <c r="I21" s="975"/>
      <c r="J21" s="975"/>
      <c r="K21" s="976"/>
    </row>
    <row r="22" spans="1:33" s="971" customFormat="1" ht="13.5" customHeight="1">
      <c r="A22" s="957" t="s">
        <v>2457</v>
      </c>
      <c r="B22" s="981" t="s">
        <v>2486</v>
      </c>
      <c r="C22" s="982">
        <f ca="1">ROUND(C21*F22,0)</f>
        <v>0</v>
      </c>
      <c r="D22" s="325"/>
      <c r="E22" s="325"/>
      <c r="F22" s="984">
        <f>'数据-取费表'!B37</f>
        <v>0.02</v>
      </c>
      <c r="G22" s="8" t="s">
        <v>2487</v>
      </c>
      <c r="H22" s="964"/>
      <c r="I22" s="964"/>
      <c r="J22" s="964"/>
      <c r="K22" s="965"/>
    </row>
    <row r="23" spans="1:33" s="971" customFormat="1" ht="13.5" customHeight="1">
      <c r="A23" s="957" t="s">
        <v>2459</v>
      </c>
      <c r="B23" s="981" t="s">
        <v>2488</v>
      </c>
      <c r="C23" s="982">
        <f ca="1">ROUND(C4*F23*F11,0)</f>
        <v>0</v>
      </c>
      <c r="D23" s="325"/>
      <c r="E23" s="325"/>
      <c r="F23" s="984">
        <f>'数据-取费表'!B38</f>
        <v>0.03</v>
      </c>
      <c r="G23" s="8" t="s">
        <v>2489</v>
      </c>
      <c r="H23" s="964"/>
      <c r="I23" s="964"/>
      <c r="J23" s="964"/>
      <c r="K23" s="965"/>
    </row>
    <row r="24" spans="1:33" s="971" customFormat="1" ht="13.5" customHeight="1">
      <c r="A24" s="957" t="s">
        <v>2490</v>
      </c>
      <c r="B24" s="981" t="s">
        <v>2491</v>
      </c>
      <c r="C24" s="324">
        <f>ROUND(F24/(1+'数据-取费表'!C42),4)</f>
        <v>2.9000000000000001E-2</v>
      </c>
      <c r="D24" s="325" t="s">
        <v>15</v>
      </c>
      <c r="E24" s="325"/>
      <c r="F24" s="984">
        <f>'数据-取费表'!B48+'数据-取费表'!B49</f>
        <v>3.0499999999999999E-2</v>
      </c>
      <c r="G24" s="8" t="s">
        <v>2492</v>
      </c>
      <c r="H24" s="986"/>
      <c r="I24" s="986"/>
      <c r="J24" s="986"/>
      <c r="K24" s="987"/>
    </row>
    <row r="25" spans="1:33" s="971" customFormat="1" ht="13.5" customHeight="1">
      <c r="A25" s="957" t="s">
        <v>2493</v>
      </c>
      <c r="B25" s="983" t="s">
        <v>2494</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2495</v>
      </c>
      <c r="C26" s="1353">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2496</v>
      </c>
      <c r="C27" s="1354">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5"/>
      <c r="I27" s="975"/>
      <c r="J27" s="975"/>
      <c r="K27" s="976"/>
    </row>
    <row r="28" spans="1:33" s="333" customFormat="1" ht="13.5" customHeight="1">
      <c r="A28" s="957" t="s">
        <v>2497</v>
      </c>
      <c r="B28" s="2554" t="s">
        <v>2498</v>
      </c>
      <c r="C28" s="331">
        <f ca="1">C30</f>
        <v>0</v>
      </c>
      <c r="D28" s="324">
        <f ca="1">C29</f>
        <v>0</v>
      </c>
      <c r="E28" s="326" t="s">
        <v>15</v>
      </c>
      <c r="F28" s="332">
        <f ca="1">IF(C1="",'数据-取费表'!Q16,INDIRECT("'数据-取费表'!q"&amp;$K$1))</f>
        <v>0.15</v>
      </c>
      <c r="G28" s="985"/>
      <c r="H28" s="986"/>
      <c r="I28" s="986"/>
      <c r="J28" s="986"/>
      <c r="K28" s="987"/>
    </row>
    <row r="29" spans="1:33" s="335" customFormat="1" ht="13.5" customHeight="1">
      <c r="A29" s="967" t="s">
        <v>803</v>
      </c>
      <c r="B29" s="990" t="s">
        <v>2499</v>
      </c>
      <c r="C29" s="328">
        <f ca="1">ROUND((1+C24)*F28*'数据-取费表'!B24/'数据-取费表'!B20,4)</f>
        <v>0</v>
      </c>
      <c r="D29" s="328"/>
      <c r="E29" s="329"/>
      <c r="F29" s="334"/>
      <c r="G29" s="140" t="s">
        <v>2500</v>
      </c>
      <c r="H29" s="975"/>
      <c r="I29" s="975"/>
      <c r="J29" s="975"/>
      <c r="K29" s="976"/>
    </row>
    <row r="30" spans="1:33" s="335" customFormat="1" ht="13.5" customHeight="1">
      <c r="A30" s="967" t="s">
        <v>804</v>
      </c>
      <c r="B30" s="990" t="s">
        <v>2501</v>
      </c>
      <c r="C30" s="336">
        <f ca="1">ROUND((C21+C22+C23)*F28,0)</f>
        <v>0</v>
      </c>
      <c r="D30" s="328"/>
      <c r="E30" s="329"/>
      <c r="F30" s="334"/>
      <c r="G30" s="140"/>
      <c r="H30" s="975"/>
      <c r="I30" s="975"/>
      <c r="J30" s="975"/>
      <c r="K30" s="976"/>
    </row>
    <row r="31" spans="1:33" s="971" customFormat="1" ht="13.5" customHeight="1" thickBot="1">
      <c r="A31" s="2555" t="s">
        <v>2502</v>
      </c>
      <c r="B31" s="1001" t="s">
        <v>2503</v>
      </c>
      <c r="C31" s="1002">
        <f>ROUND(C4*F31/(1+'数据-取费表'!C42),0)</f>
        <v>0</v>
      </c>
      <c r="D31" s="1003"/>
      <c r="E31" s="1004"/>
      <c r="F31" s="1005">
        <f>'数据-取费表'!B41</f>
        <v>5.6000000000000001E-2</v>
      </c>
      <c r="G31" s="1006" t="s">
        <v>2504</v>
      </c>
      <c r="H31" s="1007"/>
      <c r="I31" s="1007"/>
      <c r="J31" s="1007"/>
      <c r="K31" s="1008"/>
    </row>
    <row r="32" spans="1:33" s="966" customFormat="1" ht="13.5" customHeight="1" thickBot="1">
      <c r="A32" s="996" t="s">
        <v>2505</v>
      </c>
      <c r="B32" s="997"/>
      <c r="C32" s="998">
        <f ca="1">ROUND((C4-C21-C22-C23-C25-C28-C31)/(1+C24+D25+D28),0)</f>
        <v>0</v>
      </c>
      <c r="D32" s="997"/>
      <c r="E32" s="997"/>
      <c r="F32" s="997"/>
      <c r="G32" s="999" t="s">
        <v>2506</v>
      </c>
      <c r="H32" s="997"/>
      <c r="I32" s="997"/>
      <c r="J32" s="997"/>
      <c r="K32" s="1000"/>
    </row>
    <row r="34" ht="12.75" customHeight="1"/>
  </sheetData>
  <sheetProtection password="C66D"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sheetPr>
  <dimension ref="A1:AI512"/>
  <sheetViews>
    <sheetView view="pageBreakPreview" zoomScaleSheetLayoutView="100" workbookViewId="0">
      <selection activeCell="G27" sqref="G27"/>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20" t="s">
        <v>2106</v>
      </c>
      <c r="B1" s="2411"/>
      <c r="C1" s="2412" t="s">
        <v>1377</v>
      </c>
      <c r="D1" s="2411"/>
      <c r="E1" s="2411"/>
      <c r="F1" s="2413" t="s">
        <v>2107</v>
      </c>
      <c r="G1" s="2066" t="s">
        <v>3045</v>
      </c>
      <c r="H1" s="2414" t="str">
        <f>IF(G1="现房","——","估价对象范围")</f>
        <v>——</v>
      </c>
      <c r="I1" s="2415" t="s">
        <v>3066</v>
      </c>
    </row>
    <row r="2" spans="1:12" ht="21.75" customHeight="1" thickBot="1">
      <c r="A2" s="3201" t="str">
        <f>项目基本情况!S2</f>
        <v>北京市海淀区西四环北路160号房地产</v>
      </c>
      <c r="B2" s="3202"/>
      <c r="C2" s="3202"/>
      <c r="D2" s="3202"/>
      <c r="E2" s="3202"/>
      <c r="F2" s="3202"/>
      <c r="G2" s="3202"/>
      <c r="H2" s="3202"/>
      <c r="I2" s="3203"/>
    </row>
    <row r="3" spans="1:12" ht="12.75">
      <c r="A3" s="3205" t="s">
        <v>2108</v>
      </c>
      <c r="B3" s="3206"/>
      <c r="C3" s="3206"/>
      <c r="D3" s="3206"/>
      <c r="E3" s="3206"/>
      <c r="F3" s="3206"/>
      <c r="G3" s="3206"/>
      <c r="H3" s="3206"/>
      <c r="I3" s="3206"/>
    </row>
    <row r="4" spans="1:12" ht="14.25">
      <c r="A4" s="2418" t="s">
        <v>2109</v>
      </c>
      <c r="B4" s="2419" t="s">
        <v>2110</v>
      </c>
      <c r="C4" s="2420" t="s">
        <v>3655</v>
      </c>
      <c r="D4" s="3025" t="s">
        <v>3071</v>
      </c>
      <c r="E4" s="3198" t="s">
        <v>2111</v>
      </c>
      <c r="F4" s="3199"/>
      <c r="G4" s="3199"/>
      <c r="H4" s="3199"/>
      <c r="I4" s="3207"/>
      <c r="K4" s="2421" t="str">
        <f>IF(ISNUMBER(FIND("比较法",'结果表 (1)'!C4)),"比较法",IF(ISNUMBER(FIND("成本法",'结果表 (1)'!C4)),"成本法",IF(ISNUMBER(FIND("假设开发法",'结果表 (1)'!C4)),"假设开发法",IF(ISNUMBER(FIND("收益法",'结果表 (1)'!C4)),"收益法","基准地价系数修正法"))))</f>
        <v>比较法</v>
      </c>
      <c r="L4" s="2421" t="str">
        <f>IF(ISNUMBER(FIND("比较法",'结果表 (1)'!D4)),"比较法",IF(ISNUMBER(FIND("成本法",'结果表 (1)'!D4)),"成本法",IF(ISNUMBER(FIND("假设开发法",'结果表 (1)'!D4)),"假设开发法",IF(ISNUMBER(FIND("收益法",'结果表 (1)'!D4)),"收益法","基准地价系数修正法"))))</f>
        <v>收益法</v>
      </c>
    </row>
    <row r="5" spans="1:12" ht="12.75">
      <c r="A5" s="3181" t="s">
        <v>2112</v>
      </c>
      <c r="B5" s="3106">
        <v>25</v>
      </c>
      <c r="C5" s="3184"/>
      <c r="D5" s="3204"/>
      <c r="E5" s="140" t="s">
        <v>2113</v>
      </c>
      <c r="F5" s="2422"/>
      <c r="G5" s="2422"/>
      <c r="H5" s="2422"/>
      <c r="I5" s="1827"/>
    </row>
    <row r="6" spans="1:12" ht="12.75">
      <c r="A6" s="3181"/>
      <c r="B6" s="3106"/>
      <c r="C6" s="3185"/>
      <c r="D6" s="3204"/>
      <c r="E6" s="140" t="s">
        <v>2114</v>
      </c>
      <c r="F6" s="2422"/>
      <c r="G6" s="2422"/>
      <c r="H6" s="2422"/>
      <c r="I6" s="1827"/>
    </row>
    <row r="7" spans="1:12" ht="12.75">
      <c r="A7" s="3181"/>
      <c r="B7" s="3106"/>
      <c r="C7" s="3186"/>
      <c r="D7" s="3204"/>
      <c r="E7" s="140" t="s">
        <v>2115</v>
      </c>
      <c r="F7" s="2422"/>
      <c r="G7" s="2422"/>
      <c r="H7" s="2422"/>
      <c r="I7" s="1827"/>
    </row>
    <row r="8" spans="1:12" ht="12.75">
      <c r="A8" s="3181" t="s">
        <v>2116</v>
      </c>
      <c r="B8" s="3106">
        <v>15</v>
      </c>
      <c r="C8" s="3184"/>
      <c r="D8" s="3204"/>
      <c r="E8" s="140" t="s">
        <v>2117</v>
      </c>
      <c r="F8" s="2422"/>
      <c r="G8" s="2422"/>
      <c r="H8" s="2422"/>
      <c r="I8" s="1827"/>
    </row>
    <row r="9" spans="1:12" ht="12.75">
      <c r="A9" s="3181"/>
      <c r="B9" s="3106"/>
      <c r="C9" s="3186"/>
      <c r="D9" s="3204"/>
      <c r="E9" s="140" t="s">
        <v>2118</v>
      </c>
      <c r="F9" s="2422"/>
      <c r="G9" s="2422"/>
      <c r="H9" s="2422"/>
      <c r="I9" s="1827"/>
    </row>
    <row r="10" spans="1:12" ht="12.75">
      <c r="A10" s="3181" t="s">
        <v>2119</v>
      </c>
      <c r="B10" s="3106">
        <v>15</v>
      </c>
      <c r="C10" s="3184"/>
      <c r="D10" s="3204"/>
      <c r="E10" s="140" t="s">
        <v>2120</v>
      </c>
      <c r="F10" s="2422"/>
      <c r="G10" s="2422"/>
      <c r="H10" s="2422"/>
      <c r="I10" s="1827"/>
    </row>
    <row r="11" spans="1:12" ht="12.75">
      <c r="A11" s="3181"/>
      <c r="B11" s="3106"/>
      <c r="C11" s="3186"/>
      <c r="D11" s="3204"/>
      <c r="E11" s="140" t="s">
        <v>2121</v>
      </c>
      <c r="F11" s="2422"/>
      <c r="G11" s="2422"/>
      <c r="H11" s="2422"/>
      <c r="I11" s="1827"/>
    </row>
    <row r="12" spans="1:12" ht="12.75">
      <c r="A12" s="3181" t="s">
        <v>2122</v>
      </c>
      <c r="B12" s="3106">
        <v>15</v>
      </c>
      <c r="C12" s="3184"/>
      <c r="D12" s="3204"/>
      <c r="E12" s="140" t="s">
        <v>2123</v>
      </c>
      <c r="F12" s="2422"/>
      <c r="G12" s="2422"/>
      <c r="H12" s="2422"/>
      <c r="I12" s="1827"/>
    </row>
    <row r="13" spans="1:12" ht="12.75">
      <c r="A13" s="3181"/>
      <c r="B13" s="3106"/>
      <c r="C13" s="3186"/>
      <c r="D13" s="3204"/>
      <c r="E13" s="140" t="s">
        <v>2124</v>
      </c>
      <c r="F13" s="2422"/>
      <c r="G13" s="2422"/>
      <c r="H13" s="2422"/>
      <c r="I13" s="1827"/>
    </row>
    <row r="14" spans="1:12" ht="12.75">
      <c r="A14" s="3181" t="s">
        <v>2125</v>
      </c>
      <c r="B14" s="3106">
        <v>30</v>
      </c>
      <c r="C14" s="3184">
        <v>7</v>
      </c>
      <c r="D14" s="3204">
        <v>3</v>
      </c>
      <c r="E14" s="140" t="s">
        <v>2126</v>
      </c>
      <c r="F14" s="2422"/>
      <c r="G14" s="2422"/>
      <c r="H14" s="2422"/>
      <c r="I14" s="1827"/>
    </row>
    <row r="15" spans="1:12" ht="12.75">
      <c r="A15" s="3181"/>
      <c r="B15" s="3106"/>
      <c r="C15" s="3185"/>
      <c r="D15" s="3204"/>
      <c r="E15" s="140" t="s">
        <v>2127</v>
      </c>
      <c r="F15" s="2422"/>
      <c r="G15" s="2422"/>
      <c r="H15" s="2422"/>
      <c r="I15" s="1827"/>
    </row>
    <row r="16" spans="1:12" ht="12.75">
      <c r="A16" s="3181"/>
      <c r="B16" s="3106"/>
      <c r="C16" s="3186"/>
      <c r="D16" s="3204"/>
      <c r="E16" s="140" t="s">
        <v>2128</v>
      </c>
      <c r="F16" s="2422"/>
      <c r="G16" s="2422"/>
      <c r="H16" s="2422"/>
      <c r="I16" s="1827"/>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2104.29</v>
      </c>
      <c r="M18" s="2421">
        <f>IF(C1="",'数据-汇总表'!E3,SUMIF(项目类型,C1,'数据-汇总表'!E17:E26))</f>
        <v>2104.29</v>
      </c>
    </row>
    <row r="19" spans="1:35" ht="15">
      <c r="A19" s="2427" t="s">
        <v>2134</v>
      </c>
      <c r="B19" s="2428" t="s">
        <v>2135</v>
      </c>
      <c r="C19" s="143">
        <f ca="1">SUMIF(INDIRECT("'"&amp;C4&amp;"'"&amp;"!A:A"),'结果表 (1)'!B19,INDIRECT("'"&amp;C4&amp;"'"&amp;"!B:B"))</f>
        <v>10558</v>
      </c>
      <c r="D19" s="144">
        <f ca="1">SUMIF(INDIRECT("'"&amp;D4&amp;"'"&amp;"!A:A"),'结果表 (1)'!B19,INDIRECT("'"&amp;D4&amp;"'"&amp;"!B:B"))</f>
        <v>9800</v>
      </c>
      <c r="E19" s="2427" t="s">
        <v>2136</v>
      </c>
      <c r="F19" s="2428" t="s">
        <v>2135</v>
      </c>
      <c r="G19" s="145">
        <f ca="1">ROUND(C19*$C$18+D19*$D$18,0)</f>
        <v>10331</v>
      </c>
      <c r="H19" s="2429" t="s">
        <v>2137</v>
      </c>
      <c r="I19" s="138"/>
      <c r="K19" s="2421" t="s">
        <v>2138</v>
      </c>
      <c r="L19" s="2421">
        <f>IF(C1="",'数据-汇总表'!D3,SUMIF(项目类型,C1,'数据-汇总表'!D17:D26)+SUMIF(项目类型,C1,'数据-汇总表'!H17:H27))</f>
        <v>174.99</v>
      </c>
      <c r="M19" s="2421">
        <f>IF(C1="",'数据-汇总表'!D3,SUMIF(项目类型,C1,'数据-汇总表'!D17:D26))</f>
        <v>174.99</v>
      </c>
    </row>
    <row r="20" spans="1:35" ht="15">
      <c r="A20" s="2430"/>
      <c r="B20" s="1243" t="s">
        <v>2139</v>
      </c>
      <c r="C20" s="146">
        <f ca="1">SUMIF(INDIRECT("'"&amp;C4&amp;"'"&amp;"!A:A"),'结果表 (1)'!B20,INDIRECT("'"&amp;C4&amp;"'"&amp;"!B:B"))</f>
        <v>50173</v>
      </c>
      <c r="D20" s="147">
        <f ca="1">SUMIF(INDIRECT("'"&amp;D4&amp;"'"&amp;"!A:A"),'结果表 (1)'!B20,INDIRECT("'"&amp;D4&amp;"'"&amp;"!B:B"))</f>
        <v>46572</v>
      </c>
      <c r="E20" s="2430"/>
      <c r="F20" s="1243" t="s">
        <v>2139</v>
      </c>
      <c r="G20" s="148">
        <f ca="1">ROUND(C20*$C$18+D20*$D$18,0)</f>
        <v>49093</v>
      </c>
      <c r="H20" s="976" t="s">
        <v>2140</v>
      </c>
      <c r="I20" s="138"/>
    </row>
    <row r="21" spans="1:35" ht="15" customHeight="1" thickBot="1">
      <c r="A21" s="996"/>
      <c r="B21" s="2431" t="s">
        <v>2141</v>
      </c>
      <c r="C21" s="787">
        <f ca="1">ROUND(C19*10000/L19,0)</f>
        <v>603349</v>
      </c>
      <c r="D21" s="788">
        <f ca="1">ROUND(D19*10000/L19,0)</f>
        <v>560032</v>
      </c>
      <c r="E21" s="996"/>
      <c r="F21" s="2431" t="s">
        <v>2141</v>
      </c>
      <c r="G21" s="149">
        <f ca="1">ROUND(G19*10000/L19,0)</f>
        <v>590377</v>
      </c>
      <c r="H21" s="2432" t="s">
        <v>2140</v>
      </c>
      <c r="I21" s="138"/>
    </row>
    <row r="22" spans="1:35" ht="15" thickBot="1">
      <c r="A22" s="2275" t="s">
        <v>2142</v>
      </c>
      <c r="B22" s="2433"/>
      <c r="C22" s="2434"/>
      <c r="D22" s="789">
        <f ca="1">IF(C19&lt;D19,D19/C19-1,C19/D19-1)</f>
        <v>7.7346938775510132E-2</v>
      </c>
      <c r="E22" s="138"/>
      <c r="F22" s="138"/>
      <c r="G22" s="138"/>
      <c r="H22" s="138"/>
      <c r="I22" s="138"/>
    </row>
    <row r="23" spans="1:35" ht="13.5" thickBot="1">
      <c r="A23" s="2411"/>
      <c r="B23" s="2411"/>
      <c r="C23" s="2411"/>
      <c r="D23" s="2411"/>
      <c r="E23" s="138"/>
      <c r="F23" s="138"/>
      <c r="G23" s="138"/>
      <c r="H23" s="138"/>
      <c r="I23" s="138"/>
    </row>
    <row r="24" spans="1:35" ht="14.25">
      <c r="A24" s="3175" t="s">
        <v>2143</v>
      </c>
      <c r="B24" s="2428" t="s">
        <v>2135</v>
      </c>
      <c r="C24" s="145">
        <f>IF(B30=0,0,D30)</f>
        <v>0</v>
      </c>
      <c r="D24" s="2435"/>
      <c r="E24" s="138"/>
      <c r="F24" s="138"/>
      <c r="G24" s="138"/>
      <c r="H24" s="138"/>
      <c r="I24" s="138"/>
    </row>
    <row r="25" spans="1:35" ht="14.25">
      <c r="A25" s="3176"/>
      <c r="B25" s="1243" t="s">
        <v>2139</v>
      </c>
      <c r="C25" s="150">
        <f>IF(B30=0,0,C30)</f>
        <v>0</v>
      </c>
      <c r="D25" s="2436"/>
      <c r="E25" s="138"/>
      <c r="F25" s="138"/>
      <c r="G25" s="138">
        <f>'比较法-办公'!B2+'比较法-商业'!B2+'比较法-车位'!B2</f>
        <v>49281</v>
      </c>
      <c r="H25" s="138">
        <f ca="1">D19</f>
        <v>9800</v>
      </c>
      <c r="I25" s="138"/>
    </row>
    <row r="26" spans="1:35" ht="13.5" customHeight="1">
      <c r="A26" s="2437" t="s">
        <v>2144</v>
      </c>
      <c r="B26" s="151" t="s">
        <v>2145</v>
      </c>
      <c r="C26" s="151" t="s">
        <v>2146</v>
      </c>
      <c r="D26" s="152" t="s">
        <v>2147</v>
      </c>
      <c r="E26" s="138"/>
      <c r="F26" s="138"/>
      <c r="G26" s="138">
        <v>0.7</v>
      </c>
      <c r="H26" s="138">
        <f>1-G26</f>
        <v>0.30000000000000004</v>
      </c>
      <c r="I26" s="138"/>
    </row>
    <row r="27" spans="1:35" ht="14.25">
      <c r="A27" s="2437"/>
      <c r="B27" s="151">
        <v>0</v>
      </c>
      <c r="C27" s="151">
        <v>0</v>
      </c>
      <c r="D27" s="152">
        <f>ROUND(C27*B27/10000,0)</f>
        <v>0</v>
      </c>
      <c r="E27" s="138"/>
      <c r="F27" s="138"/>
      <c r="G27" s="138"/>
      <c r="H27" s="138">
        <f ca="1">G25*G26+H25*H26</f>
        <v>37436.699999999997</v>
      </c>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2148</v>
      </c>
      <c r="B30" s="151"/>
      <c r="C30" s="151"/>
      <c r="D30" s="151"/>
      <c r="E30" s="2920" t="s">
        <v>3028</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2149</v>
      </c>
      <c r="B32" s="2441"/>
      <c r="C32" s="153">
        <f ca="1">IF(D32="总价",G19-C24,G20-C25)</f>
        <v>10331</v>
      </c>
      <c r="D32" s="2442" t="s">
        <v>2150</v>
      </c>
      <c r="E32" s="138"/>
      <c r="F32" s="138"/>
      <c r="G32" s="138"/>
      <c r="H32" s="138"/>
      <c r="I32" s="138"/>
    </row>
    <row r="33" spans="1:15" ht="15">
      <c r="A33" s="953" t="s">
        <v>2151</v>
      </c>
      <c r="B33" s="2443"/>
      <c r="C33" s="2444" t="s">
        <v>3653</v>
      </c>
      <c r="D33" s="2445" t="s">
        <v>3056</v>
      </c>
      <c r="E33" s="2446" t="s">
        <v>2152</v>
      </c>
      <c r="F33" s="2997" t="str">
        <f>IF(D32="楼面单价","取值（单价）","取值（总价）")</f>
        <v>取值（总价）</v>
      </c>
      <c r="G33" s="138"/>
      <c r="H33" s="138"/>
      <c r="I33" s="138"/>
    </row>
    <row r="34" spans="1:15" ht="15">
      <c r="A34" s="2448"/>
      <c r="B34" s="2449" t="s">
        <v>2153</v>
      </c>
      <c r="C34" s="157">
        <f ca="1">IF(C33="自定义",F34,C32-C35)</f>
        <v>10331</v>
      </c>
      <c r="D34" s="1051">
        <f ca="1">IF(C33="自定义",ROUND(C34/C32,3),IF(C33="收益比率",SUMIF(INDIRECT("'"&amp;D33&amp;"'"&amp;"!b:b"),"土地收益比率",INDIRECT("'"&amp;D33&amp;"'"&amp;"!c:c")),SUMIF(INDIRECT("'"&amp;D33&amp;"'"&amp;"!b:b"),"土地成本比率",INDIRECT("'"&amp;D33&amp;"'"&amp;"!c:c"))))</f>
        <v>0</v>
      </c>
      <c r="E34" s="2450" t="s">
        <v>2154</v>
      </c>
      <c r="F34" s="1732"/>
      <c r="G34" s="138"/>
      <c r="H34" s="138"/>
      <c r="I34" s="138"/>
    </row>
    <row r="35" spans="1:15" ht="15.75" thickBot="1">
      <c r="A35" s="2451"/>
      <c r="B35" s="2452" t="s">
        <v>2155</v>
      </c>
      <c r="C35" s="1437">
        <f ca="1">IF(C33="自定义",F35,ROUND(C32*D35,0))</f>
        <v>0</v>
      </c>
      <c r="D35" s="1438">
        <f ca="1">IF(C33="自定义",ROUND(C35/C32,3),IF(C33="收益比率",SUMIF(INDIRECT("'"&amp;D33&amp;"'"&amp;"!b:b"),"建筑物收益比率",INDIRECT("'"&amp;D33&amp;"'"&amp;"!c:c")),SUMIF(INDIRECT("'"&amp;D33&amp;"'"&amp;"!b:b"),"建筑物成本比率",INDIRECT("'"&amp;D33&amp;"'"&amp;"!c:c"))))</f>
        <v>0</v>
      </c>
      <c r="E35" s="2453" t="s">
        <v>2156</v>
      </c>
      <c r="F35" s="163"/>
      <c r="G35" s="138"/>
      <c r="H35" s="138"/>
      <c r="I35" s="138"/>
    </row>
    <row r="36" spans="1:15" ht="15.75" thickBot="1">
      <c r="A36" s="3193" t="s">
        <v>2157</v>
      </c>
      <c r="B36" s="2454" t="s">
        <v>2158</v>
      </c>
      <c r="C36" s="154"/>
      <c r="D36" s="2455"/>
      <c r="E36" s="2456"/>
      <c r="F36" s="2457"/>
      <c r="G36" s="138"/>
      <c r="H36" s="138"/>
      <c r="I36" s="138"/>
    </row>
    <row r="37" spans="1:15" ht="15.75" thickBot="1">
      <c r="A37" s="3194"/>
      <c r="B37" s="2261" t="s">
        <v>2159</v>
      </c>
      <c r="C37" s="156"/>
      <c r="D37" s="1388"/>
      <c r="E37" s="1388"/>
      <c r="F37" s="2457"/>
      <c r="G37" s="138"/>
      <c r="H37" s="138"/>
      <c r="I37" s="138"/>
    </row>
    <row r="38" spans="1:15" ht="15.75" thickBot="1">
      <c r="A38" s="3195"/>
      <c r="B38" s="2458" t="s">
        <v>2160</v>
      </c>
      <c r="C38" s="725"/>
      <c r="D38" s="2459" t="s">
        <v>2161</v>
      </c>
      <c r="E38" s="1388"/>
      <c r="F38" s="2457"/>
      <c r="G38" s="138"/>
      <c r="H38" s="138"/>
      <c r="I38" s="138"/>
    </row>
    <row r="39" spans="1:15" ht="15">
      <c r="A39" s="2430" t="s">
        <v>2162</v>
      </c>
      <c r="B39" s="2460" t="s">
        <v>2145</v>
      </c>
      <c r="C39" s="2461" t="s">
        <v>2146</v>
      </c>
      <c r="D39" s="2461" t="s">
        <v>2165</v>
      </c>
      <c r="E39" s="2462" t="s">
        <v>2147</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172" t="s">
        <v>2171</v>
      </c>
      <c r="B45" s="3173"/>
      <c r="C45" s="3174"/>
      <c r="D45" s="164">
        <f ca="1">ROUND(H101*F45,0)</f>
        <v>10331</v>
      </c>
      <c r="E45" s="165" t="s">
        <v>2172</v>
      </c>
      <c r="F45" s="166">
        <v>1</v>
      </c>
      <c r="G45" s="167" t="s">
        <v>2173</v>
      </c>
      <c r="H45" s="138"/>
      <c r="I45" s="138"/>
      <c r="J45" s="3232" t="s">
        <v>2174</v>
      </c>
      <c r="K45" s="3232"/>
      <c r="L45" s="3232"/>
      <c r="M45" s="3232"/>
      <c r="N45" s="3232"/>
      <c r="O45" s="3232"/>
    </row>
    <row r="46" spans="1:15" ht="14.25" hidden="1" customHeight="1">
      <c r="A46" s="3169" t="s">
        <v>2175</v>
      </c>
      <c r="B46" s="3170"/>
      <c r="C46" s="3170"/>
      <c r="D46" s="3170"/>
      <c r="E46" s="3170"/>
      <c r="F46" s="3170"/>
      <c r="G46" s="3171"/>
      <c r="H46" s="2473"/>
      <c r="I46" s="168"/>
      <c r="J46" s="3002">
        <v>1</v>
      </c>
      <c r="K46" s="3232" t="s">
        <v>2176</v>
      </c>
      <c r="L46" s="3232"/>
      <c r="M46" s="3252"/>
      <c r="N46" s="3252"/>
      <c r="O46" s="3252"/>
    </row>
    <row r="47" spans="1:15" ht="12" hidden="1" customHeight="1">
      <c r="A47" s="169" t="s">
        <v>2177</v>
      </c>
      <c r="B47" s="170"/>
      <c r="C47" s="171"/>
      <c r="D47" s="172" t="s">
        <v>2178</v>
      </c>
      <c r="E47" s="24" t="s">
        <v>2179</v>
      </c>
      <c r="F47" s="173" t="s">
        <v>2180</v>
      </c>
      <c r="G47" s="174" t="s">
        <v>2181</v>
      </c>
      <c r="H47" s="2473"/>
      <c r="I47" s="168"/>
      <c r="J47" s="3002">
        <v>2</v>
      </c>
      <c r="K47" s="3232" t="s">
        <v>2182</v>
      </c>
      <c r="L47" s="3232"/>
      <c r="M47" s="3253">
        <f>'数据-取费表'!B2</f>
        <v>43185</v>
      </c>
      <c r="N47" s="3253"/>
      <c r="O47" s="3253"/>
    </row>
    <row r="48" spans="1:15" ht="25.5" hidden="1">
      <c r="A48" s="3200" t="s">
        <v>2183</v>
      </c>
      <c r="B48" s="3183"/>
      <c r="C48" s="3183"/>
      <c r="D48" s="140">
        <f>IF(H48="情况1",0,IF(H48="情况2",D52,IF(H48="情况3",D53,IF(H48="情况4",D54))))</f>
        <v>0</v>
      </c>
      <c r="E48" s="3011" t="str">
        <f>IF(H48="情况4","(销售额-原购置价)×税（费）率","销售额×税（费）率")</f>
        <v>销售额×税（费）率</v>
      </c>
      <c r="F48" s="175" t="str">
        <f>IF(H48="情况1","免征",'数据-取费表'!B41)</f>
        <v>免征</v>
      </c>
      <c r="G48" s="2474" t="s">
        <v>2184</v>
      </c>
      <c r="H48" s="2475" t="s">
        <v>2185</v>
      </c>
      <c r="I48" s="2473"/>
      <c r="J48" s="3002">
        <v>3</v>
      </c>
      <c r="K48" s="3232" t="s">
        <v>2186</v>
      </c>
      <c r="L48" s="3232"/>
      <c r="M48" s="3254">
        <f ca="1">H101</f>
        <v>10331</v>
      </c>
      <c r="N48" s="3254"/>
      <c r="O48" s="3254"/>
    </row>
    <row r="49" spans="1:35" ht="25.5" hidden="1" customHeight="1">
      <c r="A49" s="176" t="s">
        <v>2187</v>
      </c>
      <c r="B49" s="3168" t="s">
        <v>2188</v>
      </c>
      <c r="C49" s="3168"/>
      <c r="D49" s="177">
        <v>0</v>
      </c>
      <c r="E49" s="23" t="s">
        <v>2189</v>
      </c>
      <c r="F49" s="28" t="s">
        <v>34</v>
      </c>
      <c r="G49" s="3238"/>
      <c r="H49" s="138"/>
      <c r="I49" s="2476"/>
      <c r="J49" s="3002">
        <v>4</v>
      </c>
      <c r="K49" s="3232" t="str">
        <f>IF(项目基本情况!E8="房地产抵押价值","房地产抵押价值","抵押担保权已注销时的房地产抵押价值")</f>
        <v>房地产抵押价值</v>
      </c>
      <c r="L49" s="3232"/>
      <c r="M49" s="3254">
        <f ca="1">IF(项目基本情况!E8="房地产抵押价值",H107,H109)</f>
        <v>10331</v>
      </c>
      <c r="N49" s="3254"/>
      <c r="O49" s="3254"/>
    </row>
    <row r="50" spans="1:35" ht="25.5" hidden="1" customHeight="1">
      <c r="A50" s="178"/>
      <c r="B50" s="3168" t="s">
        <v>2190</v>
      </c>
      <c r="C50" s="3168"/>
      <c r="D50" s="179"/>
      <c r="E50" s="31"/>
      <c r="F50" s="180"/>
      <c r="G50" s="3239"/>
      <c r="H50" s="138"/>
      <c r="I50" s="2476"/>
      <c r="J50" s="3232" t="s">
        <v>2191</v>
      </c>
      <c r="K50" s="3232"/>
      <c r="L50" s="3232"/>
      <c r="M50" s="3232"/>
      <c r="N50" s="3232"/>
      <c r="O50" s="3232"/>
    </row>
    <row r="51" spans="1:35" ht="12" hidden="1" customHeight="1">
      <c r="A51" s="181"/>
      <c r="B51" s="3168" t="s">
        <v>2192</v>
      </c>
      <c r="C51" s="3168"/>
      <c r="D51" s="182"/>
      <c r="E51" s="30"/>
      <c r="F51" s="180"/>
      <c r="G51" s="3240"/>
      <c r="H51" s="138"/>
      <c r="I51" s="2476"/>
      <c r="J51" s="2999" t="s">
        <v>2193</v>
      </c>
      <c r="K51" s="3232" t="s">
        <v>2194</v>
      </c>
      <c r="L51" s="3232"/>
      <c r="M51" s="2999" t="s">
        <v>2195</v>
      </c>
      <c r="N51" s="2999" t="s">
        <v>2196</v>
      </c>
      <c r="O51" s="2999" t="s">
        <v>2197</v>
      </c>
    </row>
    <row r="52" spans="1:35" ht="24" hidden="1" customHeight="1">
      <c r="A52" s="183" t="s">
        <v>2198</v>
      </c>
      <c r="B52" s="3168" t="s">
        <v>2199</v>
      </c>
      <c r="C52" s="3168"/>
      <c r="D52" s="182">
        <f ca="1">ROUND(D45*'数据-取费表'!B41/(1+'数据-取费表'!C42),0)</f>
        <v>551</v>
      </c>
      <c r="E52" s="11" t="s">
        <v>2200</v>
      </c>
      <c r="F52" s="184">
        <f>'数据-取费表'!B41</f>
        <v>5.6000000000000001E-2</v>
      </c>
      <c r="G52" s="2478"/>
      <c r="H52" s="138"/>
      <c r="I52" s="2476"/>
      <c r="J52" s="3002">
        <v>1</v>
      </c>
      <c r="K52" s="3233" t="s">
        <v>2201</v>
      </c>
      <c r="L52" s="3233"/>
      <c r="M52" s="1747">
        <f>D48</f>
        <v>0</v>
      </c>
      <c r="N52" s="3002" t="str">
        <f>E48</f>
        <v>销售额×税（费）率</v>
      </c>
      <c r="O52" s="1748" t="str">
        <f>F48</f>
        <v>免征</v>
      </c>
    </row>
    <row r="53" spans="1:35" ht="12" hidden="1" customHeight="1">
      <c r="A53" s="183" t="s">
        <v>2202</v>
      </c>
      <c r="B53" s="3191" t="s">
        <v>2203</v>
      </c>
      <c r="C53" s="3192"/>
      <c r="D53" s="182">
        <f ca="1">ROUND(D45*'数据-取费表'!B41/(1+'数据-取费表'!C42),0)</f>
        <v>551</v>
      </c>
      <c r="E53" s="11" t="s">
        <v>2200</v>
      </c>
      <c r="F53" s="184">
        <f>'数据-取费表'!B41</f>
        <v>5.6000000000000001E-2</v>
      </c>
      <c r="G53" s="2478"/>
      <c r="H53" s="138"/>
      <c r="I53" s="2476"/>
      <c r="J53" s="3002">
        <v>2</v>
      </c>
      <c r="K53" s="3233" t="s">
        <v>2204</v>
      </c>
      <c r="L53" s="3233"/>
      <c r="M53" s="1747">
        <f t="shared" ref="M53:O54" ca="1" si="0">D55</f>
        <v>5</v>
      </c>
      <c r="N53" s="3002" t="str">
        <f t="shared" si="0"/>
        <v>销售额×税（费）率</v>
      </c>
      <c r="O53" s="1748">
        <f t="shared" si="0"/>
        <v>5.0000000000000001E-4</v>
      </c>
    </row>
    <row r="54" spans="1:35" ht="12" hidden="1" customHeight="1">
      <c r="A54" s="183" t="s">
        <v>2205</v>
      </c>
      <c r="B54" s="3191" t="s">
        <v>2206</v>
      </c>
      <c r="C54" s="3192"/>
      <c r="D54" s="182">
        <f ca="1">C68</f>
        <v>551</v>
      </c>
      <c r="E54" s="30" t="s">
        <v>2207</v>
      </c>
      <c r="F54" s="184">
        <f>'数据-取费表'!B41</f>
        <v>5.6000000000000001E-2</v>
      </c>
      <c r="G54" s="2478"/>
      <c r="H54" s="2479"/>
      <c r="I54" s="2476"/>
      <c r="J54" s="3002">
        <v>3</v>
      </c>
      <c r="K54" s="3233" t="s">
        <v>2208</v>
      </c>
      <c r="L54" s="3233"/>
      <c r="M54" s="1747">
        <f t="shared" ca="1" si="0"/>
        <v>5847</v>
      </c>
      <c r="N54" s="3002" t="str">
        <f t="shared" si="0"/>
        <v>增值额×税（费）率</v>
      </c>
      <c r="O54" s="1749" t="str">
        <f t="shared" si="0"/>
        <v>——</v>
      </c>
    </row>
    <row r="55" spans="1:35" ht="24" hidden="1" customHeight="1">
      <c r="A55" s="3182" t="s">
        <v>2209</v>
      </c>
      <c r="B55" s="3183"/>
      <c r="C55" s="3183"/>
      <c r="D55" s="185">
        <f ca="1">IF(H55="个人住宅",0,ROUND(D45*I55,0))</f>
        <v>5</v>
      </c>
      <c r="E55" s="11" t="s">
        <v>2210</v>
      </c>
      <c r="F55" s="184">
        <f>IF(H55="正常",I55,"免征")</f>
        <v>5.0000000000000001E-4</v>
      </c>
      <c r="G55" s="2478"/>
      <c r="H55" s="2475" t="s">
        <v>2211</v>
      </c>
      <c r="I55" s="186">
        <f>'数据-取费表'!B49</f>
        <v>5.0000000000000001E-4</v>
      </c>
      <c r="J55" s="3002" t="str">
        <f>IF(H59="非个人房产","",4)</f>
        <v/>
      </c>
      <c r="K55" s="3233" t="str">
        <f>IF(H59="非个人房产","——","个人所得税")</f>
        <v>——</v>
      </c>
      <c r="L55" s="3233"/>
      <c r="M55" s="1750" t="str">
        <f>D59</f>
        <v>——</v>
      </c>
      <c r="N55" s="3003" t="str">
        <f>E59</f>
        <v>——</v>
      </c>
      <c r="O55" s="1751" t="str">
        <f>F59</f>
        <v>——</v>
      </c>
    </row>
    <row r="56" spans="1:35" ht="24.75" hidden="1">
      <c r="A56" s="3182" t="s">
        <v>2212</v>
      </c>
      <c r="B56" s="3183"/>
      <c r="C56" s="3183"/>
      <c r="D56" s="185">
        <f ca="1">IF(H56="个人住宅",D57,D58)</f>
        <v>5847</v>
      </c>
      <c r="E56" s="11" t="s">
        <v>2213</v>
      </c>
      <c r="F56" s="184" t="str">
        <f>IF(H56="正常",F58,"免征")</f>
        <v>——</v>
      </c>
      <c r="G56" s="2480" t="s">
        <v>2214</v>
      </c>
      <c r="H56" s="2481" t="s">
        <v>2211</v>
      </c>
      <c r="I56" s="2482"/>
      <c r="J56" s="3002" t="str">
        <f>IF(项目基本情况!K6="上海银行",IF(J55="",4,J55+1),"")</f>
        <v/>
      </c>
      <c r="K56" s="3256" t="str">
        <f>IF(项目基本情况!K6="上海银行","其他处置费用","")</f>
        <v/>
      </c>
      <c r="L56" s="3257"/>
      <c r="M56" s="1747" t="str">
        <f>IF(项目基本情况!K6="上海银行",M69,"")</f>
        <v/>
      </c>
      <c r="N56" s="3259" t="str">
        <f>IF(项目基本情况!K6="上海银行","包含处置中涉及的律师、诉讼、拍卖、评估等费用","")</f>
        <v/>
      </c>
      <c r="O56" s="3260"/>
    </row>
    <row r="57" spans="1:35" ht="12.75" hidden="1">
      <c r="A57" s="183" t="s">
        <v>2187</v>
      </c>
      <c r="B57" s="3198" t="s">
        <v>2215</v>
      </c>
      <c r="C57" s="3207"/>
      <c r="D57" s="187">
        <v>0</v>
      </c>
      <c r="E57" s="23" t="s">
        <v>2189</v>
      </c>
      <c r="F57" s="155"/>
      <c r="G57" s="2478"/>
      <c r="H57" s="2482"/>
      <c r="I57" s="2482"/>
      <c r="J57" s="3233">
        <f>IF(AND(J55="",J56=""),4,IF(项目基本情况!K6="上海银行",'结果表 (1)'!J56+1,'结果表 (1)'!J55+1))</f>
        <v>4</v>
      </c>
      <c r="K57" s="3233" t="s">
        <v>2216</v>
      </c>
      <c r="L57" s="2483" t="s">
        <v>2217</v>
      </c>
      <c r="M57" s="1752"/>
      <c r="N57" s="1753">
        <f ca="1">SUMIF(M52:M56,"&lt;9e307")</f>
        <v>5852</v>
      </c>
      <c r="O57" s="2484"/>
      <c r="P57" s="1746">
        <f ca="1">N57/M49</f>
        <v>0.56645048882005611</v>
      </c>
    </row>
    <row r="58" spans="1:35" ht="24.75" hidden="1">
      <c r="A58" s="183" t="s">
        <v>2198</v>
      </c>
      <c r="B58" s="3198" t="s">
        <v>2218</v>
      </c>
      <c r="C58" s="3199"/>
      <c r="D58" s="185">
        <f ca="1">IF(H58="转让取得",C81,C97)</f>
        <v>5847</v>
      </c>
      <c r="E58" s="11" t="s">
        <v>2213</v>
      </c>
      <c r="F58" s="24" t="s">
        <v>34</v>
      </c>
      <c r="G58" s="2478"/>
      <c r="H58" s="2481" t="s">
        <v>2219</v>
      </c>
      <c r="I58" s="2482"/>
      <c r="J58" s="3233"/>
      <c r="K58" s="3233"/>
      <c r="L58" s="2483" t="s">
        <v>2220</v>
      </c>
      <c r="M58" s="1754"/>
      <c r="N58" s="2485" t="str">
        <f ca="1">NUMBERSTRING(INT(N57*10000),2)&amp;"元整"</f>
        <v>伍仟捌佰伍拾贰万元整</v>
      </c>
      <c r="O58" s="2486"/>
    </row>
    <row r="59" spans="1:35" ht="24.75" hidden="1" thickBot="1">
      <c r="A59" s="3236" t="s">
        <v>2221</v>
      </c>
      <c r="B59" s="3237"/>
      <c r="C59" s="3237"/>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234">
        <f>J57+1</f>
        <v>5</v>
      </c>
      <c r="K59" s="3233" t="s">
        <v>2223</v>
      </c>
      <c r="L59" s="3002" t="s">
        <v>2217</v>
      </c>
      <c r="M59" s="1755"/>
      <c r="N59" s="1756">
        <f ca="1">M49-N57</f>
        <v>4479</v>
      </c>
      <c r="O59" s="2488"/>
    </row>
    <row r="60" spans="1:35" ht="12" hidden="1" customHeight="1">
      <c r="A60" s="2489"/>
      <c r="B60" s="2411"/>
      <c r="C60" s="2411"/>
      <c r="D60" s="2411"/>
      <c r="E60" s="2161"/>
      <c r="F60" s="2482"/>
      <c r="G60" s="2482"/>
      <c r="H60" s="2490"/>
      <c r="I60" s="138"/>
      <c r="J60" s="3235"/>
      <c r="K60" s="3233"/>
      <c r="L60" s="2483" t="s">
        <v>2220</v>
      </c>
      <c r="M60" s="1754"/>
      <c r="N60" s="2485" t="str">
        <f ca="1">NUMBERSTRING(INT(N59*10000),2)&amp;"元整"</f>
        <v>肆仟肆佰柒拾玖万元整</v>
      </c>
      <c r="O60" s="2486"/>
    </row>
    <row r="61" spans="1:35" ht="13.5" hidden="1" thickBot="1">
      <c r="A61" s="3180" t="s">
        <v>2224</v>
      </c>
      <c r="B61" s="3180"/>
      <c r="C61" s="3180"/>
      <c r="D61" s="3180"/>
      <c r="E61" s="3180"/>
      <c r="F61" s="2482"/>
      <c r="G61" s="2482"/>
      <c r="H61" s="2490"/>
      <c r="I61" s="138"/>
      <c r="J61" s="3002">
        <f>J59+1</f>
        <v>6</v>
      </c>
      <c r="K61" s="3233" t="s">
        <v>2225</v>
      </c>
      <c r="L61" s="3233"/>
      <c r="M61" s="1757"/>
      <c r="N61" s="1758">
        <f ca="1">ROUND(N59*10000/'数据-汇总表'!E3,0)</f>
        <v>3852</v>
      </c>
      <c r="O61" s="2491"/>
    </row>
    <row r="62" spans="1:35" ht="12.75" hidden="1">
      <c r="A62" s="3196" t="s">
        <v>2226</v>
      </c>
      <c r="B62" s="3197"/>
      <c r="C62" s="3007"/>
      <c r="D62" s="3007" t="s">
        <v>2227</v>
      </c>
      <c r="E62" s="192" t="s">
        <v>2228</v>
      </c>
      <c r="F62" s="2482"/>
      <c r="G62" s="2482"/>
      <c r="H62" s="2490"/>
      <c r="I62" s="138"/>
    </row>
    <row r="63" spans="1:35" ht="12.75" hidden="1">
      <c r="A63" s="203" t="s">
        <v>775</v>
      </c>
      <c r="B63" s="193" t="s">
        <v>2229</v>
      </c>
      <c r="C63" s="194">
        <f ca="1">ROUND((C64+C65)/(1+'数据-取费表'!C42),0)</f>
        <v>9839</v>
      </c>
      <c r="D63" s="195"/>
      <c r="E63" s="196"/>
      <c r="F63" s="2482"/>
      <c r="G63" s="2482"/>
      <c r="H63" s="2490"/>
      <c r="I63" s="138"/>
      <c r="J63" s="3258" t="s">
        <v>2230</v>
      </c>
      <c r="K63" s="3000" t="s">
        <v>2231</v>
      </c>
      <c r="L63" s="1745">
        <f ca="1">IF(M49&gt;10000,M49*0.5%,IF(AND(M49&gt;1000,M49&lt;=10000),M49*1%,IF(AND(M49&gt;100,M49&lt;=1000),M49*3%,IF(AND(M49&gt;10,M49&lt;=100),M49*5%,M49*8%))))</f>
        <v>51.655000000000001</v>
      </c>
      <c r="M63" s="24">
        <f ca="1">ROUND(L63,1)</f>
        <v>51.7</v>
      </c>
      <c r="Z63" s="2416"/>
      <c r="AI63" s="2417"/>
    </row>
    <row r="64" spans="1:35" ht="14.25" hidden="1" customHeight="1">
      <c r="A64" s="197" t="s">
        <v>770</v>
      </c>
      <c r="B64" s="198" t="s">
        <v>2232</v>
      </c>
      <c r="C64" s="199">
        <f ca="1">D45</f>
        <v>10331</v>
      </c>
      <c r="D64" s="200" t="s">
        <v>32</v>
      </c>
      <c r="E64" s="201"/>
      <c r="F64" s="2482"/>
      <c r="G64" s="2482"/>
      <c r="H64" s="2490"/>
      <c r="I64" s="138"/>
      <c r="J64" s="3258"/>
      <c r="K64" s="3000" t="s">
        <v>2233</v>
      </c>
      <c r="L64" s="1745">
        <f ca="1">IF(M49&gt;2000,M49*0.5%,IF(AND(M49&gt;1000,M49&lt;=2000),M49*0.6%,IF(AND(M49&gt;500,M49&lt;=1000),M49*0.7%,IF(AND(M49&gt;200,M49&lt;=500),M49*0.8%,IF(AND(M49&gt;100,M49&lt;=200),M49*0.9%,IF(AND(M49&gt;50,M49&lt;=100),M49*1%,IF(AND(M49&gt;20,M49&lt;=50),M49*1.5%,IF(AND(M49&gt;10,M49&lt;=20),M49*2%,IF(AND(M49&gt;1,M49&lt;=10),M49*2.5%)))))))))</f>
        <v>51.655000000000001</v>
      </c>
      <c r="M64" s="24">
        <f t="shared" ref="M64:M65" ca="1" si="1">ROUND(L64,1)</f>
        <v>51.7</v>
      </c>
      <c r="N64" s="138" t="s">
        <v>2234</v>
      </c>
      <c r="Z64" s="2416"/>
      <c r="AI64" s="2417"/>
    </row>
    <row r="65" spans="1:35" ht="14.25" hidden="1" customHeight="1">
      <c r="A65" s="197" t="s">
        <v>771</v>
      </c>
      <c r="B65" s="198" t="s">
        <v>2235</v>
      </c>
      <c r="C65" s="202"/>
      <c r="D65" s="200"/>
      <c r="E65" s="201"/>
      <c r="F65" s="2482"/>
      <c r="G65" s="2482"/>
      <c r="H65" s="2490"/>
      <c r="I65" s="138"/>
      <c r="J65" s="3258"/>
      <c r="K65" s="3000" t="s">
        <v>2236</v>
      </c>
      <c r="L65" s="1745">
        <f ca="1">IF(M49&gt;1000,M49*0.1%,IF(AND(M49&gt;500,M49&lt;=1000),M49*0.5%,IF(AND(M49&gt;50,M49&lt;=500),M49*1%,IF(AND(M49&gt;1,M49&lt;=50),M49*1.5%))))</f>
        <v>10.331</v>
      </c>
      <c r="M65" s="24">
        <f t="shared" ca="1" si="1"/>
        <v>10.3</v>
      </c>
      <c r="N65" s="138" t="s">
        <v>2234</v>
      </c>
      <c r="Z65" s="2416"/>
      <c r="AI65" s="2417"/>
    </row>
    <row r="66" spans="1:35" ht="14.25" hidden="1" customHeight="1">
      <c r="A66" s="203" t="s">
        <v>772</v>
      </c>
      <c r="B66" s="204" t="s">
        <v>2237</v>
      </c>
      <c r="C66" s="205"/>
      <c r="D66" s="206" t="s">
        <v>32</v>
      </c>
      <c r="E66" s="1769" t="s">
        <v>1371</v>
      </c>
      <c r="F66" s="2482"/>
      <c r="G66" s="2482"/>
      <c r="H66" s="2490"/>
      <c r="I66" s="138"/>
      <c r="J66" s="3258"/>
      <c r="K66" s="3000" t="s">
        <v>2238</v>
      </c>
      <c r="L66" s="1745">
        <f ca="1">M49*0.5%</f>
        <v>51.655000000000001</v>
      </c>
      <c r="M66" s="24">
        <f ca="1">IF(L66&gt;0.5,0.5,ROUND(L66,0))</f>
        <v>0.5</v>
      </c>
      <c r="N66" s="138" t="s">
        <v>2239</v>
      </c>
      <c r="Z66" s="2416"/>
      <c r="AI66" s="2417"/>
    </row>
    <row r="67" spans="1:35" ht="14.25" hidden="1" customHeight="1">
      <c r="A67" s="203" t="s">
        <v>773</v>
      </c>
      <c r="B67" s="204" t="s">
        <v>2240</v>
      </c>
      <c r="C67" s="207">
        <f ca="1">C63-C66</f>
        <v>9839</v>
      </c>
      <c r="D67" s="200" t="s">
        <v>32</v>
      </c>
      <c r="E67" s="201"/>
      <c r="F67" s="2482"/>
      <c r="G67" s="2482"/>
      <c r="H67" s="2490"/>
      <c r="I67" s="138"/>
      <c r="J67" s="3258"/>
      <c r="K67" s="3000" t="s">
        <v>2241</v>
      </c>
      <c r="L67" s="1745">
        <f ca="1">IF(M49&gt;=10000,(8.25+(M49-10000)*0.01%),IF(AND(M49&gt;=8000,M49&lt;10000),(7.85+(M49-8000)*0.02%),IF(AND(M49&gt;=5000,M49&lt;8000),(6.65+(M49-5000)*0.04%),IF(AND(M49&gt;=2000,M49&lt;5000),(4.25+(PM49-2000)*0.08%),IF(AND(M49&gt;=1000,M49&lt;2000),(2.75+(M49-1000)*0.15%),IF(AND(M49&gt;=100,M49&lt;1000),(0.5+(M49-100)*0.25%),IF(AND(M49&gt;0,M49&lt;100),M49*0.5%)))))))</f>
        <v>8.2830999999999992</v>
      </c>
      <c r="M67" s="24">
        <f ca="1">ROUND(L67*0.9,1)</f>
        <v>7.5</v>
      </c>
      <c r="Z67" s="2416"/>
      <c r="AI67" s="2417"/>
    </row>
    <row r="68" spans="1:35" ht="14.25" hidden="1" customHeight="1" thickBot="1">
      <c r="A68" s="208" t="s">
        <v>774</v>
      </c>
      <c r="B68" s="209" t="s">
        <v>2242</v>
      </c>
      <c r="C68" s="210">
        <f ca="1">IF(C67&lt;=0,0,ROUND(C67*D68,0))</f>
        <v>551</v>
      </c>
      <c r="D68" s="211">
        <f>'数据-取费表'!B41</f>
        <v>5.6000000000000001E-2</v>
      </c>
      <c r="E68" s="212"/>
      <c r="F68" s="2482"/>
      <c r="G68" s="2482"/>
      <c r="H68" s="2490"/>
      <c r="I68" s="138"/>
      <c r="J68" s="3258"/>
      <c r="K68" s="3000" t="s">
        <v>2243</v>
      </c>
      <c r="L68" s="1745">
        <f ca="1">IF(M49&gt;10000,M49*0.5%,IF(AND(M49&gt;5000,M49&lt;=10000),M49*1%,IF(AND(M49&gt;1000,M49&lt;=5000),M49*2%,IF(AND(M49&gt;200,M49&lt;=1000),M49*3%,M49*5%))))</f>
        <v>51.655000000000001</v>
      </c>
      <c r="M68" s="24">
        <f ca="1">ROUND(L68,1)</f>
        <v>51.7</v>
      </c>
      <c r="Z68" s="2416"/>
      <c r="AI68" s="2417"/>
    </row>
    <row r="69" spans="1:35" s="2439" customFormat="1" ht="16.5" hidden="1" customHeight="1">
      <c r="A69" s="2493"/>
      <c r="B69" s="2494"/>
      <c r="C69" s="2495"/>
      <c r="D69" s="2496"/>
      <c r="E69" s="2497"/>
      <c r="F69" s="2161"/>
      <c r="G69" s="2161"/>
      <c r="H69" s="2160"/>
      <c r="I69" s="2411"/>
      <c r="J69" s="3258"/>
      <c r="K69" s="3000" t="s">
        <v>2244</v>
      </c>
      <c r="L69" s="2498"/>
      <c r="M69" s="24">
        <f ca="1">ROUND(SUM(M63:M68),0)</f>
        <v>173</v>
      </c>
      <c r="N69" s="1746">
        <f ca="1">M69/M49</f>
        <v>1.674571677475559E-2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4.25" hidden="1">
      <c r="A70" s="3217" t="s">
        <v>2245</v>
      </c>
      <c r="B70" s="3218"/>
      <c r="C70" s="3218"/>
      <c r="D70" s="3218"/>
      <c r="E70" s="3218"/>
      <c r="F70" s="3218"/>
      <c r="G70" s="3218"/>
      <c r="H70" s="321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96" t="s">
        <v>2226</v>
      </c>
      <c r="B71" s="3197"/>
      <c r="C71" s="3007"/>
      <c r="D71" s="3007"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9839</v>
      </c>
      <c r="D72" s="200" t="s">
        <v>32</v>
      </c>
      <c r="E72" s="3009"/>
      <c r="F72" s="3008"/>
      <c r="G72" s="3008"/>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59</v>
      </c>
      <c r="D73" s="200" t="s">
        <v>32</v>
      </c>
      <c r="E73" s="3009"/>
      <c r="F73" s="3008"/>
      <c r="G73" s="3008"/>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3009"/>
      <c r="F74" s="3008"/>
      <c r="G74" s="3008"/>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91" t="s">
        <v>2254</v>
      </c>
      <c r="F76" s="3168"/>
      <c r="G76" s="3168"/>
      <c r="H76" s="321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3001" t="s">
        <v>2256</v>
      </c>
      <c r="F77" s="224"/>
      <c r="G77" s="2506" t="s">
        <v>2257</v>
      </c>
      <c r="H77" s="301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59</v>
      </c>
      <c r="D78" s="226">
        <f>'数据-取费表'!B43</f>
        <v>6.000000000000001E-3</v>
      </c>
      <c r="E78" s="3177" t="s">
        <v>2259</v>
      </c>
      <c r="F78" s="3178"/>
      <c r="G78" s="3178"/>
      <c r="H78" s="3187"/>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773</v>
      </c>
      <c r="B79" s="204" t="s">
        <v>2260</v>
      </c>
      <c r="C79" s="207">
        <f ca="1">C72-C73</f>
        <v>9780</v>
      </c>
      <c r="D79" s="200" t="s">
        <v>32</v>
      </c>
      <c r="E79" s="3009"/>
      <c r="F79" s="3008"/>
      <c r="G79" s="3008"/>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165.76271186440678</v>
      </c>
      <c r="D80" s="200" t="s">
        <v>32</v>
      </c>
      <c r="E80" s="3001" t="str">
        <f ca="1">IF(C80&gt;=200%,"增值额超过扣除项目金额200%",IF(C80&gt;=100%,"增值额超过扣除项目金额100%，未超过200%",IF(C80&gt;=50%,"增值额超过扣除项目金额50%，未超过100%",IF(C80&lt;50%,"增值额未超过扣除项目金额50%"))))</f>
        <v>增值额超过扣除项目金额200%</v>
      </c>
      <c r="F80" s="3008"/>
      <c r="G80" s="3008"/>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5847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25" hidden="1">
      <c r="A83" s="3217" t="s">
        <v>2263</v>
      </c>
      <c r="B83" s="3218"/>
      <c r="C83" s="3218"/>
      <c r="D83" s="3218"/>
      <c r="E83" s="3218"/>
      <c r="F83" s="3218"/>
      <c r="G83" s="3218"/>
      <c r="H83" s="321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96" t="s">
        <v>2226</v>
      </c>
      <c r="B84" s="3197"/>
      <c r="C84" s="3007"/>
      <c r="D84" s="3007"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9839</v>
      </c>
      <c r="D85" s="200" t="s">
        <v>32</v>
      </c>
      <c r="E85" s="3009"/>
      <c r="F85" s="3008"/>
      <c r="G85" s="3008"/>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59</v>
      </c>
      <c r="D86" s="235"/>
      <c r="E86" s="3009"/>
      <c r="F86" s="3008"/>
      <c r="G86" s="3008"/>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3004"/>
      <c r="F87" s="3005"/>
      <c r="G87" s="3005"/>
      <c r="H87" s="300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300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3005"/>
      <c r="G89" s="3005"/>
      <c r="H89" s="300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3005"/>
      <c r="G90" s="3005"/>
      <c r="H90" s="300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77" t="s">
        <v>2272</v>
      </c>
      <c r="F91" s="3178"/>
      <c r="G91" s="3178"/>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77" t="s">
        <v>2276</v>
      </c>
      <c r="F92" s="3178"/>
      <c r="G92" s="3178"/>
      <c r="H92" s="3187"/>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59</v>
      </c>
      <c r="D93" s="226">
        <f>'数据-取费表'!B43</f>
        <v>6.000000000000001E-3</v>
      </c>
      <c r="E93" s="3177" t="s">
        <v>2259</v>
      </c>
      <c r="F93" s="3178"/>
      <c r="G93" s="3178"/>
      <c r="H93" s="3187"/>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188" t="s">
        <v>2280</v>
      </c>
      <c r="F94" s="3189"/>
      <c r="G94" s="3189"/>
      <c r="H94" s="319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773</v>
      </c>
      <c r="B95" s="204" t="s">
        <v>2260</v>
      </c>
      <c r="C95" s="207">
        <f ca="1">ROUND(C85-C86,0)</f>
        <v>9780</v>
      </c>
      <c r="D95" s="200" t="s">
        <v>32</v>
      </c>
      <c r="E95" s="3009"/>
      <c r="F95" s="3008"/>
      <c r="G95" s="3008"/>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165.76271186440678</v>
      </c>
      <c r="D96" s="200" t="s">
        <v>32</v>
      </c>
      <c r="E96" s="3001" t="str">
        <f ca="1">IF(C96&gt;=200%,"增值额超过扣除项目金额200%",IF(C96&gt;=100%,"增值额超过扣除项目金额100%，未超过200%",IF(C96&gt;=50%,"增值额超过扣除项目金额50%，未超过100%",IF(C96&lt;50%,"增值额未超过扣除项目金额50%"))))</f>
        <v>增值额超过扣除项目金额200%</v>
      </c>
      <c r="F96" s="3008"/>
      <c r="G96" s="3008"/>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5847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2281</v>
      </c>
      <c r="B99" s="2411"/>
      <c r="C99" s="2411"/>
      <c r="D99" s="2411"/>
      <c r="E99" s="2161"/>
      <c r="F99" s="2161"/>
      <c r="G99" s="2161"/>
      <c r="H99" s="2160"/>
      <c r="I99" s="138"/>
    </row>
    <row r="100" spans="1:35" ht="18.75" customHeight="1">
      <c r="A100" s="3149" t="s">
        <v>2282</v>
      </c>
      <c r="B100" s="3150"/>
      <c r="C100" s="3150"/>
      <c r="D100" s="3179"/>
      <c r="E100" s="3150" t="s">
        <v>2283</v>
      </c>
      <c r="F100" s="3150"/>
      <c r="G100" s="3150"/>
      <c r="H100" s="3179"/>
      <c r="I100" s="138"/>
    </row>
    <row r="101" spans="1:35" ht="18.75" customHeight="1">
      <c r="A101" s="3241" t="s">
        <v>2284</v>
      </c>
      <c r="B101" s="3242"/>
      <c r="C101" s="734" t="str">
        <f>C4</f>
        <v>比较法-商业</v>
      </c>
      <c r="D101" s="735" t="str">
        <f>D4</f>
        <v>收益法（商业）</v>
      </c>
      <c r="E101" s="3255" t="s">
        <v>2285</v>
      </c>
      <c r="F101" s="3209"/>
      <c r="G101" s="2513" t="s">
        <v>2286</v>
      </c>
      <c r="H101" s="1041">
        <f ca="1">H118</f>
        <v>10331</v>
      </c>
      <c r="I101" s="138"/>
    </row>
    <row r="102" spans="1:35" ht="18.75" customHeight="1">
      <c r="A102" s="3211" t="s">
        <v>2287</v>
      </c>
      <c r="B102" s="2513" t="s">
        <v>2286</v>
      </c>
      <c r="C102" s="734">
        <f ca="1">C19</f>
        <v>10558</v>
      </c>
      <c r="D102" s="735">
        <f ca="1">D19</f>
        <v>9800</v>
      </c>
      <c r="E102" s="3255"/>
      <c r="F102" s="3209"/>
      <c r="G102" s="2513" t="s">
        <v>2288</v>
      </c>
      <c r="H102" s="371">
        <f ca="1">I118</f>
        <v>49095</v>
      </c>
      <c r="I102" s="138"/>
    </row>
    <row r="103" spans="1:35" ht="42.75" customHeight="1">
      <c r="A103" s="3211"/>
      <c r="B103" s="2513" t="s">
        <v>2288</v>
      </c>
      <c r="C103" s="736">
        <f ca="1">C20</f>
        <v>50173</v>
      </c>
      <c r="D103" s="737">
        <f ca="1">D20</f>
        <v>46572</v>
      </c>
      <c r="E103" s="3250" t="s">
        <v>2289</v>
      </c>
      <c r="F103" s="3251"/>
      <c r="G103" s="2514" t="s">
        <v>2290</v>
      </c>
      <c r="H103" s="1041">
        <f>IF(D36="正常操作",H104+H105+H106,H105+H106)</f>
        <v>0</v>
      </c>
      <c r="I103" s="138"/>
    </row>
    <row r="104" spans="1:35" ht="18.75" customHeight="1">
      <c r="A104" s="3211" t="s">
        <v>2291</v>
      </c>
      <c r="B104" s="2515" t="s">
        <v>2286</v>
      </c>
      <c r="C104" s="738">
        <f ca="1">H118</f>
        <v>10331</v>
      </c>
      <c r="D104" s="739"/>
      <c r="E104" s="2261" t="s">
        <v>2292</v>
      </c>
      <c r="F104" s="2253"/>
      <c r="G104" s="2514" t="s">
        <v>2290</v>
      </c>
      <c r="H104" s="1042">
        <f>IF(D36="同一抵押权人同一抵押物续贷",C36&amp;"（未扣减，详见特别提示）",C36)</f>
        <v>0</v>
      </c>
      <c r="I104" s="138"/>
    </row>
    <row r="105" spans="1:35" ht="18.75" customHeight="1" thickBot="1">
      <c r="A105" s="3212"/>
      <c r="B105" s="2516" t="s">
        <v>2288</v>
      </c>
      <c r="C105" s="740">
        <f ca="1">I118</f>
        <v>49095</v>
      </c>
      <c r="D105" s="741"/>
      <c r="E105" s="2261" t="s">
        <v>2293</v>
      </c>
      <c r="F105" s="2253"/>
      <c r="G105" s="2514" t="s">
        <v>2290</v>
      </c>
      <c r="H105" s="1042">
        <f>C37</f>
        <v>0</v>
      </c>
      <c r="I105" s="138"/>
    </row>
    <row r="106" spans="1:35" ht="18.75" customHeight="1">
      <c r="A106" s="2411" t="s">
        <v>2294</v>
      </c>
      <c r="B106" s="2411"/>
      <c r="C106" s="2411"/>
      <c r="D106" s="2411"/>
      <c r="E106" s="2517" t="s">
        <v>2295</v>
      </c>
      <c r="F106" s="2253"/>
      <c r="G106" s="2514" t="s">
        <v>2290</v>
      </c>
      <c r="H106" s="1042">
        <f>C38</f>
        <v>0</v>
      </c>
      <c r="I106" s="138"/>
    </row>
    <row r="107" spans="1:35" ht="18.75" customHeight="1">
      <c r="A107" s="138"/>
      <c r="B107" s="138"/>
      <c r="C107" s="138"/>
      <c r="D107" s="138"/>
      <c r="E107" s="3208" t="str">
        <f>IF(项目基本情况!E8="已注销","——","3.房地产抵押价值")</f>
        <v>3.房地产抵押价值</v>
      </c>
      <c r="F107" s="3209"/>
      <c r="G107" s="2513" t="s">
        <v>2286</v>
      </c>
      <c r="H107" s="1041">
        <f ca="1">IF(E107="——","——",H101-H103)</f>
        <v>10331</v>
      </c>
      <c r="I107" s="138"/>
    </row>
    <row r="108" spans="1:35" ht="18.75" customHeight="1">
      <c r="A108" s="138"/>
      <c r="B108" s="138"/>
      <c r="C108" s="138"/>
      <c r="D108" s="138"/>
      <c r="E108" s="3208"/>
      <c r="F108" s="3209"/>
      <c r="G108" s="2513" t="s">
        <v>2288</v>
      </c>
      <c r="H108" s="371">
        <f ca="1">ROUND(H107*10000/'数据-汇总表'!E3,0)</f>
        <v>8884</v>
      </c>
      <c r="I108" s="138"/>
    </row>
    <row r="109" spans="1:35" ht="18.75" customHeight="1">
      <c r="A109" s="138"/>
      <c r="B109" s="138"/>
      <c r="C109" s="138"/>
      <c r="D109" s="138"/>
      <c r="E109" s="3208" t="str">
        <f>IF(项目基本情况!E8="已注销及未注销","4.抵押担保权已注销时的房地产抵押价值",IF(项目基本情况!E8="已注销","3.抵押担保权已注销时的房地产抵押价值","——"))</f>
        <v>——</v>
      </c>
      <c r="F109" s="3209"/>
      <c r="G109" s="2513" t="s">
        <v>2286</v>
      </c>
      <c r="H109" s="348" t="str">
        <f>IF(E109="——","——",H101-H105-H106)</f>
        <v>——</v>
      </c>
      <c r="I109" s="138"/>
    </row>
    <row r="110" spans="1:35" ht="18.75" customHeight="1">
      <c r="A110" s="138"/>
      <c r="B110" s="138"/>
      <c r="C110" s="138"/>
      <c r="D110" s="138"/>
      <c r="E110" s="3208"/>
      <c r="F110" s="3209"/>
      <c r="G110" s="2513" t="s">
        <v>2288</v>
      </c>
      <c r="H110" s="371" t="str">
        <f>IF(H109="——","——",ROUND(H109*10000/'数据-汇总表'!E3,0))</f>
        <v>——</v>
      </c>
      <c r="I110" s="138"/>
    </row>
    <row r="111" spans="1:35" ht="18.75" customHeight="1">
      <c r="A111" s="138"/>
      <c r="B111" s="138"/>
      <c r="C111" s="138"/>
      <c r="D111" s="138"/>
      <c r="E111" s="3243" t="str">
        <f>IF(项目基本情况!E9="抵押净值",IF(OR(项目基本情况!E8="已注销",项目基本情况!E8="房地产抵押价值"),"4.抵押净值","5.抵押净值"),"——")</f>
        <v>——</v>
      </c>
      <c r="F111" s="3244"/>
      <c r="G111" s="2513" t="s">
        <v>2286</v>
      </c>
      <c r="H111" s="1041" t="str">
        <f>IF(E111="——","——",N59)</f>
        <v>——</v>
      </c>
      <c r="I111" s="138"/>
    </row>
    <row r="112" spans="1:35" ht="18.75" customHeight="1" thickBot="1">
      <c r="A112" s="138"/>
      <c r="B112" s="138"/>
      <c r="C112" s="138"/>
      <c r="D112" s="138"/>
      <c r="E112" s="3245"/>
      <c r="F112" s="3246"/>
      <c r="G112" s="2518" t="s">
        <v>2288</v>
      </c>
      <c r="H112" s="788" t="str">
        <f>IF(E111="——","——",N61)</f>
        <v>——</v>
      </c>
      <c r="I112" s="138"/>
    </row>
    <row r="113" spans="1:11" ht="18.75" customHeight="1">
      <c r="A113" s="138"/>
      <c r="B113" s="138"/>
      <c r="C113" s="138"/>
      <c r="D113" s="138"/>
      <c r="E113" s="3213" t="s">
        <v>2294</v>
      </c>
      <c r="F113" s="3213"/>
      <c r="G113" s="3213"/>
      <c r="H113" s="3213"/>
      <c r="I113" s="138"/>
    </row>
    <row r="114" spans="1:11" ht="3.75" customHeight="1">
      <c r="A114" s="2411"/>
      <c r="B114" s="2411"/>
      <c r="C114" s="2411"/>
      <c r="D114" s="2411"/>
      <c r="E114" s="2489"/>
      <c r="F114" s="2489"/>
      <c r="G114" s="2489"/>
      <c r="H114" s="2489"/>
      <c r="I114" s="2411"/>
    </row>
    <row r="115" spans="1:11" ht="18.75" customHeight="1">
      <c r="A115" s="3226" t="s">
        <v>2296</v>
      </c>
      <c r="B115" s="3227"/>
      <c r="C115" s="3227"/>
      <c r="D115" s="3227"/>
      <c r="E115" s="3227"/>
      <c r="F115" s="3227"/>
      <c r="G115" s="3227"/>
      <c r="H115" s="3227"/>
      <c r="I115" s="3228"/>
    </row>
    <row r="116" spans="1:11" ht="27" customHeight="1">
      <c r="A116" s="3106" t="s">
        <v>2297</v>
      </c>
      <c r="B116" s="3214" t="s">
        <v>2298</v>
      </c>
      <c r="C116" s="3214" t="s">
        <v>2299</v>
      </c>
      <c r="D116" s="3230" t="s">
        <v>2300</v>
      </c>
      <c r="E116" s="3231"/>
      <c r="F116" s="3222" t="s">
        <v>3067</v>
      </c>
      <c r="G116" s="3222"/>
      <c r="H116" s="3106" t="s">
        <v>2301</v>
      </c>
      <c r="I116" s="3106"/>
    </row>
    <row r="117" spans="1:11" ht="18.75" customHeight="1">
      <c r="A117" s="3106"/>
      <c r="B117" s="3215"/>
      <c r="C117" s="3215"/>
      <c r="D117" s="2998" t="s">
        <v>2302</v>
      </c>
      <c r="E117" s="2998" t="s">
        <v>2303</v>
      </c>
      <c r="F117" s="2998" t="s">
        <v>2302</v>
      </c>
      <c r="G117" s="2998" t="s">
        <v>2304</v>
      </c>
      <c r="H117" s="2998" t="s">
        <v>2302</v>
      </c>
      <c r="I117" s="2998" t="s">
        <v>2304</v>
      </c>
    </row>
    <row r="118" spans="1:11" ht="24.75" customHeight="1">
      <c r="A118" s="2519" t="str">
        <f>项目基本情况!S2</f>
        <v>北京市海淀区西四环北路160号房地产</v>
      </c>
      <c r="B118" s="2998">
        <f>M18</f>
        <v>2104.29</v>
      </c>
      <c r="C118" s="2998">
        <f>M19</f>
        <v>174.99</v>
      </c>
      <c r="D118" s="2998">
        <f ca="1">ROUND(IF(D32="总价",C34,E118*B118/10000),0)</f>
        <v>10331</v>
      </c>
      <c r="E118" s="2998">
        <f ca="1">ROUND(IF(C33="自定义",IF(D32="楼面单价",C34,D118*10000/B118),I118-G118),0)</f>
        <v>49095</v>
      </c>
      <c r="F118" s="2998">
        <f ca="1">ROUND(IF(D32="总价",C35,G118*B118/10000),0)</f>
        <v>0</v>
      </c>
      <c r="G118" s="2998">
        <f ca="1">ROUND(IF(D32="楼面单价",C35,F118*10000/B118),0)</f>
        <v>0</v>
      </c>
      <c r="H118" s="2998">
        <f ca="1">ROUND(IF(D32="总价",C32,I118*B118/10000),0)</f>
        <v>10331</v>
      </c>
      <c r="I118" s="2998">
        <f ca="1">ROUND(IF(D32="楼面单价",C32,H118*10000/B118),0)</f>
        <v>49095</v>
      </c>
    </row>
    <row r="119" spans="1:11" ht="18.75" customHeight="1">
      <c r="A119" s="3106" t="s">
        <v>2305</v>
      </c>
      <c r="B119" s="3106"/>
      <c r="C119" s="3106"/>
      <c r="D119" s="3219" t="str">
        <f ca="1">NUMBERSTRING(INT(D118*10000),2)&amp;"元整"</f>
        <v>壹亿零叁佰叁拾壹万元整</v>
      </c>
      <c r="E119" s="3221"/>
      <c r="F119" s="3219" t="str">
        <f ca="1">NUMBERSTRING(INT(F118*10000),2)&amp;"元整"</f>
        <v>零元整</v>
      </c>
      <c r="G119" s="3221"/>
      <c r="H119" s="3219" t="str">
        <f ca="1">NUMBERSTRING(INT(H118*10000),2)&amp;"元整"</f>
        <v>壹亿零叁佰叁拾壹万元整</v>
      </c>
      <c r="I119" s="3221"/>
    </row>
    <row r="120" spans="1:11" ht="18.75" customHeight="1">
      <c r="A120" s="3247" t="str">
        <f>IF(项目基本情况!B9="房地产市场价值","",MID(E103,3,LEN(E103)-2))</f>
        <v>估价师知悉的法定优先受偿款</v>
      </c>
      <c r="B120" s="3248"/>
      <c r="C120" s="3249"/>
      <c r="D120" s="3247">
        <f>H103</f>
        <v>0</v>
      </c>
      <c r="E120" s="3248"/>
      <c r="F120" s="3248"/>
      <c r="G120" s="3248"/>
      <c r="H120" s="3248"/>
      <c r="I120" s="3249"/>
      <c r="K120" s="2416" t="str">
        <f>IF(D120=0,"故，本次评估不存在"&amp;A120,"故，本次评估"&amp;A120&amp;"为人民币"&amp;D120&amp;"万元整。")</f>
        <v>故，本次评估不存在估价师知悉的法定优先受偿款</v>
      </c>
    </row>
    <row r="121" spans="1:11" ht="18.75" customHeight="1">
      <c r="A121" s="3223" t="s">
        <v>2305</v>
      </c>
      <c r="B121" s="3224"/>
      <c r="C121" s="3225"/>
      <c r="D121" s="3219" t="str">
        <f>IF(D120=0,"零元整",NUMBERSTRING(INT(D120*10000),2)&amp;"元整")</f>
        <v>零元整</v>
      </c>
      <c r="E121" s="3220"/>
      <c r="F121" s="3220"/>
      <c r="G121" s="3220"/>
      <c r="H121" s="3220"/>
      <c r="I121" s="3221"/>
    </row>
    <row r="122" spans="1:11" ht="18.75" customHeight="1">
      <c r="A122" s="3210" t="str">
        <f>IF(项目基本情况!B9="房地产市场价值","",MID(E107,3,LEN(E107)-2))</f>
        <v>房地产抵押价值</v>
      </c>
      <c r="B122" s="3210"/>
      <c r="C122" s="3210"/>
      <c r="D122" s="3247">
        <f ca="1">H107</f>
        <v>10331</v>
      </c>
      <c r="E122" s="3248"/>
      <c r="F122" s="3248"/>
      <c r="G122" s="3248"/>
      <c r="H122" s="3248"/>
      <c r="I122" s="3249"/>
    </row>
    <row r="123" spans="1:11" ht="18.75" customHeight="1">
      <c r="A123" s="3106" t="s">
        <v>2305</v>
      </c>
      <c r="B123" s="3106"/>
      <c r="C123" s="3106"/>
      <c r="D123" s="3219" t="str">
        <f ca="1">NUMBERSTRING(INT(D122*10000),2)&amp;"元整"</f>
        <v>壹亿零叁佰叁拾壹万元整</v>
      </c>
      <c r="E123" s="3220"/>
      <c r="F123" s="3220"/>
      <c r="G123" s="3220"/>
      <c r="H123" s="3220"/>
      <c r="I123" s="3221"/>
    </row>
    <row r="124" spans="1:11" ht="18.75" customHeight="1">
      <c r="A124" s="3210" t="str">
        <f>IF(项目基本情况!B9="房地产市场价值","",MID(E109,3,LEN(E109)-2))</f>
        <v/>
      </c>
      <c r="B124" s="3210"/>
      <c r="C124" s="3210"/>
      <c r="D124" s="3247" t="str">
        <f>H109</f>
        <v>——</v>
      </c>
      <c r="E124" s="3248"/>
      <c r="F124" s="3248"/>
      <c r="G124" s="3248"/>
      <c r="H124" s="3248"/>
      <c r="I124" s="3249"/>
    </row>
    <row r="125" spans="1:11" ht="18.75" customHeight="1">
      <c r="A125" s="3106" t="s">
        <v>2305</v>
      </c>
      <c r="B125" s="3106"/>
      <c r="C125" s="3106"/>
      <c r="D125" s="3219" t="e">
        <f>NUMBERSTRING(INT(D124*10000),2)&amp;"元整"</f>
        <v>#VALUE!</v>
      </c>
      <c r="E125" s="3220"/>
      <c r="F125" s="3220"/>
      <c r="G125" s="3220"/>
      <c r="H125" s="3220"/>
      <c r="I125" s="3221"/>
    </row>
    <row r="126" spans="1:11" ht="18.75" customHeight="1">
      <c r="A126" s="3210" t="str">
        <f>IF(项目基本情况!B9="房地产市场价值","",MID(E111,3,LEN(E111)-2))</f>
        <v/>
      </c>
      <c r="B126" s="3210"/>
      <c r="C126" s="3210"/>
      <c r="D126" s="3247" t="str">
        <f>H111</f>
        <v>——</v>
      </c>
      <c r="E126" s="3248"/>
      <c r="F126" s="3248"/>
      <c r="G126" s="3248"/>
      <c r="H126" s="3248"/>
      <c r="I126" s="3249"/>
    </row>
    <row r="127" spans="1:11" ht="18.75" customHeight="1">
      <c r="A127" s="3106" t="s">
        <v>2305</v>
      </c>
      <c r="B127" s="3106"/>
      <c r="C127" s="3106"/>
      <c r="D127" s="3219" t="e">
        <f>NUMBERSTRING(INT(D126*10000),2)&amp;"元整"</f>
        <v>#VALUE!</v>
      </c>
      <c r="E127" s="3220"/>
      <c r="F127" s="3220"/>
      <c r="G127" s="3220"/>
      <c r="H127" s="3220"/>
      <c r="I127" s="3221"/>
    </row>
    <row r="128" spans="1:11" ht="21.75" customHeight="1">
      <c r="A128" s="3229" t="s">
        <v>2306</v>
      </c>
      <c r="B128" s="3229"/>
      <c r="C128" s="3229"/>
      <c r="D128" s="3229"/>
      <c r="E128" s="3229"/>
      <c r="F128" s="3229"/>
      <c r="G128" s="3229"/>
      <c r="H128" s="3229"/>
      <c r="I128" s="3229"/>
    </row>
    <row r="129" spans="1:35" ht="21.75" customHeight="1">
      <c r="A129" s="2520" t="s">
        <v>2307</v>
      </c>
      <c r="B129" s="2521"/>
      <c r="C129" s="2522" t="s">
        <v>2308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2309</v>
      </c>
      <c r="G135" s="2537"/>
      <c r="H135" s="2537"/>
      <c r="I135" s="2538" t="s">
        <v>2310</v>
      </c>
    </row>
    <row r="136" spans="1:35" ht="21.75" customHeight="1">
      <c r="A136" s="793"/>
      <c r="B136" s="2539"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2312</v>
      </c>
    </row>
    <row r="139" spans="1:35" ht="21.75" customHeight="1">
      <c r="A139" s="793"/>
      <c r="B139" s="2539" t="s">
        <v>2313</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2312</v>
      </c>
    </row>
    <row r="142" spans="1:35" ht="21.75" customHeight="1">
      <c r="A142" s="793"/>
      <c r="B142" s="2539"/>
      <c r="C142" s="2540"/>
      <c r="D142" s="2541"/>
      <c r="E142" s="2541"/>
      <c r="F142" s="2334"/>
      <c r="G142" s="793"/>
      <c r="H142" s="793"/>
      <c r="I142" s="793"/>
    </row>
    <row r="143" spans="1:35" s="139" customFormat="1" ht="21.75" customHeight="1">
      <c r="A143" s="793"/>
      <c r="B143" s="2539"/>
      <c r="C143" s="2540"/>
      <c r="D143" s="2541"/>
      <c r="E143" s="2541"/>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174" priority="10" stopIfTrue="1" operator="equal">
      <formula>25</formula>
    </cfRule>
  </conditionalFormatting>
  <conditionalFormatting sqref="C8:C9">
    <cfRule type="cellIs" dxfId="173" priority="9" stopIfTrue="1" operator="equal">
      <formula>15</formula>
    </cfRule>
  </conditionalFormatting>
  <conditionalFormatting sqref="C14:C16">
    <cfRule type="cellIs" dxfId="172" priority="8" stopIfTrue="1" operator="equal">
      <formula>30</formula>
    </cfRule>
  </conditionalFormatting>
  <conditionalFormatting sqref="D5:D7">
    <cfRule type="cellIs" dxfId="171" priority="7" stopIfTrue="1" operator="equal">
      <formula>25</formula>
    </cfRule>
  </conditionalFormatting>
  <conditionalFormatting sqref="D8:D9">
    <cfRule type="cellIs" dxfId="170" priority="6" stopIfTrue="1" operator="equal">
      <formula>15</formula>
    </cfRule>
  </conditionalFormatting>
  <conditionalFormatting sqref="C10:D13">
    <cfRule type="cellIs" dxfId="169" priority="5" stopIfTrue="1" operator="equal">
      <formula>15</formula>
    </cfRule>
  </conditionalFormatting>
  <conditionalFormatting sqref="D14:D16">
    <cfRule type="cellIs" dxfId="168" priority="4"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sheetPr>
  <dimension ref="A1:AI512"/>
  <sheetViews>
    <sheetView view="pageBreakPreview" zoomScaleSheetLayoutView="100" workbookViewId="0">
      <selection activeCell="F24" sqref="F24"/>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20" t="s">
        <v>2106</v>
      </c>
      <c r="B1" s="2411"/>
      <c r="C1" s="2412" t="s">
        <v>3062</v>
      </c>
      <c r="D1" s="2411"/>
      <c r="E1" s="2411"/>
      <c r="F1" s="2413" t="s">
        <v>2107</v>
      </c>
      <c r="G1" s="2066" t="s">
        <v>3045</v>
      </c>
      <c r="H1" s="2414" t="str">
        <f>IF(G1="现房","——","估价对象范围")</f>
        <v>——</v>
      </c>
      <c r="I1" s="2415" t="s">
        <v>3066</v>
      </c>
    </row>
    <row r="2" spans="1:12" ht="21.75" customHeight="1" thickBot="1">
      <c r="A2" s="3201" t="str">
        <f>项目基本情况!S2</f>
        <v>北京市海淀区西四环北路160号房地产</v>
      </c>
      <c r="B2" s="3202"/>
      <c r="C2" s="3202"/>
      <c r="D2" s="3202"/>
      <c r="E2" s="3202"/>
      <c r="F2" s="3202"/>
      <c r="G2" s="3202"/>
      <c r="H2" s="3202"/>
      <c r="I2" s="3203"/>
    </row>
    <row r="3" spans="1:12" ht="12.75">
      <c r="A3" s="3205" t="s">
        <v>2108</v>
      </c>
      <c r="B3" s="3206"/>
      <c r="C3" s="3206"/>
      <c r="D3" s="3206"/>
      <c r="E3" s="3206"/>
      <c r="F3" s="3206"/>
      <c r="G3" s="3206"/>
      <c r="H3" s="3206"/>
      <c r="I3" s="3206"/>
    </row>
    <row r="4" spans="1:12" ht="14.25">
      <c r="A4" s="2418" t="s">
        <v>2109</v>
      </c>
      <c r="B4" s="2419" t="s">
        <v>2110</v>
      </c>
      <c r="C4" s="2420" t="s">
        <v>3656</v>
      </c>
      <c r="D4" s="2420" t="s">
        <v>3072</v>
      </c>
      <c r="E4" s="3198" t="s">
        <v>2111</v>
      </c>
      <c r="F4" s="3199"/>
      <c r="G4" s="3199"/>
      <c r="H4" s="3199"/>
      <c r="I4" s="3207"/>
      <c r="K4" s="2421" t="str">
        <f>IF(ISNUMBER(FIND("比较法",'结果表 (2) '!C4)),"比较法",IF(ISNUMBER(FIND("成本法",'结果表 (2) '!C4)),"成本法",IF(ISNUMBER(FIND("假设开发法",'结果表 (2) '!C4)),"假设开发法",IF(ISNUMBER(FIND("收益法",'结果表 (2) '!C4)),"收益法","基准地价系数修正法"))))</f>
        <v>比较法</v>
      </c>
      <c r="L4" s="2421" t="str">
        <f>IF(ISNUMBER(FIND("比较法",'结果表 (2) '!D4)),"比较法",IF(ISNUMBER(FIND("成本法",'结果表 (2) '!D4)),"成本法",IF(ISNUMBER(FIND("假设开发法",'结果表 (2) '!D4)),"假设开发法",IF(ISNUMBER(FIND("收益法",'结果表 (2) '!D4)),"收益法","基准地价系数修正法"))))</f>
        <v>收益法</v>
      </c>
    </row>
    <row r="5" spans="1:12" ht="12.75">
      <c r="A5" s="3181" t="s">
        <v>2112</v>
      </c>
      <c r="B5" s="3106">
        <v>25</v>
      </c>
      <c r="C5" s="3184"/>
      <c r="D5" s="3204"/>
      <c r="E5" s="140" t="s">
        <v>2113</v>
      </c>
      <c r="F5" s="2422"/>
      <c r="G5" s="2422"/>
      <c r="H5" s="2422"/>
      <c r="I5" s="1827"/>
    </row>
    <row r="6" spans="1:12" ht="12.75">
      <c r="A6" s="3181"/>
      <c r="B6" s="3106"/>
      <c r="C6" s="3185"/>
      <c r="D6" s="3204"/>
      <c r="E6" s="140" t="s">
        <v>2114</v>
      </c>
      <c r="F6" s="2422"/>
      <c r="G6" s="2422"/>
      <c r="H6" s="2422"/>
      <c r="I6" s="1827"/>
    </row>
    <row r="7" spans="1:12" ht="12.75">
      <c r="A7" s="3181"/>
      <c r="B7" s="3106"/>
      <c r="C7" s="3186"/>
      <c r="D7" s="3204"/>
      <c r="E7" s="140" t="s">
        <v>2115</v>
      </c>
      <c r="F7" s="2422"/>
      <c r="G7" s="2422"/>
      <c r="H7" s="2422"/>
      <c r="I7" s="1827"/>
    </row>
    <row r="8" spans="1:12" ht="12.75">
      <c r="A8" s="3181" t="s">
        <v>2116</v>
      </c>
      <c r="B8" s="3106">
        <v>15</v>
      </c>
      <c r="C8" s="3184"/>
      <c r="D8" s="3204"/>
      <c r="E8" s="140" t="s">
        <v>2117</v>
      </c>
      <c r="F8" s="2422"/>
      <c r="G8" s="2422"/>
      <c r="H8" s="2422"/>
      <c r="I8" s="1827"/>
    </row>
    <row r="9" spans="1:12" ht="12.75">
      <c r="A9" s="3181"/>
      <c r="B9" s="3106"/>
      <c r="C9" s="3186"/>
      <c r="D9" s="3204"/>
      <c r="E9" s="140" t="s">
        <v>2118</v>
      </c>
      <c r="F9" s="2422"/>
      <c r="G9" s="2422"/>
      <c r="H9" s="2422"/>
      <c r="I9" s="1827"/>
    </row>
    <row r="10" spans="1:12" ht="12.75">
      <c r="A10" s="3181" t="s">
        <v>2119</v>
      </c>
      <c r="B10" s="3106">
        <v>15</v>
      </c>
      <c r="C10" s="3184"/>
      <c r="D10" s="3204"/>
      <c r="E10" s="140" t="s">
        <v>2120</v>
      </c>
      <c r="F10" s="2422"/>
      <c r="G10" s="2422"/>
      <c r="H10" s="2422"/>
      <c r="I10" s="1827"/>
    </row>
    <row r="11" spans="1:12" ht="12.75">
      <c r="A11" s="3181"/>
      <c r="B11" s="3106"/>
      <c r="C11" s="3186"/>
      <c r="D11" s="3204"/>
      <c r="E11" s="140" t="s">
        <v>2121</v>
      </c>
      <c r="F11" s="2422"/>
      <c r="G11" s="2422"/>
      <c r="H11" s="2422"/>
      <c r="I11" s="1827"/>
    </row>
    <row r="12" spans="1:12" ht="12.75">
      <c r="A12" s="3181" t="s">
        <v>2122</v>
      </c>
      <c r="B12" s="3106">
        <v>15</v>
      </c>
      <c r="C12" s="3184"/>
      <c r="D12" s="3204"/>
      <c r="E12" s="140" t="s">
        <v>2123</v>
      </c>
      <c r="F12" s="2422"/>
      <c r="G12" s="2422"/>
      <c r="H12" s="2422"/>
      <c r="I12" s="1827"/>
    </row>
    <row r="13" spans="1:12" ht="12.75">
      <c r="A13" s="3181"/>
      <c r="B13" s="3106"/>
      <c r="C13" s="3186"/>
      <c r="D13" s="3204"/>
      <c r="E13" s="140" t="s">
        <v>2124</v>
      </c>
      <c r="F13" s="2422"/>
      <c r="G13" s="2422"/>
      <c r="H13" s="2422"/>
      <c r="I13" s="1827"/>
    </row>
    <row r="14" spans="1:12" ht="12.75">
      <c r="A14" s="3181" t="s">
        <v>2125</v>
      </c>
      <c r="B14" s="3106">
        <v>30</v>
      </c>
      <c r="C14" s="3184">
        <v>7</v>
      </c>
      <c r="D14" s="3204">
        <v>3</v>
      </c>
      <c r="E14" s="140" t="s">
        <v>2126</v>
      </c>
      <c r="F14" s="2422"/>
      <c r="G14" s="2422"/>
      <c r="H14" s="2422"/>
      <c r="I14" s="1827"/>
    </row>
    <row r="15" spans="1:12" ht="12.75">
      <c r="A15" s="3181"/>
      <c r="B15" s="3106"/>
      <c r="C15" s="3185"/>
      <c r="D15" s="3204"/>
      <c r="E15" s="140" t="s">
        <v>2127</v>
      </c>
      <c r="F15" s="2422"/>
      <c r="G15" s="2422"/>
      <c r="H15" s="2422"/>
      <c r="I15" s="1827"/>
    </row>
    <row r="16" spans="1:12" ht="12.75">
      <c r="A16" s="3181"/>
      <c r="B16" s="3106"/>
      <c r="C16" s="3186"/>
      <c r="D16" s="3204"/>
      <c r="E16" s="140" t="s">
        <v>2128</v>
      </c>
      <c r="F16" s="2422"/>
      <c r="G16" s="2422"/>
      <c r="H16" s="2422"/>
      <c r="I16" s="1827"/>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991.5300000000002</v>
      </c>
      <c r="M18" s="2421">
        <f>IF(C1="",'数据-汇总表'!E3,SUMIF(项目类型,C1,'数据-汇总表'!E17:E26))</f>
        <v>991.5300000000002</v>
      </c>
    </row>
    <row r="19" spans="1:35" ht="15">
      <c r="A19" s="2427" t="s">
        <v>2134</v>
      </c>
      <c r="B19" s="2428" t="s">
        <v>2135</v>
      </c>
      <c r="C19" s="143">
        <f ca="1">SUMIF(INDIRECT("'"&amp;C4&amp;"'"&amp;"!A:A"),'结果表 (2) '!B19,INDIRECT("'"&amp;C4&amp;"'"&amp;"!B:B"))</f>
        <v>503</v>
      </c>
      <c r="D19" s="144">
        <f ca="1">SUMIF(INDIRECT("'"&amp;D4&amp;"'"&amp;"!A:A"),'结果表 (2) '!B19,INDIRECT("'"&amp;D4&amp;"'"&amp;"!B:B"))</f>
        <v>361</v>
      </c>
      <c r="E19" s="2427" t="s">
        <v>2136</v>
      </c>
      <c r="F19" s="2428" t="s">
        <v>2135</v>
      </c>
      <c r="G19" s="145">
        <f ca="1">ROUND(C19*$C$18+D19*$D$18,0)</f>
        <v>460</v>
      </c>
      <c r="H19" s="2429" t="s">
        <v>2137</v>
      </c>
      <c r="I19" s="138"/>
      <c r="K19" s="2421" t="s">
        <v>2138</v>
      </c>
      <c r="L19" s="2421">
        <f>IF(C1="",'数据-汇总表'!D3,SUMIF(项目类型,C1,'数据-汇总表'!D17:D26)+SUMIF(项目类型,C1,'数据-汇总表'!H17:H27))</f>
        <v>82.45</v>
      </c>
      <c r="M19" s="2421">
        <f>IF(C1="",'数据-汇总表'!D3,SUMIF(项目类型,C1,'数据-汇总表'!D17:D26))</f>
        <v>82.45</v>
      </c>
    </row>
    <row r="20" spans="1:35" ht="15">
      <c r="A20" s="2430"/>
      <c r="B20" s="1243" t="s">
        <v>2139</v>
      </c>
      <c r="C20" s="146">
        <f ca="1">SUMIF(INDIRECT("'"&amp;C4&amp;"'"&amp;"!A:A"),'结果表 (2) '!B20,INDIRECT("'"&amp;C4&amp;"'"&amp;"!B:B"))</f>
        <v>5073</v>
      </c>
      <c r="D20" s="147">
        <f ca="1">SUMIF(INDIRECT("'"&amp;D4&amp;"'"&amp;"!A:A"),'结果表 (2) '!B20,INDIRECT("'"&amp;D4&amp;"'"&amp;"!B:B"))</f>
        <v>3641</v>
      </c>
      <c r="E20" s="2430"/>
      <c r="F20" s="1243" t="s">
        <v>2139</v>
      </c>
      <c r="G20" s="148">
        <f ca="1">ROUND(C20*$C$18+D20*$D$18,0)</f>
        <v>4643</v>
      </c>
      <c r="H20" s="976" t="s">
        <v>2140</v>
      </c>
      <c r="I20" s="138"/>
    </row>
    <row r="21" spans="1:35" ht="15" customHeight="1" thickBot="1">
      <c r="A21" s="996"/>
      <c r="B21" s="2431" t="s">
        <v>2141</v>
      </c>
      <c r="C21" s="787">
        <f ca="1">ROUND(C19*10000/L19,0)</f>
        <v>61007</v>
      </c>
      <c r="D21" s="788">
        <f ca="1">ROUND(D19*10000/L19,0)</f>
        <v>43784</v>
      </c>
      <c r="E21" s="996"/>
      <c r="F21" s="2431" t="s">
        <v>2141</v>
      </c>
      <c r="G21" s="149">
        <f ca="1">ROUND(G19*10000/L19,0)</f>
        <v>55791</v>
      </c>
      <c r="H21" s="2432" t="s">
        <v>2140</v>
      </c>
      <c r="I21" s="138"/>
    </row>
    <row r="22" spans="1:35" ht="15" thickBot="1">
      <c r="A22" s="2275" t="s">
        <v>2142</v>
      </c>
      <c r="B22" s="2433"/>
      <c r="C22" s="2434"/>
      <c r="D22" s="789">
        <f ca="1">IF(C19&lt;D19,D19/C19-1,C19/D19-1)</f>
        <v>0.39335180055401664</v>
      </c>
      <c r="E22" s="138"/>
      <c r="F22" s="138"/>
      <c r="G22" s="138"/>
      <c r="H22" s="138"/>
      <c r="I22" s="138"/>
    </row>
    <row r="23" spans="1:35" ht="13.5" thickBot="1">
      <c r="A23" s="2411"/>
      <c r="B23" s="2411"/>
      <c r="C23" s="2411"/>
      <c r="D23" s="2411"/>
      <c r="E23" s="138"/>
      <c r="F23" s="138"/>
      <c r="G23" s="138"/>
      <c r="H23" s="138"/>
      <c r="I23" s="138"/>
    </row>
    <row r="24" spans="1:35" ht="14.25">
      <c r="A24" s="3175" t="s">
        <v>2143</v>
      </c>
      <c r="B24" s="2428" t="s">
        <v>2135</v>
      </c>
      <c r="C24" s="145">
        <f>IF(B30=0,0,D30)</f>
        <v>0</v>
      </c>
      <c r="D24" s="2435"/>
      <c r="E24" s="138"/>
      <c r="F24" s="138"/>
      <c r="G24" s="138"/>
      <c r="H24" s="138"/>
      <c r="I24" s="138"/>
    </row>
    <row r="25" spans="1:35" ht="14.25">
      <c r="A25" s="3176"/>
      <c r="B25" s="1243" t="s">
        <v>2139</v>
      </c>
      <c r="C25" s="150">
        <f>IF(B30=0,0,C30)</f>
        <v>0</v>
      </c>
      <c r="D25" s="2436"/>
      <c r="E25" s="138"/>
      <c r="F25" s="138"/>
      <c r="G25" s="138">
        <f>'比较法-办公'!B2+'比较法-商业'!B2+'比较法-车位'!B2</f>
        <v>49281</v>
      </c>
      <c r="H25" s="138">
        <f ca="1">D19</f>
        <v>361</v>
      </c>
      <c r="I25" s="138"/>
    </row>
    <row r="26" spans="1:35" ht="13.5" customHeight="1">
      <c r="A26" s="2437" t="s">
        <v>2144</v>
      </c>
      <c r="B26" s="151" t="s">
        <v>2145</v>
      </c>
      <c r="C26" s="151" t="s">
        <v>2146</v>
      </c>
      <c r="D26" s="152" t="s">
        <v>2147</v>
      </c>
      <c r="E26" s="138"/>
      <c r="F26" s="138"/>
      <c r="G26" s="138">
        <v>0.3</v>
      </c>
      <c r="H26" s="138">
        <f>1-G26</f>
        <v>0.7</v>
      </c>
      <c r="I26" s="138"/>
    </row>
    <row r="27" spans="1:35" ht="14.25">
      <c r="A27" s="2437"/>
      <c r="B27" s="151">
        <v>0</v>
      </c>
      <c r="C27" s="151">
        <v>0</v>
      </c>
      <c r="D27" s="152">
        <f>ROUND(C27*B27/10000,0)</f>
        <v>0</v>
      </c>
      <c r="E27" s="138"/>
      <c r="F27" s="138"/>
      <c r="G27" s="138"/>
      <c r="H27" s="138">
        <f ca="1">G25*G26+H25*H26</f>
        <v>15037</v>
      </c>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2148</v>
      </c>
      <c r="B30" s="151"/>
      <c r="C30" s="151"/>
      <c r="D30" s="151"/>
      <c r="E30" s="2920" t="s">
        <v>3028</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2149</v>
      </c>
      <c r="B32" s="2441"/>
      <c r="C32" s="153">
        <f ca="1">IF(D32="总价",G19-C24,G20-C25)</f>
        <v>460</v>
      </c>
      <c r="D32" s="2442" t="s">
        <v>2150</v>
      </c>
      <c r="E32" s="138"/>
      <c r="F32" s="138"/>
      <c r="G32" s="138"/>
      <c r="H32" s="138"/>
      <c r="I32" s="138"/>
    </row>
    <row r="33" spans="1:15" ht="15">
      <c r="A33" s="953" t="s">
        <v>2151</v>
      </c>
      <c r="B33" s="2443"/>
      <c r="C33" s="2444" t="s">
        <v>3653</v>
      </c>
      <c r="D33" s="2445" t="s">
        <v>3056</v>
      </c>
      <c r="E33" s="2446" t="s">
        <v>2152</v>
      </c>
      <c r="F33" s="2997" t="str">
        <f>IF(D32="楼面单价","取值（单价）","取值（总价）")</f>
        <v>取值（总价）</v>
      </c>
      <c r="G33" s="138"/>
      <c r="H33" s="138"/>
      <c r="I33" s="138"/>
    </row>
    <row r="34" spans="1:15" ht="15">
      <c r="A34" s="2448"/>
      <c r="B34" s="2449" t="s">
        <v>2153</v>
      </c>
      <c r="C34" s="157">
        <f ca="1">IF(C33="自定义",F34,C32-C35)</f>
        <v>460</v>
      </c>
      <c r="D34" s="1051">
        <f ca="1">IF(C33="自定义",ROUND(C34/C32,3),IF(C33="收益比率",SUMIF(INDIRECT("'"&amp;D33&amp;"'"&amp;"!b:b"),"土地收益比率",INDIRECT("'"&amp;D33&amp;"'"&amp;"!c:c")),SUMIF(INDIRECT("'"&amp;D33&amp;"'"&amp;"!b:b"),"土地成本比率",INDIRECT("'"&amp;D33&amp;"'"&amp;"!c:c"))))</f>
        <v>0</v>
      </c>
      <c r="E34" s="2450" t="s">
        <v>2154</v>
      </c>
      <c r="F34" s="1732"/>
      <c r="G34" s="138"/>
      <c r="H34" s="138"/>
      <c r="I34" s="138"/>
    </row>
    <row r="35" spans="1:15" ht="15.75" thickBot="1">
      <c r="A35" s="2451"/>
      <c r="B35" s="2452" t="s">
        <v>2155</v>
      </c>
      <c r="C35" s="1437">
        <f ca="1">IF(C33="自定义",F35,ROUND(C32*D35,0))</f>
        <v>0</v>
      </c>
      <c r="D35" s="1438">
        <f ca="1">IF(C33="自定义",ROUND(C35/C32,3),IF(C33="收益比率",SUMIF(INDIRECT("'"&amp;D33&amp;"'"&amp;"!b:b"),"建筑物收益比率",INDIRECT("'"&amp;D33&amp;"'"&amp;"!c:c")),SUMIF(INDIRECT("'"&amp;D33&amp;"'"&amp;"!b:b"),"建筑物成本比率",INDIRECT("'"&amp;D33&amp;"'"&amp;"!c:c"))))</f>
        <v>0</v>
      </c>
      <c r="E35" s="2453" t="s">
        <v>2156</v>
      </c>
      <c r="F35" s="163"/>
      <c r="G35" s="138"/>
      <c r="H35" s="138"/>
      <c r="I35" s="138"/>
    </row>
    <row r="36" spans="1:15" ht="15.75" thickBot="1">
      <c r="A36" s="3193" t="s">
        <v>2157</v>
      </c>
      <c r="B36" s="2454" t="s">
        <v>2158</v>
      </c>
      <c r="C36" s="154"/>
      <c r="D36" s="2455"/>
      <c r="E36" s="2456"/>
      <c r="F36" s="2457"/>
      <c r="G36" s="138"/>
      <c r="H36" s="138"/>
      <c r="I36" s="138"/>
    </row>
    <row r="37" spans="1:15" ht="15.75" thickBot="1">
      <c r="A37" s="3194"/>
      <c r="B37" s="2261" t="s">
        <v>2159</v>
      </c>
      <c r="C37" s="156"/>
      <c r="D37" s="1388"/>
      <c r="E37" s="1388"/>
      <c r="F37" s="2457"/>
      <c r="G37" s="138"/>
      <c r="H37" s="138"/>
      <c r="I37" s="138"/>
    </row>
    <row r="38" spans="1:15" ht="15.75" thickBot="1">
      <c r="A38" s="3195"/>
      <c r="B38" s="2458" t="s">
        <v>2160</v>
      </c>
      <c r="C38" s="725"/>
      <c r="D38" s="2459" t="s">
        <v>2161</v>
      </c>
      <c r="E38" s="1388"/>
      <c r="F38" s="2457"/>
      <c r="G38" s="138"/>
      <c r="H38" s="138"/>
      <c r="I38" s="138"/>
    </row>
    <row r="39" spans="1:15" ht="15">
      <c r="A39" s="2430" t="s">
        <v>2162</v>
      </c>
      <c r="B39" s="2460" t="s">
        <v>2145</v>
      </c>
      <c r="C39" s="2461" t="s">
        <v>2146</v>
      </c>
      <c r="D39" s="2461" t="s">
        <v>2165</v>
      </c>
      <c r="E39" s="2462" t="s">
        <v>2147</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172" t="s">
        <v>2171</v>
      </c>
      <c r="B45" s="3173"/>
      <c r="C45" s="3174"/>
      <c r="D45" s="164">
        <f ca="1">ROUND(H101*F45,0)</f>
        <v>460</v>
      </c>
      <c r="E45" s="165" t="s">
        <v>2172</v>
      </c>
      <c r="F45" s="166">
        <v>1</v>
      </c>
      <c r="G45" s="167" t="s">
        <v>2173</v>
      </c>
      <c r="H45" s="138"/>
      <c r="I45" s="138"/>
      <c r="J45" s="3232" t="s">
        <v>2174</v>
      </c>
      <c r="K45" s="3232"/>
      <c r="L45" s="3232"/>
      <c r="M45" s="3232"/>
      <c r="N45" s="3232"/>
      <c r="O45" s="3232"/>
    </row>
    <row r="46" spans="1:15" ht="14.25" hidden="1" customHeight="1">
      <c r="A46" s="3169" t="s">
        <v>2175</v>
      </c>
      <c r="B46" s="3170"/>
      <c r="C46" s="3170"/>
      <c r="D46" s="3170"/>
      <c r="E46" s="3170"/>
      <c r="F46" s="3170"/>
      <c r="G46" s="3171"/>
      <c r="H46" s="2473"/>
      <c r="I46" s="168"/>
      <c r="J46" s="3002">
        <v>1</v>
      </c>
      <c r="K46" s="3232" t="s">
        <v>2176</v>
      </c>
      <c r="L46" s="3232"/>
      <c r="M46" s="3252"/>
      <c r="N46" s="3252"/>
      <c r="O46" s="3252"/>
    </row>
    <row r="47" spans="1:15" ht="12" hidden="1" customHeight="1">
      <c r="A47" s="169" t="s">
        <v>2177</v>
      </c>
      <c r="B47" s="170"/>
      <c r="C47" s="171"/>
      <c r="D47" s="172" t="s">
        <v>2178</v>
      </c>
      <c r="E47" s="24" t="s">
        <v>2179</v>
      </c>
      <c r="F47" s="173" t="s">
        <v>2180</v>
      </c>
      <c r="G47" s="174" t="s">
        <v>2181</v>
      </c>
      <c r="H47" s="2473"/>
      <c r="I47" s="168"/>
      <c r="J47" s="3002">
        <v>2</v>
      </c>
      <c r="K47" s="3232" t="s">
        <v>2182</v>
      </c>
      <c r="L47" s="3232"/>
      <c r="M47" s="3253">
        <f>'数据-取费表'!B2</f>
        <v>43185</v>
      </c>
      <c r="N47" s="3253"/>
      <c r="O47" s="3253"/>
    </row>
    <row r="48" spans="1:15" ht="25.5" hidden="1">
      <c r="A48" s="3200" t="s">
        <v>2183</v>
      </c>
      <c r="B48" s="3183"/>
      <c r="C48" s="3183"/>
      <c r="D48" s="140">
        <f>IF(H48="情况1",0,IF(H48="情况2",D52,IF(H48="情况3",D53,IF(H48="情况4",D54))))</f>
        <v>0</v>
      </c>
      <c r="E48" s="3011" t="str">
        <f>IF(H48="情况4","(销售额-原购置价)×税（费）率","销售额×税（费）率")</f>
        <v>销售额×税（费）率</v>
      </c>
      <c r="F48" s="175" t="str">
        <f>IF(H48="情况1","免征",'数据-取费表'!B41)</f>
        <v>免征</v>
      </c>
      <c r="G48" s="2474" t="s">
        <v>2184</v>
      </c>
      <c r="H48" s="2475" t="s">
        <v>2185</v>
      </c>
      <c r="I48" s="2473"/>
      <c r="J48" s="3002">
        <v>3</v>
      </c>
      <c r="K48" s="3232" t="s">
        <v>2186</v>
      </c>
      <c r="L48" s="3232"/>
      <c r="M48" s="3254">
        <f ca="1">H101</f>
        <v>460</v>
      </c>
      <c r="N48" s="3254"/>
      <c r="O48" s="3254"/>
    </row>
    <row r="49" spans="1:35" ht="25.5" hidden="1" customHeight="1">
      <c r="A49" s="176" t="s">
        <v>2187</v>
      </c>
      <c r="B49" s="3168" t="s">
        <v>2188</v>
      </c>
      <c r="C49" s="3168"/>
      <c r="D49" s="177">
        <v>0</v>
      </c>
      <c r="E49" s="23" t="s">
        <v>2189</v>
      </c>
      <c r="F49" s="28" t="s">
        <v>34</v>
      </c>
      <c r="G49" s="3238"/>
      <c r="H49" s="138"/>
      <c r="I49" s="2476"/>
      <c r="J49" s="3002">
        <v>4</v>
      </c>
      <c r="K49" s="3232" t="str">
        <f>IF(项目基本情况!E8="房地产抵押价值","房地产抵押价值","抵押担保权已注销时的房地产抵押价值")</f>
        <v>房地产抵押价值</v>
      </c>
      <c r="L49" s="3232"/>
      <c r="M49" s="3254">
        <f ca="1">IF(项目基本情况!E8="房地产抵押价值",H107,H109)</f>
        <v>460</v>
      </c>
      <c r="N49" s="3254"/>
      <c r="O49" s="3254"/>
    </row>
    <row r="50" spans="1:35" ht="25.5" hidden="1" customHeight="1">
      <c r="A50" s="178"/>
      <c r="B50" s="3168" t="s">
        <v>2190</v>
      </c>
      <c r="C50" s="3168"/>
      <c r="D50" s="179"/>
      <c r="E50" s="31"/>
      <c r="F50" s="180"/>
      <c r="G50" s="3239"/>
      <c r="H50" s="138"/>
      <c r="I50" s="2476"/>
      <c r="J50" s="3232" t="s">
        <v>2191</v>
      </c>
      <c r="K50" s="3232"/>
      <c r="L50" s="3232"/>
      <c r="M50" s="3232"/>
      <c r="N50" s="3232"/>
      <c r="O50" s="3232"/>
    </row>
    <row r="51" spans="1:35" ht="12" hidden="1" customHeight="1">
      <c r="A51" s="181"/>
      <c r="B51" s="3168" t="s">
        <v>2192</v>
      </c>
      <c r="C51" s="3168"/>
      <c r="D51" s="182"/>
      <c r="E51" s="30"/>
      <c r="F51" s="180"/>
      <c r="G51" s="3240"/>
      <c r="H51" s="138"/>
      <c r="I51" s="2476"/>
      <c r="J51" s="2999" t="s">
        <v>2193</v>
      </c>
      <c r="K51" s="3232" t="s">
        <v>2194</v>
      </c>
      <c r="L51" s="3232"/>
      <c r="M51" s="2999" t="s">
        <v>2195</v>
      </c>
      <c r="N51" s="2999" t="s">
        <v>2196</v>
      </c>
      <c r="O51" s="2999" t="s">
        <v>2197</v>
      </c>
    </row>
    <row r="52" spans="1:35" ht="24" hidden="1" customHeight="1">
      <c r="A52" s="183" t="s">
        <v>2198</v>
      </c>
      <c r="B52" s="3168" t="s">
        <v>2199</v>
      </c>
      <c r="C52" s="3168"/>
      <c r="D52" s="182">
        <f ca="1">ROUND(D45*'数据-取费表'!B41/(1+'数据-取费表'!C42),0)</f>
        <v>25</v>
      </c>
      <c r="E52" s="11" t="s">
        <v>2200</v>
      </c>
      <c r="F52" s="184">
        <f>'数据-取费表'!B41</f>
        <v>5.6000000000000001E-2</v>
      </c>
      <c r="G52" s="2478"/>
      <c r="H52" s="138"/>
      <c r="I52" s="2476"/>
      <c r="J52" s="3002">
        <v>1</v>
      </c>
      <c r="K52" s="3233" t="s">
        <v>2201</v>
      </c>
      <c r="L52" s="3233"/>
      <c r="M52" s="1747">
        <f>D48</f>
        <v>0</v>
      </c>
      <c r="N52" s="3002" t="str">
        <f>E48</f>
        <v>销售额×税（费）率</v>
      </c>
      <c r="O52" s="1748" t="str">
        <f>F48</f>
        <v>免征</v>
      </c>
    </row>
    <row r="53" spans="1:35" ht="12" hidden="1" customHeight="1">
      <c r="A53" s="183" t="s">
        <v>2202</v>
      </c>
      <c r="B53" s="3191" t="s">
        <v>2203</v>
      </c>
      <c r="C53" s="3192"/>
      <c r="D53" s="182">
        <f ca="1">ROUND(D45*'数据-取费表'!B41/(1+'数据-取费表'!C42),0)</f>
        <v>25</v>
      </c>
      <c r="E53" s="11" t="s">
        <v>2200</v>
      </c>
      <c r="F53" s="184">
        <f>'数据-取费表'!B41</f>
        <v>5.6000000000000001E-2</v>
      </c>
      <c r="G53" s="2478"/>
      <c r="H53" s="138"/>
      <c r="I53" s="2476"/>
      <c r="J53" s="3002">
        <v>2</v>
      </c>
      <c r="K53" s="3233" t="s">
        <v>2204</v>
      </c>
      <c r="L53" s="3233"/>
      <c r="M53" s="1747">
        <f t="shared" ref="M53:O54" ca="1" si="0">D55</f>
        <v>0</v>
      </c>
      <c r="N53" s="3002" t="str">
        <f t="shared" si="0"/>
        <v>销售额×税（费）率</v>
      </c>
      <c r="O53" s="1748">
        <f t="shared" si="0"/>
        <v>5.0000000000000001E-4</v>
      </c>
    </row>
    <row r="54" spans="1:35" ht="12" hidden="1" customHeight="1">
      <c r="A54" s="183" t="s">
        <v>2205</v>
      </c>
      <c r="B54" s="3191" t="s">
        <v>2206</v>
      </c>
      <c r="C54" s="3192"/>
      <c r="D54" s="182">
        <f ca="1">C68</f>
        <v>25</v>
      </c>
      <c r="E54" s="30" t="s">
        <v>2207</v>
      </c>
      <c r="F54" s="184">
        <f>'数据-取费表'!B41</f>
        <v>5.6000000000000001E-2</v>
      </c>
      <c r="G54" s="2478"/>
      <c r="H54" s="2479"/>
      <c r="I54" s="2476"/>
      <c r="J54" s="3002">
        <v>3</v>
      </c>
      <c r="K54" s="3233" t="s">
        <v>2208</v>
      </c>
      <c r="L54" s="3233"/>
      <c r="M54" s="1747">
        <f t="shared" ca="1" si="0"/>
        <v>260</v>
      </c>
      <c r="N54" s="3002" t="str">
        <f t="shared" si="0"/>
        <v>增值额×税（费）率</v>
      </c>
      <c r="O54" s="1749" t="str">
        <f t="shared" si="0"/>
        <v>——</v>
      </c>
    </row>
    <row r="55" spans="1:35" ht="24" hidden="1" customHeight="1">
      <c r="A55" s="3182" t="s">
        <v>2209</v>
      </c>
      <c r="B55" s="3183"/>
      <c r="C55" s="3183"/>
      <c r="D55" s="185">
        <f ca="1">IF(H55="个人住宅",0,ROUND(D45*I55,0))</f>
        <v>0</v>
      </c>
      <c r="E55" s="11" t="s">
        <v>2210</v>
      </c>
      <c r="F55" s="184">
        <f>IF(H55="正常",I55,"免征")</f>
        <v>5.0000000000000001E-4</v>
      </c>
      <c r="G55" s="2478"/>
      <c r="H55" s="2475" t="s">
        <v>2211</v>
      </c>
      <c r="I55" s="186">
        <f>'数据-取费表'!B49</f>
        <v>5.0000000000000001E-4</v>
      </c>
      <c r="J55" s="3002" t="str">
        <f>IF(H59="非个人房产","",4)</f>
        <v/>
      </c>
      <c r="K55" s="3233" t="str">
        <f>IF(H59="非个人房产","——","个人所得税")</f>
        <v>——</v>
      </c>
      <c r="L55" s="3233"/>
      <c r="M55" s="1750" t="str">
        <f>D59</f>
        <v>——</v>
      </c>
      <c r="N55" s="3003" t="str">
        <f>E59</f>
        <v>——</v>
      </c>
      <c r="O55" s="1751" t="str">
        <f>F59</f>
        <v>——</v>
      </c>
    </row>
    <row r="56" spans="1:35" ht="24.75" hidden="1">
      <c r="A56" s="3182" t="s">
        <v>2212</v>
      </c>
      <c r="B56" s="3183"/>
      <c r="C56" s="3183"/>
      <c r="D56" s="185">
        <f ca="1">IF(H56="个人住宅",D57,D58)</f>
        <v>260</v>
      </c>
      <c r="E56" s="11" t="s">
        <v>2213</v>
      </c>
      <c r="F56" s="184" t="str">
        <f>IF(H56="正常",F58,"免征")</f>
        <v>——</v>
      </c>
      <c r="G56" s="2480" t="s">
        <v>2214</v>
      </c>
      <c r="H56" s="2481" t="s">
        <v>2211</v>
      </c>
      <c r="I56" s="2482"/>
      <c r="J56" s="3002" t="str">
        <f>IF(项目基本情况!K6="上海银行",IF(J55="",4,J55+1),"")</f>
        <v/>
      </c>
      <c r="K56" s="3256" t="str">
        <f>IF(项目基本情况!K6="上海银行","其他处置费用","")</f>
        <v/>
      </c>
      <c r="L56" s="3257"/>
      <c r="M56" s="1747" t="str">
        <f>IF(项目基本情况!K6="上海银行",M69,"")</f>
        <v/>
      </c>
      <c r="N56" s="3259" t="str">
        <f>IF(项目基本情况!K6="上海银行","包含处置中涉及的律师、诉讼、拍卖、评估等费用","")</f>
        <v/>
      </c>
      <c r="O56" s="3260"/>
    </row>
    <row r="57" spans="1:35" ht="12.75" hidden="1">
      <c r="A57" s="183" t="s">
        <v>2187</v>
      </c>
      <c r="B57" s="3198" t="s">
        <v>2215</v>
      </c>
      <c r="C57" s="3207"/>
      <c r="D57" s="187">
        <v>0</v>
      </c>
      <c r="E57" s="23" t="s">
        <v>2189</v>
      </c>
      <c r="F57" s="155"/>
      <c r="G57" s="2478"/>
      <c r="H57" s="2482"/>
      <c r="I57" s="2482"/>
      <c r="J57" s="3233">
        <f>IF(AND(J55="",J56=""),4,IF(项目基本情况!K6="上海银行",'结果表 (2) '!J56+1,'结果表 (2) '!J55+1))</f>
        <v>4</v>
      </c>
      <c r="K57" s="3233" t="s">
        <v>2216</v>
      </c>
      <c r="L57" s="2483" t="s">
        <v>2217</v>
      </c>
      <c r="M57" s="1752"/>
      <c r="N57" s="1753">
        <f ca="1">SUMIF(M52:M56,"&lt;9e307")</f>
        <v>260</v>
      </c>
      <c r="O57" s="2484"/>
      <c r="P57" s="1746">
        <f ca="1">N57/M49</f>
        <v>0.56521739130434778</v>
      </c>
    </row>
    <row r="58" spans="1:35" ht="24.75" hidden="1">
      <c r="A58" s="183" t="s">
        <v>2198</v>
      </c>
      <c r="B58" s="3198" t="s">
        <v>2218</v>
      </c>
      <c r="C58" s="3199"/>
      <c r="D58" s="185">
        <f ca="1">IF(H58="转让取得",C81,C97)</f>
        <v>260</v>
      </c>
      <c r="E58" s="11" t="s">
        <v>2213</v>
      </c>
      <c r="F58" s="24" t="s">
        <v>34</v>
      </c>
      <c r="G58" s="2478"/>
      <c r="H58" s="2481" t="s">
        <v>2219</v>
      </c>
      <c r="I58" s="2482"/>
      <c r="J58" s="3233"/>
      <c r="K58" s="3233"/>
      <c r="L58" s="2483" t="s">
        <v>2220</v>
      </c>
      <c r="M58" s="1754"/>
      <c r="N58" s="2485" t="str">
        <f ca="1">NUMBERSTRING(INT(N57*10000),2)&amp;"元整"</f>
        <v>贰佰陆拾万元整</v>
      </c>
      <c r="O58" s="2486"/>
    </row>
    <row r="59" spans="1:35" ht="24.75" hidden="1" thickBot="1">
      <c r="A59" s="3236" t="s">
        <v>2221</v>
      </c>
      <c r="B59" s="3237"/>
      <c r="C59" s="3237"/>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234">
        <f>J57+1</f>
        <v>5</v>
      </c>
      <c r="K59" s="3233" t="s">
        <v>2223</v>
      </c>
      <c r="L59" s="3002" t="s">
        <v>2217</v>
      </c>
      <c r="M59" s="1755"/>
      <c r="N59" s="1756">
        <f ca="1">M49-N57</f>
        <v>200</v>
      </c>
      <c r="O59" s="2488"/>
    </row>
    <row r="60" spans="1:35" ht="12" hidden="1" customHeight="1">
      <c r="A60" s="2489"/>
      <c r="B60" s="2411"/>
      <c r="C60" s="2411"/>
      <c r="D60" s="2411"/>
      <c r="E60" s="2161"/>
      <c r="F60" s="2482"/>
      <c r="G60" s="2482"/>
      <c r="H60" s="2490"/>
      <c r="I60" s="138"/>
      <c r="J60" s="3235"/>
      <c r="K60" s="3233"/>
      <c r="L60" s="2483" t="s">
        <v>2220</v>
      </c>
      <c r="M60" s="1754"/>
      <c r="N60" s="2485" t="str">
        <f ca="1">NUMBERSTRING(INT(N59*10000),2)&amp;"元整"</f>
        <v>贰佰万元整</v>
      </c>
      <c r="O60" s="2486"/>
    </row>
    <row r="61" spans="1:35" ht="13.5" hidden="1" thickBot="1">
      <c r="A61" s="3180" t="s">
        <v>2224</v>
      </c>
      <c r="B61" s="3180"/>
      <c r="C61" s="3180"/>
      <c r="D61" s="3180"/>
      <c r="E61" s="3180"/>
      <c r="F61" s="2482"/>
      <c r="G61" s="2482"/>
      <c r="H61" s="2490"/>
      <c r="I61" s="138"/>
      <c r="J61" s="3002">
        <f>J59+1</f>
        <v>6</v>
      </c>
      <c r="K61" s="3233" t="s">
        <v>2225</v>
      </c>
      <c r="L61" s="3233"/>
      <c r="M61" s="1757"/>
      <c r="N61" s="1758">
        <f ca="1">ROUND(N59*10000/'数据-汇总表'!E3,0)</f>
        <v>172</v>
      </c>
      <c r="O61" s="2491"/>
    </row>
    <row r="62" spans="1:35" ht="12.75" hidden="1">
      <c r="A62" s="3196" t="s">
        <v>2226</v>
      </c>
      <c r="B62" s="3197"/>
      <c r="C62" s="3007"/>
      <c r="D62" s="3007" t="s">
        <v>2227</v>
      </c>
      <c r="E62" s="192" t="s">
        <v>2228</v>
      </c>
      <c r="F62" s="2482"/>
      <c r="G62" s="2482"/>
      <c r="H62" s="2490"/>
      <c r="I62" s="138"/>
    </row>
    <row r="63" spans="1:35" ht="12.75" hidden="1">
      <c r="A63" s="203" t="s">
        <v>775</v>
      </c>
      <c r="B63" s="193" t="s">
        <v>2229</v>
      </c>
      <c r="C63" s="194">
        <f ca="1">ROUND((C64+C65)/(1+'数据-取费表'!C42),0)</f>
        <v>438</v>
      </c>
      <c r="D63" s="195"/>
      <c r="E63" s="196"/>
      <c r="F63" s="2482"/>
      <c r="G63" s="2482"/>
      <c r="H63" s="2490"/>
      <c r="I63" s="138"/>
      <c r="J63" s="3258" t="s">
        <v>2230</v>
      </c>
      <c r="K63" s="3000" t="s">
        <v>2231</v>
      </c>
      <c r="L63" s="1745">
        <f ca="1">IF(M49&gt;10000,M49*0.5%,IF(AND(M49&gt;1000,M49&lt;=10000),M49*1%,IF(AND(M49&gt;100,M49&lt;=1000),M49*3%,IF(AND(M49&gt;10,M49&lt;=100),M49*5%,M49*8%))))</f>
        <v>13.799999999999999</v>
      </c>
      <c r="M63" s="24">
        <f ca="1">ROUND(L63,1)</f>
        <v>13.8</v>
      </c>
      <c r="Z63" s="2416"/>
      <c r="AI63" s="2417"/>
    </row>
    <row r="64" spans="1:35" ht="14.25" hidden="1" customHeight="1">
      <c r="A64" s="197" t="s">
        <v>770</v>
      </c>
      <c r="B64" s="198" t="s">
        <v>2232</v>
      </c>
      <c r="C64" s="199">
        <f ca="1">D45</f>
        <v>460</v>
      </c>
      <c r="D64" s="200" t="s">
        <v>32</v>
      </c>
      <c r="E64" s="201"/>
      <c r="F64" s="2482"/>
      <c r="G64" s="2482"/>
      <c r="H64" s="2490"/>
      <c r="I64" s="138"/>
      <c r="J64" s="3258"/>
      <c r="K64" s="3000" t="s">
        <v>2233</v>
      </c>
      <c r="L64" s="1745">
        <f ca="1">IF(M49&gt;2000,M49*0.5%,IF(AND(M49&gt;1000,M49&lt;=2000),M49*0.6%,IF(AND(M49&gt;500,M49&lt;=1000),M49*0.7%,IF(AND(M49&gt;200,M49&lt;=500),M49*0.8%,IF(AND(M49&gt;100,M49&lt;=200),M49*0.9%,IF(AND(M49&gt;50,M49&lt;=100),M49*1%,IF(AND(M49&gt;20,M49&lt;=50),M49*1.5%,IF(AND(M49&gt;10,M49&lt;=20),M49*2%,IF(AND(M49&gt;1,M49&lt;=10),M49*2.5%)))))))))</f>
        <v>3.68</v>
      </c>
      <c r="M64" s="24">
        <f t="shared" ref="M64:M65" ca="1" si="1">ROUND(L64,1)</f>
        <v>3.7</v>
      </c>
      <c r="N64" s="138" t="s">
        <v>2234</v>
      </c>
      <c r="Z64" s="2416"/>
      <c r="AI64" s="2417"/>
    </row>
    <row r="65" spans="1:35" ht="14.25" hidden="1" customHeight="1">
      <c r="A65" s="197" t="s">
        <v>771</v>
      </c>
      <c r="B65" s="198" t="s">
        <v>2235</v>
      </c>
      <c r="C65" s="202"/>
      <c r="D65" s="200"/>
      <c r="E65" s="201"/>
      <c r="F65" s="2482"/>
      <c r="G65" s="2482"/>
      <c r="H65" s="2490"/>
      <c r="I65" s="138"/>
      <c r="J65" s="3258"/>
      <c r="K65" s="3000" t="s">
        <v>2236</v>
      </c>
      <c r="L65" s="1745">
        <f ca="1">IF(M49&gt;1000,M49*0.1%,IF(AND(M49&gt;500,M49&lt;=1000),M49*0.5%,IF(AND(M49&gt;50,M49&lt;=500),M49*1%,IF(AND(M49&gt;1,M49&lt;=50),M49*1.5%))))</f>
        <v>4.6000000000000005</v>
      </c>
      <c r="M65" s="24">
        <f t="shared" ca="1" si="1"/>
        <v>4.5999999999999996</v>
      </c>
      <c r="N65" s="138" t="s">
        <v>2234</v>
      </c>
      <c r="Z65" s="2416"/>
      <c r="AI65" s="2417"/>
    </row>
    <row r="66" spans="1:35" ht="14.25" hidden="1" customHeight="1">
      <c r="A66" s="203" t="s">
        <v>772</v>
      </c>
      <c r="B66" s="204" t="s">
        <v>2237</v>
      </c>
      <c r="C66" s="205"/>
      <c r="D66" s="206" t="s">
        <v>32</v>
      </c>
      <c r="E66" s="1769" t="s">
        <v>1371</v>
      </c>
      <c r="F66" s="2482"/>
      <c r="G66" s="2482"/>
      <c r="H66" s="2490"/>
      <c r="I66" s="138"/>
      <c r="J66" s="3258"/>
      <c r="K66" s="3000" t="s">
        <v>2238</v>
      </c>
      <c r="L66" s="1745">
        <f ca="1">M49*0.5%</f>
        <v>2.3000000000000003</v>
      </c>
      <c r="M66" s="24">
        <f ca="1">IF(L66&gt;0.5,0.5,ROUND(L66,0))</f>
        <v>0.5</v>
      </c>
      <c r="N66" s="138" t="s">
        <v>2239</v>
      </c>
      <c r="Z66" s="2416"/>
      <c r="AI66" s="2417"/>
    </row>
    <row r="67" spans="1:35" ht="14.25" hidden="1" customHeight="1">
      <c r="A67" s="203" t="s">
        <v>773</v>
      </c>
      <c r="B67" s="204" t="s">
        <v>2240</v>
      </c>
      <c r="C67" s="207">
        <f ca="1">C63-C66</f>
        <v>438</v>
      </c>
      <c r="D67" s="200" t="s">
        <v>32</v>
      </c>
      <c r="E67" s="201"/>
      <c r="F67" s="2482"/>
      <c r="G67" s="2482"/>
      <c r="H67" s="2490"/>
      <c r="I67" s="138"/>
      <c r="J67" s="3258"/>
      <c r="K67" s="3000" t="s">
        <v>2241</v>
      </c>
      <c r="L67" s="1745">
        <f ca="1">IF(M49&gt;=10000,(8.25+(M49-10000)*0.01%),IF(AND(M49&gt;=8000,M49&lt;10000),(7.85+(M49-8000)*0.02%),IF(AND(M49&gt;=5000,M49&lt;8000),(6.65+(M49-5000)*0.04%),IF(AND(M49&gt;=2000,M49&lt;5000),(4.25+(PM49-2000)*0.08%),IF(AND(M49&gt;=1000,M49&lt;2000),(2.75+(M49-1000)*0.15%),IF(AND(M49&gt;=100,M49&lt;1000),(0.5+(M49-100)*0.25%),IF(AND(M49&gt;0,M49&lt;100),M49*0.5%)))))))</f>
        <v>1.4</v>
      </c>
      <c r="M67" s="24">
        <f ca="1">ROUND(L67*0.9,1)</f>
        <v>1.3</v>
      </c>
      <c r="Z67" s="2416"/>
      <c r="AI67" s="2417"/>
    </row>
    <row r="68" spans="1:35" ht="14.25" hidden="1" customHeight="1" thickBot="1">
      <c r="A68" s="208" t="s">
        <v>774</v>
      </c>
      <c r="B68" s="209" t="s">
        <v>2242</v>
      </c>
      <c r="C68" s="210">
        <f ca="1">IF(C67&lt;=0,0,ROUND(C67*D68,0))</f>
        <v>25</v>
      </c>
      <c r="D68" s="211">
        <f>'数据-取费表'!B41</f>
        <v>5.6000000000000001E-2</v>
      </c>
      <c r="E68" s="212"/>
      <c r="F68" s="2482"/>
      <c r="G68" s="2482"/>
      <c r="H68" s="2490"/>
      <c r="I68" s="138"/>
      <c r="J68" s="3258"/>
      <c r="K68" s="3000" t="s">
        <v>2243</v>
      </c>
      <c r="L68" s="1745">
        <f ca="1">IF(M49&gt;10000,M49*0.5%,IF(AND(M49&gt;5000,M49&lt;=10000),M49*1%,IF(AND(M49&gt;1000,M49&lt;=5000),M49*2%,IF(AND(M49&gt;200,M49&lt;=1000),M49*3%,M49*5%))))</f>
        <v>13.799999999999999</v>
      </c>
      <c r="M68" s="24">
        <f ca="1">ROUND(L68,1)</f>
        <v>13.8</v>
      </c>
      <c r="Z68" s="2416"/>
      <c r="AI68" s="2417"/>
    </row>
    <row r="69" spans="1:35" s="2439" customFormat="1" ht="16.5" hidden="1" customHeight="1">
      <c r="A69" s="2493"/>
      <c r="B69" s="2494"/>
      <c r="C69" s="2495"/>
      <c r="D69" s="2496"/>
      <c r="E69" s="2497"/>
      <c r="F69" s="2161"/>
      <c r="G69" s="2161"/>
      <c r="H69" s="2160"/>
      <c r="I69" s="2411"/>
      <c r="J69" s="3258"/>
      <c r="K69" s="3000" t="s">
        <v>2244</v>
      </c>
      <c r="L69" s="2498"/>
      <c r="M69" s="24">
        <f ca="1">ROUND(SUM(M63:M68),0)</f>
        <v>38</v>
      </c>
      <c r="N69" s="1746">
        <f ca="1">M69/M49</f>
        <v>8.2608695652173908E-2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4.25" hidden="1">
      <c r="A70" s="3217" t="s">
        <v>2245</v>
      </c>
      <c r="B70" s="3218"/>
      <c r="C70" s="3218"/>
      <c r="D70" s="3218"/>
      <c r="E70" s="3218"/>
      <c r="F70" s="3218"/>
      <c r="G70" s="3218"/>
      <c r="H70" s="321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96" t="s">
        <v>2226</v>
      </c>
      <c r="B71" s="3197"/>
      <c r="C71" s="3007"/>
      <c r="D71" s="3007"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438</v>
      </c>
      <c r="D72" s="200" t="s">
        <v>32</v>
      </c>
      <c r="E72" s="3009"/>
      <c r="F72" s="3008"/>
      <c r="G72" s="3008"/>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3</v>
      </c>
      <c r="D73" s="200" t="s">
        <v>32</v>
      </c>
      <c r="E73" s="3009"/>
      <c r="F73" s="3008"/>
      <c r="G73" s="3008"/>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3009"/>
      <c r="F74" s="3008"/>
      <c r="G74" s="3008"/>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91" t="s">
        <v>2254</v>
      </c>
      <c r="F76" s="3168"/>
      <c r="G76" s="3168"/>
      <c r="H76" s="321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3001" t="s">
        <v>2256</v>
      </c>
      <c r="F77" s="224"/>
      <c r="G77" s="2506" t="s">
        <v>2257</v>
      </c>
      <c r="H77" s="301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3</v>
      </c>
      <c r="D78" s="226">
        <f>'数据-取费表'!B43</f>
        <v>6.000000000000001E-3</v>
      </c>
      <c r="E78" s="3177" t="s">
        <v>2259</v>
      </c>
      <c r="F78" s="3178"/>
      <c r="G78" s="3178"/>
      <c r="H78" s="3187"/>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773</v>
      </c>
      <c r="B79" s="204" t="s">
        <v>2260</v>
      </c>
      <c r="C79" s="207">
        <f ca="1">C72-C73</f>
        <v>435</v>
      </c>
      <c r="D79" s="200" t="s">
        <v>32</v>
      </c>
      <c r="E79" s="3009"/>
      <c r="F79" s="3008"/>
      <c r="G79" s="3008"/>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145</v>
      </c>
      <c r="D80" s="200" t="s">
        <v>32</v>
      </c>
      <c r="E80" s="3001" t="str">
        <f ca="1">IF(C80&gt;=200%,"增值额超过扣除项目金额200%",IF(C80&gt;=100%,"增值额超过扣除项目金额100%，未超过200%",IF(C80&gt;=50%,"增值额超过扣除项目金额50%，未超过100%",IF(C80&lt;50%,"增值额未超过扣除项目金额50%"))))</f>
        <v>增值额超过扣除项目金额200%</v>
      </c>
      <c r="F80" s="3008"/>
      <c r="G80" s="3008"/>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260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25" hidden="1">
      <c r="A83" s="3217" t="s">
        <v>2263</v>
      </c>
      <c r="B83" s="3218"/>
      <c r="C83" s="3218"/>
      <c r="D83" s="3218"/>
      <c r="E83" s="3218"/>
      <c r="F83" s="3218"/>
      <c r="G83" s="3218"/>
      <c r="H83" s="321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96" t="s">
        <v>2226</v>
      </c>
      <c r="B84" s="3197"/>
      <c r="C84" s="3007"/>
      <c r="D84" s="3007"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438</v>
      </c>
      <c r="D85" s="200" t="s">
        <v>32</v>
      </c>
      <c r="E85" s="3009"/>
      <c r="F85" s="3008"/>
      <c r="G85" s="3008"/>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3</v>
      </c>
      <c r="D86" s="235"/>
      <c r="E86" s="3009"/>
      <c r="F86" s="3008"/>
      <c r="G86" s="3008"/>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3004"/>
      <c r="F87" s="3005"/>
      <c r="G87" s="3005"/>
      <c r="H87" s="300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300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3005"/>
      <c r="G89" s="3005"/>
      <c r="H89" s="300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3005"/>
      <c r="G90" s="3005"/>
      <c r="H90" s="300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77" t="s">
        <v>2272</v>
      </c>
      <c r="F91" s="3178"/>
      <c r="G91" s="3178"/>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77" t="s">
        <v>2276</v>
      </c>
      <c r="F92" s="3178"/>
      <c r="G92" s="3178"/>
      <c r="H92" s="3187"/>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3</v>
      </c>
      <c r="D93" s="226">
        <f>'数据-取费表'!B43</f>
        <v>6.000000000000001E-3</v>
      </c>
      <c r="E93" s="3177" t="s">
        <v>2259</v>
      </c>
      <c r="F93" s="3178"/>
      <c r="G93" s="3178"/>
      <c r="H93" s="3187"/>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188" t="s">
        <v>2280</v>
      </c>
      <c r="F94" s="3189"/>
      <c r="G94" s="3189"/>
      <c r="H94" s="319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773</v>
      </c>
      <c r="B95" s="204" t="s">
        <v>2260</v>
      </c>
      <c r="C95" s="207">
        <f ca="1">ROUND(C85-C86,0)</f>
        <v>435</v>
      </c>
      <c r="D95" s="200" t="s">
        <v>32</v>
      </c>
      <c r="E95" s="3009"/>
      <c r="F95" s="3008"/>
      <c r="G95" s="3008"/>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145</v>
      </c>
      <c r="D96" s="200" t="s">
        <v>32</v>
      </c>
      <c r="E96" s="3001" t="str">
        <f ca="1">IF(C96&gt;=200%,"增值额超过扣除项目金额200%",IF(C96&gt;=100%,"增值额超过扣除项目金额100%，未超过200%",IF(C96&gt;=50%,"增值额超过扣除项目金额50%，未超过100%",IF(C96&lt;50%,"增值额未超过扣除项目金额50%"))))</f>
        <v>增值额超过扣除项目金额200%</v>
      </c>
      <c r="F96" s="3008"/>
      <c r="G96" s="3008"/>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260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2281</v>
      </c>
      <c r="B99" s="2411"/>
      <c r="C99" s="2411"/>
      <c r="D99" s="2411"/>
      <c r="E99" s="2161"/>
      <c r="F99" s="2161"/>
      <c r="G99" s="2161"/>
      <c r="H99" s="2160"/>
      <c r="I99" s="138"/>
    </row>
    <row r="100" spans="1:35" ht="18.75" customHeight="1">
      <c r="A100" s="3149" t="s">
        <v>2282</v>
      </c>
      <c r="B100" s="3150"/>
      <c r="C100" s="3150"/>
      <c r="D100" s="3179"/>
      <c r="E100" s="3150" t="s">
        <v>2283</v>
      </c>
      <c r="F100" s="3150"/>
      <c r="G100" s="3150"/>
      <c r="H100" s="3179"/>
      <c r="I100" s="138"/>
    </row>
    <row r="101" spans="1:35" ht="18.75" customHeight="1">
      <c r="A101" s="3241" t="s">
        <v>2284</v>
      </c>
      <c r="B101" s="3242"/>
      <c r="C101" s="734" t="str">
        <f>C4</f>
        <v>比较法-车位</v>
      </c>
      <c r="D101" s="735" t="str">
        <f>D4</f>
        <v>收益法（车位）</v>
      </c>
      <c r="E101" s="3255" t="s">
        <v>2285</v>
      </c>
      <c r="F101" s="3209"/>
      <c r="G101" s="2513" t="s">
        <v>2286</v>
      </c>
      <c r="H101" s="1041">
        <f ca="1">H118</f>
        <v>460</v>
      </c>
      <c r="I101" s="138"/>
    </row>
    <row r="102" spans="1:35" ht="18.75" customHeight="1">
      <c r="A102" s="3211" t="s">
        <v>2287</v>
      </c>
      <c r="B102" s="2513" t="s">
        <v>2286</v>
      </c>
      <c r="C102" s="734">
        <f ca="1">C19</f>
        <v>503</v>
      </c>
      <c r="D102" s="735">
        <f ca="1">D19</f>
        <v>361</v>
      </c>
      <c r="E102" s="3255"/>
      <c r="F102" s="3209"/>
      <c r="G102" s="2513" t="s">
        <v>2288</v>
      </c>
      <c r="H102" s="371">
        <f ca="1">I118</f>
        <v>4639</v>
      </c>
      <c r="I102" s="138"/>
    </row>
    <row r="103" spans="1:35" ht="42.75" customHeight="1">
      <c r="A103" s="3211"/>
      <c r="B103" s="2513" t="s">
        <v>2288</v>
      </c>
      <c r="C103" s="736">
        <f ca="1">C20</f>
        <v>5073</v>
      </c>
      <c r="D103" s="737">
        <f ca="1">D20</f>
        <v>3641</v>
      </c>
      <c r="E103" s="3250" t="s">
        <v>2289</v>
      </c>
      <c r="F103" s="3251"/>
      <c r="G103" s="2514" t="s">
        <v>2290</v>
      </c>
      <c r="H103" s="1041">
        <f>IF(D36="正常操作",H104+H105+H106,H105+H106)</f>
        <v>0</v>
      </c>
      <c r="I103" s="138"/>
    </row>
    <row r="104" spans="1:35" ht="18.75" customHeight="1">
      <c r="A104" s="3211" t="s">
        <v>2291</v>
      </c>
      <c r="B104" s="2515" t="s">
        <v>2286</v>
      </c>
      <c r="C104" s="738">
        <f ca="1">H118</f>
        <v>460</v>
      </c>
      <c r="D104" s="739"/>
      <c r="E104" s="2261" t="s">
        <v>2292</v>
      </c>
      <c r="F104" s="2253"/>
      <c r="G104" s="2514" t="s">
        <v>2290</v>
      </c>
      <c r="H104" s="1042">
        <f>IF(D36="同一抵押权人同一抵押物续贷",C36&amp;"（未扣减，详见特别提示）",C36)</f>
        <v>0</v>
      </c>
      <c r="I104" s="138"/>
    </row>
    <row r="105" spans="1:35" ht="18.75" customHeight="1" thickBot="1">
      <c r="A105" s="3212"/>
      <c r="B105" s="2516" t="s">
        <v>2288</v>
      </c>
      <c r="C105" s="740">
        <f ca="1">I118</f>
        <v>4639</v>
      </c>
      <c r="D105" s="741"/>
      <c r="E105" s="2261" t="s">
        <v>2293</v>
      </c>
      <c r="F105" s="2253"/>
      <c r="G105" s="2514" t="s">
        <v>2290</v>
      </c>
      <c r="H105" s="1042">
        <f>C37</f>
        <v>0</v>
      </c>
      <c r="I105" s="138"/>
    </row>
    <row r="106" spans="1:35" ht="18.75" customHeight="1">
      <c r="A106" s="2411" t="s">
        <v>2294</v>
      </c>
      <c r="B106" s="2411"/>
      <c r="C106" s="2411"/>
      <c r="D106" s="2411"/>
      <c r="E106" s="2517" t="s">
        <v>2295</v>
      </c>
      <c r="F106" s="2253"/>
      <c r="G106" s="2514" t="s">
        <v>2290</v>
      </c>
      <c r="H106" s="1042">
        <f>C38</f>
        <v>0</v>
      </c>
      <c r="I106" s="138"/>
    </row>
    <row r="107" spans="1:35" ht="18.75" customHeight="1">
      <c r="A107" s="138"/>
      <c r="B107" s="138"/>
      <c r="C107" s="138"/>
      <c r="D107" s="138"/>
      <c r="E107" s="3208" t="str">
        <f>IF(项目基本情况!E8="已注销","——","3.房地产抵押价值")</f>
        <v>3.房地产抵押价值</v>
      </c>
      <c r="F107" s="3209"/>
      <c r="G107" s="2513" t="s">
        <v>2286</v>
      </c>
      <c r="H107" s="1041">
        <f ca="1">IF(E107="——","——",H101-H103)</f>
        <v>460</v>
      </c>
      <c r="I107" s="138"/>
    </row>
    <row r="108" spans="1:35" ht="18.75" customHeight="1">
      <c r="A108" s="138"/>
      <c r="B108" s="138"/>
      <c r="C108" s="138"/>
      <c r="D108" s="138"/>
      <c r="E108" s="3208"/>
      <c r="F108" s="3209"/>
      <c r="G108" s="2513" t="s">
        <v>2288</v>
      </c>
      <c r="H108" s="371">
        <f ca="1">ROUND(H107*10000/'数据-汇总表'!E3,0)</f>
        <v>396</v>
      </c>
      <c r="I108" s="138"/>
    </row>
    <row r="109" spans="1:35" ht="18.75" customHeight="1">
      <c r="A109" s="138"/>
      <c r="B109" s="138"/>
      <c r="C109" s="138"/>
      <c r="D109" s="138"/>
      <c r="E109" s="3208" t="str">
        <f>IF(项目基本情况!E8="已注销及未注销","4.抵押担保权已注销时的房地产抵押价值",IF(项目基本情况!E8="已注销","3.抵押担保权已注销时的房地产抵押价值","——"))</f>
        <v>——</v>
      </c>
      <c r="F109" s="3209"/>
      <c r="G109" s="2513" t="s">
        <v>2286</v>
      </c>
      <c r="H109" s="348" t="str">
        <f>IF(E109="——","——",H101-H105-H106)</f>
        <v>——</v>
      </c>
      <c r="I109" s="138"/>
    </row>
    <row r="110" spans="1:35" ht="18.75" customHeight="1">
      <c r="A110" s="138"/>
      <c r="B110" s="138"/>
      <c r="C110" s="138"/>
      <c r="D110" s="138"/>
      <c r="E110" s="3208"/>
      <c r="F110" s="3209"/>
      <c r="G110" s="2513" t="s">
        <v>2288</v>
      </c>
      <c r="H110" s="371" t="str">
        <f>IF(H109="——","——",ROUND(H109*10000/'数据-汇总表'!E3,0))</f>
        <v>——</v>
      </c>
      <c r="I110" s="138"/>
    </row>
    <row r="111" spans="1:35" ht="18.75" customHeight="1">
      <c r="A111" s="138"/>
      <c r="B111" s="138"/>
      <c r="C111" s="138"/>
      <c r="D111" s="138"/>
      <c r="E111" s="3243" t="str">
        <f>IF(项目基本情况!E9="抵押净值",IF(OR(项目基本情况!E8="已注销",项目基本情况!E8="房地产抵押价值"),"4.抵押净值","5.抵押净值"),"——")</f>
        <v>——</v>
      </c>
      <c r="F111" s="3244"/>
      <c r="G111" s="2513" t="s">
        <v>2286</v>
      </c>
      <c r="H111" s="1041" t="str">
        <f>IF(E111="——","——",N59)</f>
        <v>——</v>
      </c>
      <c r="I111" s="138"/>
    </row>
    <row r="112" spans="1:35" ht="18.75" customHeight="1" thickBot="1">
      <c r="A112" s="138"/>
      <c r="B112" s="138"/>
      <c r="C112" s="138"/>
      <c r="D112" s="138"/>
      <c r="E112" s="3245"/>
      <c r="F112" s="3246"/>
      <c r="G112" s="2518" t="s">
        <v>2288</v>
      </c>
      <c r="H112" s="788" t="str">
        <f>IF(E111="——","——",N61)</f>
        <v>——</v>
      </c>
      <c r="I112" s="138"/>
    </row>
    <row r="113" spans="1:11" ht="18.75" customHeight="1">
      <c r="A113" s="138"/>
      <c r="B113" s="138"/>
      <c r="C113" s="138"/>
      <c r="D113" s="138"/>
      <c r="E113" s="3213" t="s">
        <v>2294</v>
      </c>
      <c r="F113" s="3213"/>
      <c r="G113" s="3213"/>
      <c r="H113" s="3213"/>
      <c r="I113" s="138"/>
    </row>
    <row r="114" spans="1:11" ht="3.75" customHeight="1">
      <c r="A114" s="2411"/>
      <c r="B114" s="2411"/>
      <c r="C114" s="2411"/>
      <c r="D114" s="2411"/>
      <c r="E114" s="2489"/>
      <c r="F114" s="2489"/>
      <c r="G114" s="2489"/>
      <c r="H114" s="2489"/>
      <c r="I114" s="2411"/>
    </row>
    <row r="115" spans="1:11" ht="18.75" customHeight="1">
      <c r="A115" s="3226" t="s">
        <v>2296</v>
      </c>
      <c r="B115" s="3227"/>
      <c r="C115" s="3227"/>
      <c r="D115" s="3227"/>
      <c r="E115" s="3227"/>
      <c r="F115" s="3227"/>
      <c r="G115" s="3227"/>
      <c r="H115" s="3227"/>
      <c r="I115" s="3228"/>
    </row>
    <row r="116" spans="1:11" ht="27" customHeight="1">
      <c r="A116" s="3106" t="s">
        <v>2297</v>
      </c>
      <c r="B116" s="3214" t="s">
        <v>2298</v>
      </c>
      <c r="C116" s="3214" t="s">
        <v>2299</v>
      </c>
      <c r="D116" s="3230" t="s">
        <v>2300</v>
      </c>
      <c r="E116" s="3231"/>
      <c r="F116" s="3222" t="s">
        <v>3067</v>
      </c>
      <c r="G116" s="3222"/>
      <c r="H116" s="3106" t="s">
        <v>2301</v>
      </c>
      <c r="I116" s="3106"/>
    </row>
    <row r="117" spans="1:11" ht="18.75" customHeight="1">
      <c r="A117" s="3106"/>
      <c r="B117" s="3215"/>
      <c r="C117" s="3215"/>
      <c r="D117" s="2998" t="s">
        <v>2302</v>
      </c>
      <c r="E117" s="2998" t="s">
        <v>2303</v>
      </c>
      <c r="F117" s="2998" t="s">
        <v>2302</v>
      </c>
      <c r="G117" s="2998" t="s">
        <v>2304</v>
      </c>
      <c r="H117" s="2998" t="s">
        <v>2302</v>
      </c>
      <c r="I117" s="2998" t="s">
        <v>2304</v>
      </c>
    </row>
    <row r="118" spans="1:11" ht="24.75" customHeight="1">
      <c r="A118" s="2519" t="str">
        <f>项目基本情况!S2</f>
        <v>北京市海淀区西四环北路160号房地产</v>
      </c>
      <c r="B118" s="2998">
        <f>M18</f>
        <v>991.5300000000002</v>
      </c>
      <c r="C118" s="2998">
        <f>M19</f>
        <v>82.45</v>
      </c>
      <c r="D118" s="2998">
        <f ca="1">ROUND(IF(D32="总价",C34,E118*B118/10000),0)</f>
        <v>460</v>
      </c>
      <c r="E118" s="2998">
        <f ca="1">ROUND(IF(C33="自定义",IF(D32="楼面单价",C34,D118*10000/B118),I118-G118),0)</f>
        <v>4639</v>
      </c>
      <c r="F118" s="2998">
        <f ca="1">ROUND(IF(D32="总价",C35,G118*B118/10000),0)</f>
        <v>0</v>
      </c>
      <c r="G118" s="2998">
        <f ca="1">ROUND(IF(D32="楼面单价",C35,F118*10000/B118),0)</f>
        <v>0</v>
      </c>
      <c r="H118" s="2998">
        <f ca="1">ROUND(IF(D32="总价",C32,I118*B118/10000),0)</f>
        <v>460</v>
      </c>
      <c r="I118" s="2998">
        <f ca="1">ROUND(IF(D32="楼面单价",C32,H118*10000/B118),0)</f>
        <v>4639</v>
      </c>
    </row>
    <row r="119" spans="1:11" ht="18.75" customHeight="1">
      <c r="A119" s="3106" t="s">
        <v>2305</v>
      </c>
      <c r="B119" s="3106"/>
      <c r="C119" s="3106"/>
      <c r="D119" s="3219" t="str">
        <f ca="1">NUMBERSTRING(INT(D118*10000),2)&amp;"元整"</f>
        <v>肆佰陆拾万元整</v>
      </c>
      <c r="E119" s="3221"/>
      <c r="F119" s="3219" t="str">
        <f ca="1">NUMBERSTRING(INT(F118*10000),2)&amp;"元整"</f>
        <v>零元整</v>
      </c>
      <c r="G119" s="3221"/>
      <c r="H119" s="3219" t="str">
        <f ca="1">NUMBERSTRING(INT(H118*10000),2)&amp;"元整"</f>
        <v>肆佰陆拾万元整</v>
      </c>
      <c r="I119" s="3221"/>
    </row>
    <row r="120" spans="1:11" ht="18.75" customHeight="1">
      <c r="A120" s="3247" t="str">
        <f>IF(项目基本情况!B9="房地产市场价值","",MID(E103,3,LEN(E103)-2))</f>
        <v>估价师知悉的法定优先受偿款</v>
      </c>
      <c r="B120" s="3248"/>
      <c r="C120" s="3249"/>
      <c r="D120" s="3247">
        <f>H103</f>
        <v>0</v>
      </c>
      <c r="E120" s="3248"/>
      <c r="F120" s="3248"/>
      <c r="G120" s="3248"/>
      <c r="H120" s="3248"/>
      <c r="I120" s="3249"/>
      <c r="K120" s="2416" t="str">
        <f>IF(D120=0,"故，本次评估不存在"&amp;A120,"故，本次评估"&amp;A120&amp;"为人民币"&amp;D120&amp;"万元整。")</f>
        <v>故，本次评估不存在估价师知悉的法定优先受偿款</v>
      </c>
    </row>
    <row r="121" spans="1:11" ht="18.75" customHeight="1">
      <c r="A121" s="3223" t="s">
        <v>2305</v>
      </c>
      <c r="B121" s="3224"/>
      <c r="C121" s="3225"/>
      <c r="D121" s="3219" t="str">
        <f>IF(D120=0,"零元整",NUMBERSTRING(INT(D120*10000),2)&amp;"元整")</f>
        <v>零元整</v>
      </c>
      <c r="E121" s="3220"/>
      <c r="F121" s="3220"/>
      <c r="G121" s="3220"/>
      <c r="H121" s="3220"/>
      <c r="I121" s="3221"/>
    </row>
    <row r="122" spans="1:11" ht="18.75" customHeight="1">
      <c r="A122" s="3210" t="str">
        <f>IF(项目基本情况!B9="房地产市场价值","",MID(E107,3,LEN(E107)-2))</f>
        <v>房地产抵押价值</v>
      </c>
      <c r="B122" s="3210"/>
      <c r="C122" s="3210"/>
      <c r="D122" s="3247">
        <f ca="1">H107</f>
        <v>460</v>
      </c>
      <c r="E122" s="3248"/>
      <c r="F122" s="3248"/>
      <c r="G122" s="3248"/>
      <c r="H122" s="3248"/>
      <c r="I122" s="3249"/>
    </row>
    <row r="123" spans="1:11" ht="18.75" customHeight="1">
      <c r="A123" s="3106" t="s">
        <v>2305</v>
      </c>
      <c r="B123" s="3106"/>
      <c r="C123" s="3106"/>
      <c r="D123" s="3219" t="str">
        <f ca="1">NUMBERSTRING(INT(D122*10000),2)&amp;"元整"</f>
        <v>肆佰陆拾万元整</v>
      </c>
      <c r="E123" s="3220"/>
      <c r="F123" s="3220"/>
      <c r="G123" s="3220"/>
      <c r="H123" s="3220"/>
      <c r="I123" s="3221"/>
    </row>
    <row r="124" spans="1:11" ht="18.75" customHeight="1">
      <c r="A124" s="3210" t="str">
        <f>IF(项目基本情况!B9="房地产市场价值","",MID(E109,3,LEN(E109)-2))</f>
        <v/>
      </c>
      <c r="B124" s="3210"/>
      <c r="C124" s="3210"/>
      <c r="D124" s="3247" t="str">
        <f>H109</f>
        <v>——</v>
      </c>
      <c r="E124" s="3248"/>
      <c r="F124" s="3248"/>
      <c r="G124" s="3248"/>
      <c r="H124" s="3248"/>
      <c r="I124" s="3249"/>
    </row>
    <row r="125" spans="1:11" ht="18.75" customHeight="1">
      <c r="A125" s="3106" t="s">
        <v>2305</v>
      </c>
      <c r="B125" s="3106"/>
      <c r="C125" s="3106"/>
      <c r="D125" s="3219" t="e">
        <f>NUMBERSTRING(INT(D124*10000),2)&amp;"元整"</f>
        <v>#VALUE!</v>
      </c>
      <c r="E125" s="3220"/>
      <c r="F125" s="3220"/>
      <c r="G125" s="3220"/>
      <c r="H125" s="3220"/>
      <c r="I125" s="3221"/>
    </row>
    <row r="126" spans="1:11" ht="18.75" customHeight="1">
      <c r="A126" s="3210" t="str">
        <f>IF(项目基本情况!B9="房地产市场价值","",MID(E111,3,LEN(E111)-2))</f>
        <v/>
      </c>
      <c r="B126" s="3210"/>
      <c r="C126" s="3210"/>
      <c r="D126" s="3247" t="str">
        <f>H111</f>
        <v>——</v>
      </c>
      <c r="E126" s="3248"/>
      <c r="F126" s="3248"/>
      <c r="G126" s="3248"/>
      <c r="H126" s="3248"/>
      <c r="I126" s="3249"/>
    </row>
    <row r="127" spans="1:11" ht="18.75" customHeight="1">
      <c r="A127" s="3106" t="s">
        <v>2305</v>
      </c>
      <c r="B127" s="3106"/>
      <c r="C127" s="3106"/>
      <c r="D127" s="3219" t="e">
        <f>NUMBERSTRING(INT(D126*10000),2)&amp;"元整"</f>
        <v>#VALUE!</v>
      </c>
      <c r="E127" s="3220"/>
      <c r="F127" s="3220"/>
      <c r="G127" s="3220"/>
      <c r="H127" s="3220"/>
      <c r="I127" s="3221"/>
    </row>
    <row r="128" spans="1:11" ht="21.75" customHeight="1">
      <c r="A128" s="3229" t="s">
        <v>2306</v>
      </c>
      <c r="B128" s="3229"/>
      <c r="C128" s="3229"/>
      <c r="D128" s="3229"/>
      <c r="E128" s="3229"/>
      <c r="F128" s="3229"/>
      <c r="G128" s="3229"/>
      <c r="H128" s="3229"/>
      <c r="I128" s="3229"/>
    </row>
    <row r="129" spans="1:35" ht="21.75" customHeight="1">
      <c r="A129" s="2520" t="s">
        <v>2307</v>
      </c>
      <c r="B129" s="2521"/>
      <c r="C129" s="2522" t="s">
        <v>2308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2309</v>
      </c>
      <c r="G135" s="2537"/>
      <c r="H135" s="2537"/>
      <c r="I135" s="2538" t="s">
        <v>2310</v>
      </c>
    </row>
    <row r="136" spans="1:35" ht="21.75" customHeight="1">
      <c r="A136" s="793"/>
      <c r="B136" s="2539"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2312</v>
      </c>
    </row>
    <row r="139" spans="1:35" ht="21.75" customHeight="1">
      <c r="A139" s="793"/>
      <c r="B139" s="2539" t="s">
        <v>2313</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2312</v>
      </c>
    </row>
    <row r="142" spans="1:35" ht="21.75" customHeight="1">
      <c r="A142" s="793"/>
      <c r="B142" s="2539"/>
      <c r="C142" s="2540"/>
      <c r="D142" s="2541"/>
      <c r="E142" s="2541"/>
      <c r="F142" s="2334"/>
      <c r="G142" s="793"/>
      <c r="H142" s="793"/>
      <c r="I142" s="793"/>
    </row>
    <row r="143" spans="1:35" s="139" customFormat="1" ht="21.75" customHeight="1">
      <c r="A143" s="793"/>
      <c r="B143" s="2539"/>
      <c r="C143" s="2540"/>
      <c r="D143" s="2541"/>
      <c r="E143" s="2541"/>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164" priority="10" stopIfTrue="1" operator="equal">
      <formula>25</formula>
    </cfRule>
  </conditionalFormatting>
  <conditionalFormatting sqref="C8:C9">
    <cfRule type="cellIs" dxfId="163" priority="9" stopIfTrue="1" operator="equal">
      <formula>15</formula>
    </cfRule>
  </conditionalFormatting>
  <conditionalFormatting sqref="C14:C16">
    <cfRule type="cellIs" dxfId="162" priority="8" stopIfTrue="1" operator="equal">
      <formula>30</formula>
    </cfRule>
  </conditionalFormatting>
  <conditionalFormatting sqref="D5:D7">
    <cfRule type="cellIs" dxfId="161" priority="7" stopIfTrue="1" operator="equal">
      <formula>25</formula>
    </cfRule>
  </conditionalFormatting>
  <conditionalFormatting sqref="D8:D9">
    <cfRule type="cellIs" dxfId="160" priority="6" stopIfTrue="1" operator="equal">
      <formula>15</formula>
    </cfRule>
  </conditionalFormatting>
  <conditionalFormatting sqref="C10:D13">
    <cfRule type="cellIs" dxfId="159" priority="5" stopIfTrue="1" operator="equal">
      <formula>15</formula>
    </cfRule>
  </conditionalFormatting>
  <conditionalFormatting sqref="D14:D16">
    <cfRule type="cellIs" dxfId="158" priority="4"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E36">
    <cfRule type="expression" dxfId="15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3"/>
  <sheetViews>
    <sheetView topLeftCell="A22" zoomScale="90" zoomScaleNormal="90" zoomScalePageLayoutView="90" workbookViewId="0">
      <selection activeCell="I48" sqref="I48"/>
    </sheetView>
  </sheetViews>
  <sheetFormatPr defaultColWidth="8.875" defaultRowHeight="14.25"/>
  <cols>
    <col min="1" max="1" width="8.875" style="403" customWidth="1"/>
    <col min="2" max="2" width="15.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625" style="11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664" t="s">
        <v>2673</v>
      </c>
      <c r="C1" s="1616" t="s">
        <v>2518</v>
      </c>
      <c r="D1" s="1617" t="s">
        <v>27</v>
      </c>
      <c r="E1" s="1626"/>
      <c r="F1" s="2579" t="s">
        <v>3055</v>
      </c>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2315</v>
      </c>
      <c r="B2" s="1414">
        <f>IF(C2="——",ROUND(C50*D3/10000,0),ROUND(C50*D3/10000,0)-D2)</f>
        <v>38220</v>
      </c>
      <c r="C2" s="2581" t="s">
        <v>70</v>
      </c>
      <c r="D2" s="1361" t="e">
        <f ca="1">SUMIF(INDIRECT("'"&amp;F2&amp;"'"&amp;"!A:A"),"承租人权益价值",INDIRECT("'"&amp;F2&amp;"'"&amp;"!c:c"))</f>
        <v>#REF!</v>
      </c>
      <c r="E2" s="2582" t="s">
        <v>2316</v>
      </c>
      <c r="F2" s="2583"/>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2317</v>
      </c>
      <c r="B3" s="609">
        <f>IF(C2="——",C50,ROUND(B2*10000/D3,0))</f>
        <v>44794</v>
      </c>
      <c r="C3" s="400" t="s">
        <v>2632</v>
      </c>
      <c r="D3" s="399">
        <f>IF(D1="",'数据-汇总表'!E3,SUMIF('数据-汇总表'!$C19:$C33,D1,'数据-汇总表'!$E19:$E33))</f>
        <v>8532.39</v>
      </c>
      <c r="E3" s="2658"/>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401" t="s">
        <v>2633</v>
      </c>
      <c r="B4" s="402"/>
      <c r="C4" s="3282" t="s">
        <v>2634</v>
      </c>
      <c r="D4" s="3283"/>
      <c r="E4" s="3284" t="s">
        <v>2635</v>
      </c>
      <c r="F4" s="3285"/>
      <c r="G4" s="3282" t="s">
        <v>2636</v>
      </c>
      <c r="H4" s="3283"/>
      <c r="I4" s="3282" t="s">
        <v>2637</v>
      </c>
      <c r="J4" s="3283"/>
      <c r="K4" s="610" t="s">
        <v>2638</v>
      </c>
      <c r="L4" s="1126"/>
      <c r="M4" s="1127"/>
      <c r="N4" s="1127"/>
      <c r="O4" s="1127"/>
      <c r="P4" s="3286" t="s">
        <v>2639</v>
      </c>
      <c r="Q4" s="3287"/>
      <c r="R4" s="3292" t="s">
        <v>2635</v>
      </c>
      <c r="S4" s="3293"/>
      <c r="T4" s="3292" t="s">
        <v>2636</v>
      </c>
      <c r="U4" s="3293"/>
      <c r="V4" s="3298" t="s">
        <v>2637</v>
      </c>
      <c r="W4" s="3298"/>
      <c r="X4" s="2665"/>
      <c r="Y4" s="3292" t="s">
        <v>2639</v>
      </c>
      <c r="Z4" s="3293"/>
      <c r="AA4" s="3312" t="s">
        <v>2635</v>
      </c>
      <c r="AB4" s="3312" t="s">
        <v>2636</v>
      </c>
      <c r="AC4" s="3279" t="s">
        <v>2637</v>
      </c>
    </row>
    <row r="5" spans="1:29" ht="15">
      <c r="A5" s="404"/>
      <c r="B5" s="405"/>
      <c r="C5" s="3308" t="s">
        <v>2530</v>
      </c>
      <c r="D5" s="3303"/>
      <c r="E5" s="3315" t="s">
        <v>3101</v>
      </c>
      <c r="F5" s="3316"/>
      <c r="G5" s="3302" t="s">
        <v>3104</v>
      </c>
      <c r="H5" s="3303"/>
      <c r="I5" s="3302" t="s">
        <v>3677</v>
      </c>
      <c r="J5" s="3303"/>
      <c r="K5" s="610"/>
      <c r="L5" s="1126"/>
      <c r="M5" s="1127"/>
      <c r="N5" s="1127"/>
      <c r="O5" s="1127"/>
      <c r="P5" s="3288"/>
      <c r="Q5" s="3289"/>
      <c r="R5" s="3294"/>
      <c r="S5" s="3295"/>
      <c r="T5" s="3294"/>
      <c r="U5" s="3295"/>
      <c r="V5" s="3299"/>
      <c r="W5" s="3299"/>
      <c r="X5" s="1809"/>
      <c r="Y5" s="3294"/>
      <c r="Z5" s="3295"/>
      <c r="AA5" s="3313"/>
      <c r="AB5" s="3313"/>
      <c r="AC5" s="3280"/>
    </row>
    <row r="6" spans="1:29" ht="15.75" thickBot="1">
      <c r="A6" s="406"/>
      <c r="B6" s="407"/>
      <c r="C6" s="3309" t="s">
        <v>2534</v>
      </c>
      <c r="D6" s="3301"/>
      <c r="E6" s="3310" t="s">
        <v>3112</v>
      </c>
      <c r="F6" s="3311"/>
      <c r="G6" s="3300" t="s">
        <v>3110</v>
      </c>
      <c r="H6" s="3301"/>
      <c r="I6" s="3300" t="s">
        <v>3111</v>
      </c>
      <c r="J6" s="3301"/>
      <c r="K6" s="610" t="s">
        <v>2535</v>
      </c>
      <c r="L6" s="1126"/>
      <c r="M6" s="1127"/>
      <c r="N6" s="1127"/>
      <c r="O6" s="1127"/>
      <c r="P6" s="3290"/>
      <c r="Q6" s="3291"/>
      <c r="R6" s="3294"/>
      <c r="S6" s="3295"/>
      <c r="T6" s="3296"/>
      <c r="U6" s="3297"/>
      <c r="V6" s="3299"/>
      <c r="W6" s="3299"/>
      <c r="X6" s="1809"/>
      <c r="Y6" s="3296"/>
      <c r="Z6" s="3297"/>
      <c r="AA6" s="3314"/>
      <c r="AB6" s="3314"/>
      <c r="AC6" s="3281"/>
    </row>
    <row r="7" spans="1:29" s="117" customFormat="1" ht="15.75" thickBot="1">
      <c r="A7" s="408" t="s">
        <v>2536</v>
      </c>
      <c r="B7" s="409"/>
      <c r="C7" s="410">
        <f>'数据-取费表'!B2</f>
        <v>43185</v>
      </c>
      <c r="D7" s="411">
        <v>100</v>
      </c>
      <c r="E7" s="412">
        <v>43160</v>
      </c>
      <c r="F7" s="413">
        <f>SUMIF(59:59,YEAR(E7)&amp;"-"&amp;MONTH(E7),60:60)</f>
        <v>100</v>
      </c>
      <c r="G7" s="412">
        <f>E7</f>
        <v>43160</v>
      </c>
      <c r="H7" s="411">
        <f>SUMIF(59:59,YEAR(G7)&amp;"-"&amp;MONTH(G7),60:60)</f>
        <v>100</v>
      </c>
      <c r="I7" s="412">
        <f>E7</f>
        <v>43160</v>
      </c>
      <c r="J7" s="411">
        <f>SUMIF(59:59,YEAR(I7)&amp;"-"&amp;MONTH(I7),60:60)</f>
        <v>100</v>
      </c>
      <c r="K7" s="611"/>
      <c r="L7" s="1128"/>
      <c r="M7" s="1129"/>
      <c r="N7" s="1129"/>
      <c r="O7" s="1129"/>
      <c r="P7" s="3304" t="s">
        <v>2537</v>
      </c>
      <c r="Q7" s="3307"/>
      <c r="R7" s="768" t="s">
        <v>17</v>
      </c>
      <c r="S7" s="769">
        <f t="shared" ref="S7:S15" si="0">F7</f>
        <v>100</v>
      </c>
      <c r="T7" s="768" t="s">
        <v>17</v>
      </c>
      <c r="U7" s="769">
        <f t="shared" ref="U7:U15" si="1">H7</f>
        <v>100</v>
      </c>
      <c r="V7" s="768" t="s">
        <v>17</v>
      </c>
      <c r="W7" s="769">
        <f t="shared" ref="W7:W15" si="2">J7</f>
        <v>100</v>
      </c>
      <c r="X7" s="770"/>
      <c r="Y7" s="3306" t="s">
        <v>2537</v>
      </c>
      <c r="Z7" s="3305"/>
      <c r="AA7" s="771">
        <f>D7/F7</f>
        <v>1</v>
      </c>
      <c r="AB7" s="771">
        <f>D7/H7</f>
        <v>1</v>
      </c>
      <c r="AC7" s="2666">
        <f>D7/J7</f>
        <v>1</v>
      </c>
    </row>
    <row r="8" spans="1:29" s="117" customFormat="1" ht="15.75" thickBot="1">
      <c r="A8" s="408" t="s">
        <v>2538</v>
      </c>
      <c r="B8" s="409"/>
      <c r="C8" s="414" t="s">
        <v>2640</v>
      </c>
      <c r="D8" s="411">
        <v>100</v>
      </c>
      <c r="E8" s="414" t="s">
        <v>3093</v>
      </c>
      <c r="F8" s="413">
        <f>SUMIF(62:62,E8,63:63)-SUMIF(62:62,C8,63:63)+100</f>
        <v>100</v>
      </c>
      <c r="G8" s="414" t="s">
        <v>3093</v>
      </c>
      <c r="H8" s="411">
        <f>SUMIF(62:62,G8,63:63)-SUMIF(62:62,C8,63:63)+100</f>
        <v>100</v>
      </c>
      <c r="I8" s="414" t="s">
        <v>3093</v>
      </c>
      <c r="J8" s="411">
        <f>SUMIF(62:62,I8,63:63)-SUMIF(62:62,C8,63:63)+100</f>
        <v>100</v>
      </c>
      <c r="K8" s="611"/>
      <c r="L8" s="1128"/>
      <c r="M8" s="1129"/>
      <c r="N8" s="1129"/>
      <c r="O8" s="1129"/>
      <c r="P8" s="3304" t="s">
        <v>2540</v>
      </c>
      <c r="Q8" s="3305"/>
      <c r="R8" s="768" t="s">
        <v>17</v>
      </c>
      <c r="S8" s="769">
        <f t="shared" si="0"/>
        <v>100</v>
      </c>
      <c r="T8" s="768" t="s">
        <v>17</v>
      </c>
      <c r="U8" s="769">
        <f t="shared" si="1"/>
        <v>100</v>
      </c>
      <c r="V8" s="768" t="s">
        <v>17</v>
      </c>
      <c r="W8" s="769">
        <f t="shared" si="2"/>
        <v>100</v>
      </c>
      <c r="X8" s="770"/>
      <c r="Y8" s="3306" t="s">
        <v>2540</v>
      </c>
      <c r="Z8" s="3305"/>
      <c r="AA8" s="771">
        <f t="shared" ref="AA8:AA47" si="3">D8/F8</f>
        <v>1</v>
      </c>
      <c r="AB8" s="771">
        <f t="shared" ref="AB8:AB47" si="4">D8/H8</f>
        <v>1</v>
      </c>
      <c r="AC8" s="2666">
        <f t="shared" ref="AC8:AC47" si="5">D8/J8</f>
        <v>1</v>
      </c>
    </row>
    <row r="9" spans="1:29" s="117" customFormat="1">
      <c r="A9" s="415" t="s">
        <v>2541</v>
      </c>
      <c r="B9" s="71" t="s">
        <v>2542</v>
      </c>
      <c r="C9" s="2951" t="s">
        <v>3092</v>
      </c>
      <c r="D9" s="135">
        <v>100</v>
      </c>
      <c r="E9" s="419" t="s">
        <v>27</v>
      </c>
      <c r="F9" s="135">
        <f>SUMIF(64:64,E9,65:65)-SUMIF(64:64,C9,65:65)+100</f>
        <v>100</v>
      </c>
      <c r="G9" s="419" t="s">
        <v>27</v>
      </c>
      <c r="H9" s="135">
        <f>SUMIF(64:64,G9,65:65)-SUMIF(64:64,C9,65:65)+100</f>
        <v>100</v>
      </c>
      <c r="I9" s="419" t="s">
        <v>27</v>
      </c>
      <c r="J9" s="135">
        <f>SUMIF(64:64,I9,65:65)-SUMIF(64:64,C9,65:65)+100</f>
        <v>100</v>
      </c>
      <c r="K9" s="611"/>
      <c r="L9" s="1128"/>
      <c r="M9" s="1129"/>
      <c r="N9" s="1129"/>
      <c r="O9" s="1129"/>
      <c r="P9" s="3264" t="s">
        <v>2543</v>
      </c>
      <c r="Q9" s="1791" t="str">
        <f t="shared" ref="Q9:Q15" si="6">B9</f>
        <v>用途</v>
      </c>
      <c r="R9" s="768" t="s">
        <v>17</v>
      </c>
      <c r="S9" s="769">
        <f t="shared" si="0"/>
        <v>100</v>
      </c>
      <c r="T9" s="768" t="s">
        <v>17</v>
      </c>
      <c r="U9" s="769">
        <f t="shared" si="1"/>
        <v>100</v>
      </c>
      <c r="V9" s="768" t="s">
        <v>17</v>
      </c>
      <c r="W9" s="769">
        <f t="shared" si="2"/>
        <v>100</v>
      </c>
      <c r="X9" s="770"/>
      <c r="Y9" s="3106" t="s">
        <v>2544</v>
      </c>
      <c r="Z9" s="55" t="str">
        <f t="shared" ref="Z9:Z15" si="7">Q9</f>
        <v>用途</v>
      </c>
      <c r="AA9" s="771">
        <f t="shared" si="3"/>
        <v>1</v>
      </c>
      <c r="AB9" s="771">
        <f t="shared" si="4"/>
        <v>1</v>
      </c>
      <c r="AC9" s="2666">
        <f t="shared" si="5"/>
        <v>1</v>
      </c>
    </row>
    <row r="10" spans="1:29" s="427" customFormat="1" ht="27">
      <c r="A10" s="421"/>
      <c r="B10" s="422" t="s">
        <v>2545</v>
      </c>
      <c r="C10" s="423" t="s">
        <v>3091</v>
      </c>
      <c r="D10" s="136">
        <v>100</v>
      </c>
      <c r="E10" s="423" t="s">
        <v>3098</v>
      </c>
      <c r="F10" s="136">
        <f>SUMIF(66:66,E10,67:67)-SUMIF(66:66,C10,67:67)+100</f>
        <v>97</v>
      </c>
      <c r="G10" s="423" t="s">
        <v>3098</v>
      </c>
      <c r="H10" s="136">
        <f>SUMIF(66:66,G10,67:67)-SUMIF(66:66,C10,67:67)+100</f>
        <v>97</v>
      </c>
      <c r="I10" s="423" t="s">
        <v>3098</v>
      </c>
      <c r="J10" s="136">
        <f>SUMIF(66:66,I10,67:67)-SUMIF(66:66,C10,67:67)+100</f>
        <v>97</v>
      </c>
      <c r="K10" s="612">
        <v>3</v>
      </c>
      <c r="L10" s="1131"/>
      <c r="M10" s="1132"/>
      <c r="N10" s="1132"/>
      <c r="O10" s="1132"/>
      <c r="P10" s="3264"/>
      <c r="Q10" s="1791" t="str">
        <f t="shared" si="6"/>
        <v>土地使用年限（年）</v>
      </c>
      <c r="R10" s="768" t="s">
        <v>17</v>
      </c>
      <c r="S10" s="769">
        <f t="shared" si="0"/>
        <v>97</v>
      </c>
      <c r="T10" s="768" t="s">
        <v>17</v>
      </c>
      <c r="U10" s="769">
        <f t="shared" si="1"/>
        <v>97</v>
      </c>
      <c r="V10" s="768" t="s">
        <v>17</v>
      </c>
      <c r="W10" s="769">
        <f t="shared" si="2"/>
        <v>97</v>
      </c>
      <c r="X10" s="770"/>
      <c r="Y10" s="3106"/>
      <c r="Z10" s="55" t="str">
        <f t="shared" si="7"/>
        <v>土地使用年限（年）</v>
      </c>
      <c r="AA10" s="771">
        <f t="shared" si="3"/>
        <v>1.0309278350515463</v>
      </c>
      <c r="AB10" s="771">
        <f t="shared" si="4"/>
        <v>1.0309278350515463</v>
      </c>
      <c r="AC10" s="2666">
        <f t="shared" si="5"/>
        <v>1.0309278350515463</v>
      </c>
    </row>
    <row r="11" spans="1:29" ht="15">
      <c r="A11" s="428"/>
      <c r="B11" s="422" t="s">
        <v>2546</v>
      </c>
      <c r="C11" s="429"/>
      <c r="D11" s="136">
        <v>100</v>
      </c>
      <c r="E11" s="429"/>
      <c r="F11" s="136">
        <f>LOOKUP(E11,69:69,70:70)-LOOKUP(C11,69:69,70:70)+100</f>
        <v>100</v>
      </c>
      <c r="G11" s="430"/>
      <c r="H11" s="136">
        <f>LOOKUP(G11,69:69,70:70)-LOOKUP(C11,69:69,70:70)+100</f>
        <v>100</v>
      </c>
      <c r="I11" s="429"/>
      <c r="J11" s="136">
        <f>LOOKUP(I11,69:69,70:70)-LOOKUP(C11,69:69,70:70)+100</f>
        <v>100</v>
      </c>
      <c r="K11" s="612"/>
      <c r="L11" s="1134"/>
      <c r="M11" s="1127"/>
      <c r="N11" s="1127"/>
      <c r="O11" s="1127"/>
      <c r="P11" s="3264"/>
      <c r="Q11" s="1791" t="str">
        <f t="shared" si="6"/>
        <v>容积率</v>
      </c>
      <c r="R11" s="768" t="s">
        <v>17</v>
      </c>
      <c r="S11" s="769">
        <f t="shared" si="0"/>
        <v>100</v>
      </c>
      <c r="T11" s="768" t="s">
        <v>17</v>
      </c>
      <c r="U11" s="769">
        <f t="shared" si="1"/>
        <v>100</v>
      </c>
      <c r="V11" s="768" t="s">
        <v>17</v>
      </c>
      <c r="W11" s="769">
        <f t="shared" si="2"/>
        <v>100</v>
      </c>
      <c r="X11" s="770"/>
      <c r="Y11" s="3106"/>
      <c r="Z11" s="55" t="str">
        <f t="shared" si="7"/>
        <v>容积率</v>
      </c>
      <c r="AA11" s="771">
        <f t="shared" si="3"/>
        <v>1</v>
      </c>
      <c r="AB11" s="771">
        <f t="shared" si="4"/>
        <v>1</v>
      </c>
      <c r="AC11" s="2666">
        <f t="shared" si="5"/>
        <v>1</v>
      </c>
    </row>
    <row r="12" spans="1:29" s="117" customFormat="1" ht="15">
      <c r="A12" s="431"/>
      <c r="B12" s="2954" t="s">
        <v>3115</v>
      </c>
      <c r="C12" s="432">
        <v>2012</v>
      </c>
      <c r="D12" s="433">
        <v>100</v>
      </c>
      <c r="E12" s="3034" t="s">
        <v>3678</v>
      </c>
      <c r="F12" s="136">
        <f>SUMIF(71:71,E12,72:72)-SUMIF(71:71,C12,72:72)+100</f>
        <v>100</v>
      </c>
      <c r="G12" s="3056">
        <v>56047</v>
      </c>
      <c r="H12" s="136">
        <f>SUMIF(71:71,G12,72:72)-SUMIF(71:71,C12,72:72)+100</f>
        <v>100</v>
      </c>
      <c r="I12" s="3034">
        <v>56047</v>
      </c>
      <c r="J12" s="136">
        <f>SUMIF(71:71,I12,72:72)-SUMIF(71:71,C12,72:72)+100</f>
        <v>100</v>
      </c>
      <c r="K12" s="613"/>
      <c r="L12" s="1128"/>
      <c r="M12" s="1129"/>
      <c r="N12" s="1129"/>
      <c r="O12" s="1129"/>
      <c r="P12" s="3264"/>
      <c r="Q12" s="1791" t="str">
        <f t="shared" si="6"/>
        <v>建成年代</v>
      </c>
      <c r="R12" s="768" t="s">
        <v>17</v>
      </c>
      <c r="S12" s="769">
        <f t="shared" si="0"/>
        <v>100</v>
      </c>
      <c r="T12" s="768" t="s">
        <v>17</v>
      </c>
      <c r="U12" s="769">
        <f t="shared" si="1"/>
        <v>100</v>
      </c>
      <c r="V12" s="768" t="s">
        <v>17</v>
      </c>
      <c r="W12" s="769">
        <f t="shared" si="2"/>
        <v>100</v>
      </c>
      <c r="X12" s="770"/>
      <c r="Y12" s="3106"/>
      <c r="Z12" s="55" t="str">
        <f t="shared" si="7"/>
        <v>建成年代</v>
      </c>
      <c r="AA12" s="771">
        <f>D12/F12</f>
        <v>1</v>
      </c>
      <c r="AB12" s="771">
        <f>D12/H12</f>
        <v>1</v>
      </c>
      <c r="AC12" s="2666">
        <f>D12/J12</f>
        <v>1</v>
      </c>
    </row>
    <row r="13" spans="1:29" ht="15">
      <c r="A13" s="428"/>
      <c r="B13" s="2595"/>
      <c r="C13" s="434"/>
      <c r="D13" s="435">
        <v>100</v>
      </c>
      <c r="E13" s="432">
        <v>2004</v>
      </c>
      <c r="F13" s="136">
        <f>SUMIF(73:73,E13,74:74)-SUMIF(73:73,C13,74:74)+100</f>
        <v>100</v>
      </c>
      <c r="G13" s="2667">
        <v>2006</v>
      </c>
      <c r="H13" s="435">
        <f>SUMIF(73:73,G13,74:74)-SUMIF(73:73,C13,74:74)+100</f>
        <v>100</v>
      </c>
      <c r="I13" s="432">
        <v>2006</v>
      </c>
      <c r="J13" s="435">
        <f>SUMIF(73:73,I13,74:74)-SUMIF(73:73,C13,74:74)+100</f>
        <v>100</v>
      </c>
      <c r="K13" s="613"/>
      <c r="L13" s="1136"/>
      <c r="M13" s="1127"/>
      <c r="N13" s="1127"/>
      <c r="O13" s="1127"/>
      <c r="P13" s="3264"/>
      <c r="Q13" s="1791">
        <f t="shared" si="6"/>
        <v>0</v>
      </c>
      <c r="R13" s="768" t="s">
        <v>17</v>
      </c>
      <c r="S13" s="769">
        <f t="shared" si="0"/>
        <v>100</v>
      </c>
      <c r="T13" s="768" t="s">
        <v>17</v>
      </c>
      <c r="U13" s="769">
        <f t="shared" si="1"/>
        <v>100</v>
      </c>
      <c r="V13" s="768" t="s">
        <v>17</v>
      </c>
      <c r="W13" s="769">
        <f t="shared" si="2"/>
        <v>100</v>
      </c>
      <c r="X13" s="770"/>
      <c r="Y13" s="3106"/>
      <c r="Z13" s="55">
        <f t="shared" si="7"/>
        <v>0</v>
      </c>
      <c r="AA13" s="771">
        <f t="shared" si="3"/>
        <v>1</v>
      </c>
      <c r="AB13" s="771">
        <f t="shared" si="4"/>
        <v>1</v>
      </c>
      <c r="AC13" s="2666">
        <f t="shared" si="5"/>
        <v>1</v>
      </c>
    </row>
    <row r="14" spans="1:29" ht="15.75" thickBot="1">
      <c r="A14" s="436"/>
      <c r="B14" s="2597"/>
      <c r="C14" s="437"/>
      <c r="D14" s="438">
        <v>100</v>
      </c>
      <c r="E14" s="626"/>
      <c r="F14" s="438">
        <f>SUMIF(75:75,E14,76:76)-SUMIF(75:75,C14,76:76)+100</f>
        <v>100</v>
      </c>
      <c r="G14" s="2667"/>
      <c r="H14" s="438">
        <f>SUMIF(75:75,G14,76:76)-SUMIF(75:75,C14,76:76)+100</f>
        <v>100</v>
      </c>
      <c r="I14" s="432"/>
      <c r="J14" s="438">
        <f>SUMIF(75:75,I14,76:76)-SUMIF(75:75,C14,76:76)+100</f>
        <v>100</v>
      </c>
      <c r="K14" s="613"/>
      <c r="L14" s="1136"/>
      <c r="M14" s="1127"/>
      <c r="N14" s="1127"/>
      <c r="O14" s="1127"/>
      <c r="P14" s="3264"/>
      <c r="Q14" s="1791">
        <f t="shared" si="6"/>
        <v>0</v>
      </c>
      <c r="R14" s="768" t="s">
        <v>17</v>
      </c>
      <c r="S14" s="769">
        <f t="shared" si="0"/>
        <v>100</v>
      </c>
      <c r="T14" s="768" t="s">
        <v>17</v>
      </c>
      <c r="U14" s="769">
        <f t="shared" si="1"/>
        <v>100</v>
      </c>
      <c r="V14" s="768" t="s">
        <v>17</v>
      </c>
      <c r="W14" s="769">
        <f t="shared" si="2"/>
        <v>100</v>
      </c>
      <c r="X14" s="770"/>
      <c r="Y14" s="3106"/>
      <c r="Z14" s="55">
        <f t="shared" si="7"/>
        <v>0</v>
      </c>
      <c r="AA14" s="771">
        <f t="shared" si="3"/>
        <v>1</v>
      </c>
      <c r="AB14" s="771">
        <f t="shared" si="4"/>
        <v>1</v>
      </c>
      <c r="AC14" s="2666">
        <f t="shared" si="5"/>
        <v>1</v>
      </c>
    </row>
    <row r="15" spans="1:29" ht="42.75">
      <c r="A15" s="440" t="s">
        <v>2547</v>
      </c>
      <c r="B15" s="627" t="s">
        <v>2674</v>
      </c>
      <c r="C15" s="2668" t="str">
        <f>估价对象房地状况!C5</f>
        <v>XX商圈，周边办公楼项目，入驻率（物美慧科大厦 新奥特科技大厦 裕友大厦）</v>
      </c>
      <c r="D15" s="441">
        <v>100</v>
      </c>
      <c r="E15" s="444"/>
      <c r="F15" s="441">
        <f>SUMIF(77:77,E16,78:78)-SUMIF(77:77,C16,78:78)+100</f>
        <v>100</v>
      </c>
      <c r="G15" s="442"/>
      <c r="H15" s="441">
        <f>SUMIF(77:77,G16,78:78)-SUMIF(77:77,C16,78:78)+100</f>
        <v>100</v>
      </c>
      <c r="I15" s="442"/>
      <c r="J15" s="441">
        <f>SUMIF(77:77,I16,78:78)-SUMIF(77:77,C16,78:78)+100</f>
        <v>100</v>
      </c>
      <c r="K15" s="614">
        <v>3</v>
      </c>
      <c r="L15" s="1136"/>
      <c r="M15" s="1127"/>
      <c r="N15" s="1127"/>
      <c r="O15" s="1127"/>
      <c r="P15" s="3270" t="s">
        <v>2548</v>
      </c>
      <c r="Q15" s="1806" t="str">
        <f t="shared" si="6"/>
        <v>办公集聚程度</v>
      </c>
      <c r="R15" s="772" t="s">
        <v>17</v>
      </c>
      <c r="S15" s="773">
        <f t="shared" si="0"/>
        <v>100</v>
      </c>
      <c r="T15" s="772" t="s">
        <v>17</v>
      </c>
      <c r="U15" s="773">
        <f t="shared" si="1"/>
        <v>100</v>
      </c>
      <c r="V15" s="772" t="s">
        <v>17</v>
      </c>
      <c r="W15" s="773">
        <f t="shared" si="2"/>
        <v>100</v>
      </c>
      <c r="X15" s="1809"/>
      <c r="Y15" s="3272" t="s">
        <v>2548</v>
      </c>
      <c r="Z15" s="1810" t="str">
        <f t="shared" si="7"/>
        <v>办公集聚程度</v>
      </c>
      <c r="AA15" s="1807">
        <f t="shared" si="3"/>
        <v>1</v>
      </c>
      <c r="AB15" s="1807">
        <f t="shared" si="4"/>
        <v>1</v>
      </c>
      <c r="AC15" s="2669">
        <f t="shared" si="5"/>
        <v>1</v>
      </c>
    </row>
    <row r="16" spans="1:29" ht="15">
      <c r="A16" s="428"/>
      <c r="B16" s="628"/>
      <c r="C16" s="2606" t="s">
        <v>3095</v>
      </c>
      <c r="D16" s="448"/>
      <c r="E16" s="447" t="s">
        <v>3095</v>
      </c>
      <c r="F16" s="448"/>
      <c r="G16" s="2606" t="s">
        <v>3095</v>
      </c>
      <c r="H16" s="450"/>
      <c r="I16" s="447" t="s">
        <v>3095</v>
      </c>
      <c r="J16" s="448"/>
      <c r="K16" s="615"/>
      <c r="L16" s="1136"/>
      <c r="M16" s="1127"/>
      <c r="N16" s="1127"/>
      <c r="O16" s="1127"/>
      <c r="P16" s="3271"/>
      <c r="Q16" s="1806"/>
      <c r="R16" s="772"/>
      <c r="S16" s="773"/>
      <c r="T16" s="772"/>
      <c r="U16" s="773"/>
      <c r="V16" s="772"/>
      <c r="W16" s="773"/>
      <c r="X16" s="1809"/>
      <c r="Y16" s="3273"/>
      <c r="Z16" s="1810"/>
      <c r="AA16" s="1807">
        <v>1</v>
      </c>
      <c r="AB16" s="1807">
        <v>1</v>
      </c>
      <c r="AC16" s="2669">
        <v>1</v>
      </c>
    </row>
    <row r="17" spans="1:29" ht="71.25">
      <c r="A17" s="428"/>
      <c r="B17" s="629" t="s">
        <v>2088</v>
      </c>
      <c r="C17" s="2670" t="str">
        <f>估价对象房地状况!C6</f>
        <v>周边道路状况、公共交通通达情况、停车便捷程度（快速路西四环北路 六号线海淀五路居站 五路桥公交站  61路 79路 121路 地上停车位）</v>
      </c>
      <c r="D17" s="450">
        <v>100</v>
      </c>
      <c r="E17" s="454"/>
      <c r="F17" s="450">
        <f>SUMIF(79:79,E18,80:80)-SUMIF(79:79,C18,80:80)+100</f>
        <v>100</v>
      </c>
      <c r="G17" s="452"/>
      <c r="H17" s="455">
        <f>SUMIF(79:79,G18,80:80)-SUMIF(79:79,C18,80:80)+100</f>
        <v>100</v>
      </c>
      <c r="I17" s="452"/>
      <c r="J17" s="455">
        <f>SUMIF(79:79,I18,80:80)-SUMIF(79:79,C18,80:80)+100</f>
        <v>100</v>
      </c>
      <c r="K17" s="614">
        <v>5</v>
      </c>
      <c r="L17" s="1136"/>
      <c r="M17" s="1127"/>
      <c r="N17" s="1127"/>
      <c r="O17" s="1127"/>
      <c r="P17" s="3271"/>
      <c r="Q17" s="1806" t="str">
        <f>B17</f>
        <v>交通便捷度</v>
      </c>
      <c r="R17" s="772" t="s">
        <v>17</v>
      </c>
      <c r="S17" s="773">
        <f>F17</f>
        <v>100</v>
      </c>
      <c r="T17" s="772" t="s">
        <v>17</v>
      </c>
      <c r="U17" s="773">
        <f>H17</f>
        <v>100</v>
      </c>
      <c r="V17" s="772" t="s">
        <v>17</v>
      </c>
      <c r="W17" s="773">
        <f>J17</f>
        <v>100</v>
      </c>
      <c r="X17" s="1809"/>
      <c r="Y17" s="3273"/>
      <c r="Z17" s="1810" t="str">
        <f>Q17</f>
        <v>交通便捷度</v>
      </c>
      <c r="AA17" s="1807">
        <f t="shared" si="3"/>
        <v>1</v>
      </c>
      <c r="AB17" s="1807">
        <f t="shared" si="4"/>
        <v>1</v>
      </c>
      <c r="AC17" s="2669">
        <f t="shared" si="5"/>
        <v>1</v>
      </c>
    </row>
    <row r="18" spans="1:29" ht="15">
      <c r="A18" s="428"/>
      <c r="B18" s="630"/>
      <c r="C18" s="2671" t="s">
        <v>3657</v>
      </c>
      <c r="D18" s="450"/>
      <c r="E18" s="2671" t="s">
        <v>3657</v>
      </c>
      <c r="F18" s="450"/>
      <c r="G18" s="2671" t="s">
        <v>3657</v>
      </c>
      <c r="H18" s="448"/>
      <c r="I18" s="2671" t="s">
        <v>3657</v>
      </c>
      <c r="J18" s="448"/>
      <c r="K18" s="615"/>
      <c r="L18" s="1136"/>
      <c r="M18" s="1127"/>
      <c r="N18" s="1127"/>
      <c r="O18" s="1127"/>
      <c r="P18" s="3271"/>
      <c r="Q18" s="1806"/>
      <c r="R18" s="772"/>
      <c r="S18" s="773"/>
      <c r="T18" s="772"/>
      <c r="U18" s="773"/>
      <c r="V18" s="772"/>
      <c r="W18" s="773"/>
      <c r="X18" s="1809"/>
      <c r="Y18" s="3273"/>
      <c r="Z18" s="1810"/>
      <c r="AA18" s="1807">
        <v>1</v>
      </c>
      <c r="AB18" s="1807">
        <v>1</v>
      </c>
      <c r="AC18" s="2669">
        <v>1</v>
      </c>
    </row>
    <row r="19" spans="1:29" ht="114">
      <c r="A19" s="428"/>
      <c r="B19" s="629" t="s">
        <v>2675</v>
      </c>
      <c r="C19" s="2670"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9"/>
      <c r="F19" s="455">
        <f>SUMIF(81:81,E20,82:82)-SUMIF(81:81,C20,82:82)+100</f>
        <v>100</v>
      </c>
      <c r="G19" s="457"/>
      <c r="H19" s="450">
        <f>SUMIF(81:81,G20,82:82)-SUMIF(81:81,C20,82:82)+100</f>
        <v>100</v>
      </c>
      <c r="I19" s="457"/>
      <c r="J19" s="450">
        <f>SUMIF(81:81,I20,82:82)-SUMIF(81:81,C20,82:82)+100</f>
        <v>100</v>
      </c>
      <c r="K19" s="614">
        <v>3</v>
      </c>
      <c r="L19" s="1136"/>
      <c r="M19" s="1127"/>
      <c r="N19" s="1127"/>
      <c r="O19" s="1127"/>
      <c r="P19" s="3271"/>
      <c r="Q19" s="1806" t="str">
        <f>B19</f>
        <v>公共配套设施</v>
      </c>
      <c r="R19" s="772" t="s">
        <v>17</v>
      </c>
      <c r="S19" s="773">
        <f>F19</f>
        <v>100</v>
      </c>
      <c r="T19" s="772" t="s">
        <v>17</v>
      </c>
      <c r="U19" s="773">
        <f>H19</f>
        <v>100</v>
      </c>
      <c r="V19" s="772" t="s">
        <v>17</v>
      </c>
      <c r="W19" s="773">
        <f>J19</f>
        <v>100</v>
      </c>
      <c r="X19" s="1809"/>
      <c r="Y19" s="3273"/>
      <c r="Z19" s="1810" t="str">
        <f>Q19</f>
        <v>公共配套设施</v>
      </c>
      <c r="AA19" s="1807">
        <f t="shared" si="3"/>
        <v>1</v>
      </c>
      <c r="AB19" s="1807">
        <f t="shared" si="4"/>
        <v>1</v>
      </c>
      <c r="AC19" s="2669">
        <f t="shared" si="5"/>
        <v>1</v>
      </c>
    </row>
    <row r="20" spans="1:29" ht="15">
      <c r="A20" s="428"/>
      <c r="B20" s="630"/>
      <c r="C20" s="2606" t="s">
        <v>3096</v>
      </c>
      <c r="D20" s="448"/>
      <c r="E20" s="2599" t="s">
        <v>3096</v>
      </c>
      <c r="F20" s="448"/>
      <c r="G20" s="2600" t="s">
        <v>3096</v>
      </c>
      <c r="H20" s="448"/>
      <c r="I20" s="2600" t="s">
        <v>3096</v>
      </c>
      <c r="J20" s="448"/>
      <c r="K20" s="615"/>
      <c r="L20" s="1136"/>
      <c r="M20" s="1127"/>
      <c r="N20" s="1127"/>
      <c r="O20" s="1127"/>
      <c r="P20" s="3271"/>
      <c r="Q20" s="1806"/>
      <c r="R20" s="772"/>
      <c r="S20" s="773"/>
      <c r="T20" s="772"/>
      <c r="U20" s="773"/>
      <c r="V20" s="772"/>
      <c r="W20" s="773"/>
      <c r="X20" s="1809"/>
      <c r="Y20" s="3273"/>
      <c r="Z20" s="1810"/>
      <c r="AA20" s="1807">
        <v>1</v>
      </c>
      <c r="AB20" s="1807">
        <v>1</v>
      </c>
      <c r="AC20" s="2669">
        <v>1</v>
      </c>
    </row>
    <row r="21" spans="1:29" ht="15">
      <c r="A21" s="428"/>
      <c r="B21" s="631" t="s">
        <v>2676</v>
      </c>
      <c r="C21" s="2670">
        <f>估价对象房地状况!C8</f>
        <v>0</v>
      </c>
      <c r="D21" s="450">
        <v>100</v>
      </c>
      <c r="E21" s="459"/>
      <c r="F21" s="455">
        <f>SUMIF(83:83,E22,84:84)-SUMIF(83:83,C22,84:84)+100</f>
        <v>100</v>
      </c>
      <c r="G21" s="457"/>
      <c r="H21" s="450">
        <f>SUMIF(83:83,G22,84:84)-SUMIF(83:83,C22,84:84)+100</f>
        <v>100</v>
      </c>
      <c r="I21" s="457"/>
      <c r="J21" s="450">
        <f>SUMIF(83:83,I22,84:84)-SUMIF(83:83,C22,84:84)+100</f>
        <v>100</v>
      </c>
      <c r="K21" s="614">
        <v>2</v>
      </c>
      <c r="L21" s="1136"/>
      <c r="M21" s="1127"/>
      <c r="N21" s="1127"/>
      <c r="O21" s="1127"/>
      <c r="P21" s="3271"/>
      <c r="Q21" s="1806" t="str">
        <f>B21</f>
        <v>基础设施水平</v>
      </c>
      <c r="R21" s="772" t="s">
        <v>17</v>
      </c>
      <c r="S21" s="773">
        <f>F21</f>
        <v>100</v>
      </c>
      <c r="T21" s="772" t="s">
        <v>17</v>
      </c>
      <c r="U21" s="773">
        <f>H21</f>
        <v>100</v>
      </c>
      <c r="V21" s="772" t="s">
        <v>17</v>
      </c>
      <c r="W21" s="773">
        <f>J21</f>
        <v>100</v>
      </c>
      <c r="X21" s="1809"/>
      <c r="Y21" s="3273"/>
      <c r="Z21" s="1810" t="str">
        <f>Q21</f>
        <v>基础设施水平</v>
      </c>
      <c r="AA21" s="1807">
        <f t="shared" ref="AA21" si="8">D21/F21</f>
        <v>1</v>
      </c>
      <c r="AB21" s="1807">
        <f t="shared" ref="AB21" si="9">D21/H21</f>
        <v>1</v>
      </c>
      <c r="AC21" s="2669">
        <f t="shared" ref="AC21" si="10">D21/J21</f>
        <v>1</v>
      </c>
    </row>
    <row r="22" spans="1:29" ht="15">
      <c r="A22" s="428"/>
      <c r="B22" s="631"/>
      <c r="C22" s="2671" t="s">
        <v>3094</v>
      </c>
      <c r="D22" s="448"/>
      <c r="E22" s="2671" t="s">
        <v>3094</v>
      </c>
      <c r="F22" s="448"/>
      <c r="G22" s="2671" t="s">
        <v>3094</v>
      </c>
      <c r="H22" s="448"/>
      <c r="I22" s="2671" t="s">
        <v>3094</v>
      </c>
      <c r="J22" s="448"/>
      <c r="K22" s="1379"/>
      <c r="L22" s="1136"/>
      <c r="M22" s="1127"/>
      <c r="N22" s="1127"/>
      <c r="O22" s="1127"/>
      <c r="P22" s="3271"/>
      <c r="Q22" s="1806"/>
      <c r="R22" s="772"/>
      <c r="S22" s="773"/>
      <c r="T22" s="772"/>
      <c r="U22" s="773"/>
      <c r="V22" s="772"/>
      <c r="W22" s="773"/>
      <c r="X22" s="1809"/>
      <c r="Y22" s="3273"/>
      <c r="Z22" s="1810"/>
      <c r="AA22" s="1807">
        <v>1</v>
      </c>
      <c r="AB22" s="1807">
        <v>1</v>
      </c>
      <c r="AC22" s="2669">
        <v>1</v>
      </c>
    </row>
    <row r="23" spans="1:29" ht="15">
      <c r="A23" s="428"/>
      <c r="B23" s="629" t="s">
        <v>2677</v>
      </c>
      <c r="C23" s="2670">
        <f>估价对象房地状况!C9</f>
        <v>0</v>
      </c>
      <c r="D23" s="450">
        <v>100</v>
      </c>
      <c r="E23" s="454"/>
      <c r="F23" s="450">
        <f>SUMIF(85:85,E24,86:86)-SUMIF(85:85,C24,86:86)+100</f>
        <v>100</v>
      </c>
      <c r="G23" s="452"/>
      <c r="H23" s="450">
        <f>SUMIF(85:85,G24,86:86)-SUMIF(85:85,C24,86:86)+100</f>
        <v>100</v>
      </c>
      <c r="I23" s="452"/>
      <c r="J23" s="450">
        <f>SUMIF(85:85,I24,86:86)-SUMIF(85:85,C24,86:86)+100</f>
        <v>100</v>
      </c>
      <c r="K23" s="614">
        <v>2</v>
      </c>
      <c r="L23" s="1136"/>
      <c r="M23" s="1127"/>
      <c r="N23" s="1127"/>
      <c r="O23" s="1127"/>
      <c r="P23" s="3271"/>
      <c r="Q23" s="1806" t="str">
        <f>B23</f>
        <v>环境质量</v>
      </c>
      <c r="R23" s="772" t="s">
        <v>17</v>
      </c>
      <c r="S23" s="773">
        <f>F23</f>
        <v>100</v>
      </c>
      <c r="T23" s="772" t="s">
        <v>17</v>
      </c>
      <c r="U23" s="773">
        <f>H23</f>
        <v>100</v>
      </c>
      <c r="V23" s="772" t="s">
        <v>17</v>
      </c>
      <c r="W23" s="773">
        <f>J23</f>
        <v>100</v>
      </c>
      <c r="X23" s="1809"/>
      <c r="Y23" s="3273"/>
      <c r="Z23" s="1810" t="str">
        <f>Q23</f>
        <v>环境质量</v>
      </c>
      <c r="AA23" s="1807">
        <f t="shared" si="3"/>
        <v>1</v>
      </c>
      <c r="AB23" s="1807">
        <f t="shared" si="4"/>
        <v>1</v>
      </c>
      <c r="AC23" s="2669">
        <f t="shared" si="5"/>
        <v>1</v>
      </c>
    </row>
    <row r="24" spans="1:29" ht="15">
      <c r="A24" s="428"/>
      <c r="B24" s="631"/>
      <c r="C24" s="2606" t="s">
        <v>3095</v>
      </c>
      <c r="D24" s="448"/>
      <c r="E24" s="2599" t="s">
        <v>3095</v>
      </c>
      <c r="F24" s="448"/>
      <c r="G24" s="2600" t="s">
        <v>3095</v>
      </c>
      <c r="H24" s="448"/>
      <c r="I24" s="2600" t="s">
        <v>3095</v>
      </c>
      <c r="J24" s="448"/>
      <c r="K24" s="615"/>
      <c r="L24" s="1136"/>
      <c r="M24" s="1127"/>
      <c r="N24" s="1127"/>
      <c r="O24" s="1127"/>
      <c r="P24" s="3271"/>
      <c r="Q24" s="1806"/>
      <c r="R24" s="772"/>
      <c r="S24" s="773"/>
      <c r="T24" s="772"/>
      <c r="U24" s="773"/>
      <c r="V24" s="772"/>
      <c r="W24" s="773"/>
      <c r="X24" s="1809"/>
      <c r="Y24" s="3273"/>
      <c r="Z24" s="1810"/>
      <c r="AA24" s="1807">
        <v>1</v>
      </c>
      <c r="AB24" s="1807">
        <v>1</v>
      </c>
      <c r="AC24" s="2669">
        <v>1</v>
      </c>
    </row>
    <row r="25" spans="1:29" ht="27">
      <c r="A25" s="404"/>
      <c r="B25" s="629" t="s">
        <v>2678</v>
      </c>
      <c r="C25" s="2949" t="s">
        <v>3669</v>
      </c>
      <c r="D25" s="435">
        <v>100</v>
      </c>
      <c r="E25" s="2952" t="s">
        <v>3102</v>
      </c>
      <c r="F25" s="435">
        <f>SUMIF(87:87,E26,88:88)-SUMIF(87:87,C26,88:88)+100</f>
        <v>97</v>
      </c>
      <c r="G25" s="2949" t="s">
        <v>3664</v>
      </c>
      <c r="H25" s="435">
        <f>SUMIF(87:87,G26,88:88)-SUMIF(87:87,C26,88:88)+100</f>
        <v>100</v>
      </c>
      <c r="I25" s="2949" t="s">
        <v>3664</v>
      </c>
      <c r="J25" s="435">
        <f>SUMIF(87:87,I26,88:88)-SUMIF(87:87,C26,88:88)+100</f>
        <v>100</v>
      </c>
      <c r="K25" s="614">
        <v>3</v>
      </c>
      <c r="L25" s="1136"/>
      <c r="M25" s="1127"/>
      <c r="N25" s="1127"/>
      <c r="O25" s="1127"/>
      <c r="P25" s="3271"/>
      <c r="Q25" s="1806" t="str">
        <f>B25</f>
        <v>毗邻道路的类型与等级</v>
      </c>
      <c r="R25" s="772" t="s">
        <v>17</v>
      </c>
      <c r="S25" s="773">
        <f>F25</f>
        <v>97</v>
      </c>
      <c r="T25" s="772" t="s">
        <v>17</v>
      </c>
      <c r="U25" s="773">
        <f>H25</f>
        <v>100</v>
      </c>
      <c r="V25" s="772" t="s">
        <v>17</v>
      </c>
      <c r="W25" s="773">
        <f>J25</f>
        <v>100</v>
      </c>
      <c r="X25" s="1809"/>
      <c r="Y25" s="3273"/>
      <c r="Z25" s="1810" t="str">
        <f>Q25</f>
        <v>毗邻道路的类型与等级</v>
      </c>
      <c r="AA25" s="1807">
        <f t="shared" si="3"/>
        <v>1.0309278350515463</v>
      </c>
      <c r="AB25" s="1807">
        <f t="shared" si="4"/>
        <v>1</v>
      </c>
      <c r="AC25" s="2669">
        <f t="shared" si="5"/>
        <v>1</v>
      </c>
    </row>
    <row r="26" spans="1:29" ht="15">
      <c r="A26" s="404"/>
      <c r="B26" s="630"/>
      <c r="C26" s="632" t="s">
        <v>3663</v>
      </c>
      <c r="D26" s="435"/>
      <c r="E26" s="616" t="s">
        <v>3103</v>
      </c>
      <c r="F26" s="435"/>
      <c r="G26" s="632" t="s">
        <v>3663</v>
      </c>
      <c r="H26" s="435"/>
      <c r="I26" s="616" t="s">
        <v>3663</v>
      </c>
      <c r="J26" s="435"/>
      <c r="K26" s="615"/>
      <c r="L26" s="1136"/>
      <c r="M26" s="1127"/>
      <c r="N26" s="1127"/>
      <c r="O26" s="1127"/>
      <c r="P26" s="3271"/>
      <c r="Q26" s="1806"/>
      <c r="R26" s="772"/>
      <c r="S26" s="773"/>
      <c r="T26" s="772"/>
      <c r="U26" s="773"/>
      <c r="V26" s="772"/>
      <c r="W26" s="773"/>
      <c r="X26" s="1809"/>
      <c r="Y26" s="3273"/>
      <c r="Z26" s="1810"/>
      <c r="AA26" s="1807">
        <v>1</v>
      </c>
      <c r="AB26" s="1807">
        <v>1</v>
      </c>
      <c r="AC26" s="2669">
        <v>1</v>
      </c>
    </row>
    <row r="27" spans="1:29" ht="15">
      <c r="A27" s="428"/>
      <c r="B27" s="630" t="s">
        <v>2647</v>
      </c>
      <c r="C27" s="632"/>
      <c r="D27" s="435">
        <v>100</v>
      </c>
      <c r="E27" s="616"/>
      <c r="F27" s="435">
        <f>SUMIF(89:89,E27,90:90)-SUMIF(89:89,C27,90:90)+100</f>
        <v>100</v>
      </c>
      <c r="G27" s="632"/>
      <c r="H27" s="435">
        <f>SUMIF(89:89,G27,90:90)-SUMIF(89:89,C27,90:90)+100</f>
        <v>100</v>
      </c>
      <c r="I27" s="616"/>
      <c r="J27" s="435">
        <f>SUMIF(89:89,I27,90:90)-SUMIF(89:89,C27,90:90)+100</f>
        <v>100</v>
      </c>
      <c r="K27" s="612"/>
      <c r="L27" s="1136"/>
      <c r="M27" s="1127"/>
      <c r="N27" s="1127"/>
      <c r="O27" s="1127"/>
      <c r="P27" s="3271"/>
      <c r="Q27" s="1806" t="str">
        <f t="shared" ref="Q27:Q47" si="11">B27</f>
        <v>楼层</v>
      </c>
      <c r="R27" s="772" t="s">
        <v>17</v>
      </c>
      <c r="S27" s="773">
        <f>F27</f>
        <v>100</v>
      </c>
      <c r="T27" s="772" t="s">
        <v>17</v>
      </c>
      <c r="U27" s="773">
        <f>H27</f>
        <v>100</v>
      </c>
      <c r="V27" s="772" t="s">
        <v>17</v>
      </c>
      <c r="W27" s="773">
        <f>J27</f>
        <v>100</v>
      </c>
      <c r="X27" s="1809"/>
      <c r="Y27" s="3273"/>
      <c r="Z27" s="1810" t="str">
        <f>Q27</f>
        <v>楼层</v>
      </c>
      <c r="AA27" s="1807">
        <f t="shared" si="3"/>
        <v>1</v>
      </c>
      <c r="AB27" s="1807">
        <f t="shared" si="4"/>
        <v>1</v>
      </c>
      <c r="AC27" s="2669">
        <f t="shared" si="5"/>
        <v>1</v>
      </c>
    </row>
    <row r="28" spans="1:29" s="117" customFormat="1" ht="15.75" thickBot="1">
      <c r="A28" s="431"/>
      <c r="B28" s="629" t="s">
        <v>2679</v>
      </c>
      <c r="C28" s="2672"/>
      <c r="D28" s="462">
        <v>100</v>
      </c>
      <c r="E28" s="2660"/>
      <c r="F28" s="462">
        <f>SUMIF(91:91,E28,92:92)-SUMIF(91:91,C28,92:92)+100</f>
        <v>100</v>
      </c>
      <c r="G28" s="2672"/>
      <c r="H28" s="462">
        <f>SUMIF(91:91,G28,92:92)-SUMIF(91:91,C28,92:92)+100</f>
        <v>100</v>
      </c>
      <c r="I28" s="2660"/>
      <c r="J28" s="462">
        <f>SUMIF(91:91,I28,92:92)-SUMIF(91:91,C28,92:92)+100</f>
        <v>100</v>
      </c>
      <c r="K28" s="612"/>
      <c r="L28" s="1128"/>
      <c r="M28" s="1129"/>
      <c r="N28" s="1129"/>
      <c r="O28" s="1129"/>
      <c r="P28" s="3271"/>
      <c r="Q28" s="1791" t="str">
        <f t="shared" si="11"/>
        <v>朝向</v>
      </c>
      <c r="R28" s="768" t="s">
        <v>17</v>
      </c>
      <c r="S28" s="769">
        <f>F28</f>
        <v>100</v>
      </c>
      <c r="T28" s="768" t="s">
        <v>17</v>
      </c>
      <c r="U28" s="769">
        <f>H28</f>
        <v>100</v>
      </c>
      <c r="V28" s="768" t="s">
        <v>17</v>
      </c>
      <c r="W28" s="769">
        <f>J28</f>
        <v>100</v>
      </c>
      <c r="X28" s="770"/>
      <c r="Y28" s="3273"/>
      <c r="Z28" s="55" t="str">
        <f>Q28</f>
        <v>朝向</v>
      </c>
      <c r="AA28" s="1807">
        <f>D28/F28</f>
        <v>1</v>
      </c>
      <c r="AB28" s="1807">
        <f>D28/H28</f>
        <v>1</v>
      </c>
      <c r="AC28" s="2669">
        <f>D28/J28</f>
        <v>1</v>
      </c>
    </row>
    <row r="29" spans="1:29" ht="15" hidden="1">
      <c r="A29" s="428"/>
      <c r="B29" s="2673"/>
      <c r="C29" s="2610"/>
      <c r="D29" s="435">
        <v>100</v>
      </c>
      <c r="E29" s="432"/>
      <c r="F29" s="435">
        <f>SUMIF(93:93,E29,94:94)-SUMIF(93:93,C29,94:94)+100</f>
        <v>100</v>
      </c>
      <c r="G29" s="2667"/>
      <c r="H29" s="435">
        <f>SUMIF(93:93,G29,94:94)-SUMIF(93:93,C29,94:94)+100</f>
        <v>100</v>
      </c>
      <c r="I29" s="432"/>
      <c r="J29" s="435">
        <f>SUMIF(93:93,I29,94:94)-SUMIF(93:93,C29,94:94)+100</f>
        <v>100</v>
      </c>
      <c r="K29" s="613"/>
      <c r="L29" s="1136"/>
      <c r="M29" s="1127"/>
      <c r="N29" s="1127"/>
      <c r="O29" s="1127"/>
      <c r="P29" s="3271"/>
      <c r="Q29" s="1806">
        <f t="shared" si="11"/>
        <v>0</v>
      </c>
      <c r="R29" s="772" t="s">
        <v>17</v>
      </c>
      <c r="S29" s="773">
        <f t="shared" ref="S29:S47" si="12">F29</f>
        <v>100</v>
      </c>
      <c r="T29" s="772" t="s">
        <v>17</v>
      </c>
      <c r="U29" s="773">
        <f t="shared" ref="U29:U47" si="13">H29</f>
        <v>100</v>
      </c>
      <c r="V29" s="772" t="s">
        <v>17</v>
      </c>
      <c r="W29" s="773">
        <f t="shared" ref="W29:W47" si="14">J29</f>
        <v>100</v>
      </c>
      <c r="X29" s="1809"/>
      <c r="Y29" s="3273"/>
      <c r="Z29" s="1810">
        <f t="shared" ref="Z29:Z47" si="15">Q29</f>
        <v>0</v>
      </c>
      <c r="AA29" s="1807">
        <f t="shared" si="3"/>
        <v>1</v>
      </c>
      <c r="AB29" s="1807">
        <f t="shared" si="4"/>
        <v>1</v>
      </c>
      <c r="AC29" s="2669">
        <f t="shared" si="5"/>
        <v>1</v>
      </c>
    </row>
    <row r="30" spans="1:29" ht="15" hidden="1">
      <c r="A30" s="428"/>
      <c r="B30" s="2673"/>
      <c r="C30" s="2610"/>
      <c r="D30" s="435">
        <v>100</v>
      </c>
      <c r="E30" s="432"/>
      <c r="F30" s="435">
        <f>SUMIF(95:95,E30,96:96)-SUMIF(95:95,C30,96:96)+100</f>
        <v>100</v>
      </c>
      <c r="G30" s="2667"/>
      <c r="H30" s="435">
        <f>SUMIF(95:95,G30,96:96)-SUMIF(95:95,C30,96:96)+100</f>
        <v>100</v>
      </c>
      <c r="I30" s="432"/>
      <c r="J30" s="435">
        <f>SUMIF(95:95,I30,96:96)-SUMIF(95:95,C30,96:96)+100</f>
        <v>100</v>
      </c>
      <c r="K30" s="613"/>
      <c r="L30" s="1136"/>
      <c r="M30" s="1127"/>
      <c r="N30" s="1127"/>
      <c r="O30" s="1127"/>
      <c r="P30" s="3271"/>
      <c r="Q30" s="1806">
        <f t="shared" si="11"/>
        <v>0</v>
      </c>
      <c r="R30" s="772" t="s">
        <v>17</v>
      </c>
      <c r="S30" s="773">
        <f t="shared" si="12"/>
        <v>100</v>
      </c>
      <c r="T30" s="772" t="s">
        <v>17</v>
      </c>
      <c r="U30" s="773">
        <f t="shared" si="13"/>
        <v>100</v>
      </c>
      <c r="V30" s="772" t="s">
        <v>17</v>
      </c>
      <c r="W30" s="773">
        <f t="shared" si="14"/>
        <v>100</v>
      </c>
      <c r="X30" s="1809"/>
      <c r="Y30" s="3273"/>
      <c r="Z30" s="1810">
        <f t="shared" si="15"/>
        <v>0</v>
      </c>
      <c r="AA30" s="1807">
        <f t="shared" si="3"/>
        <v>1</v>
      </c>
      <c r="AB30" s="1807">
        <f t="shared" si="4"/>
        <v>1</v>
      </c>
      <c r="AC30" s="2669">
        <f t="shared" si="5"/>
        <v>1</v>
      </c>
    </row>
    <row r="31" spans="1:29" ht="15" hidden="1">
      <c r="A31" s="428"/>
      <c r="B31" s="2673"/>
      <c r="C31" s="2610"/>
      <c r="D31" s="435">
        <v>100</v>
      </c>
      <c r="E31" s="432"/>
      <c r="F31" s="435">
        <f>SUMIF(97:97,E31,98:98)-SUMIF(97:97,C31,98:98)+100</f>
        <v>100</v>
      </c>
      <c r="G31" s="2667"/>
      <c r="H31" s="435">
        <f>SUMIF(97:97,G31,98:98)-SUMIF(97:97,C31,98:98)+100</f>
        <v>100</v>
      </c>
      <c r="I31" s="432"/>
      <c r="J31" s="435">
        <f>SUMIF(97:97,I31,98:98)-SUMIF(97:97,C31,98:98)+100</f>
        <v>100</v>
      </c>
      <c r="K31" s="613"/>
      <c r="L31" s="1136"/>
      <c r="M31" s="1127"/>
      <c r="N31" s="1127"/>
      <c r="O31" s="1127"/>
      <c r="P31" s="3271"/>
      <c r="Q31" s="1806">
        <f t="shared" si="11"/>
        <v>0</v>
      </c>
      <c r="R31" s="772" t="s">
        <v>17</v>
      </c>
      <c r="S31" s="773">
        <f t="shared" si="12"/>
        <v>100</v>
      </c>
      <c r="T31" s="772" t="s">
        <v>17</v>
      </c>
      <c r="U31" s="773">
        <f t="shared" si="13"/>
        <v>100</v>
      </c>
      <c r="V31" s="772" t="s">
        <v>17</v>
      </c>
      <c r="W31" s="773">
        <f t="shared" si="14"/>
        <v>100</v>
      </c>
      <c r="X31" s="1809"/>
      <c r="Y31" s="3273"/>
      <c r="Z31" s="1810">
        <f t="shared" si="15"/>
        <v>0</v>
      </c>
      <c r="AA31" s="1807">
        <f t="shared" si="3"/>
        <v>1</v>
      </c>
      <c r="AB31" s="1807">
        <f t="shared" si="4"/>
        <v>1</v>
      </c>
      <c r="AC31" s="2669">
        <f t="shared" si="5"/>
        <v>1</v>
      </c>
    </row>
    <row r="32" spans="1:29" ht="15.75" hidden="1" thickBot="1">
      <c r="A32" s="436"/>
      <c r="B32" s="633"/>
      <c r="C32" s="2611"/>
      <c r="D32" s="438">
        <v>100</v>
      </c>
      <c r="E32" s="626"/>
      <c r="F32" s="438">
        <f>SUMIF(99:99,E32,100:100)-SUMIF(99:99,C32,100:100)+100</f>
        <v>100</v>
      </c>
      <c r="G32" s="2667"/>
      <c r="H32" s="438">
        <f>SUMIF(99:99,G32,100:100)-SUMIF(99:99,C32,100:100)+100</f>
        <v>100</v>
      </c>
      <c r="I32" s="432"/>
      <c r="J32" s="438">
        <f>SUMIF(99:99,I32,100:100)-SUMIF(99:99,C32,100:100)+100</f>
        <v>100</v>
      </c>
      <c r="K32" s="613"/>
      <c r="L32" s="1136"/>
      <c r="M32" s="1127"/>
      <c r="N32" s="1127"/>
      <c r="O32" s="1127"/>
      <c r="P32" s="3271"/>
      <c r="Q32" s="1806">
        <f t="shared" si="11"/>
        <v>0</v>
      </c>
      <c r="R32" s="772" t="s">
        <v>17</v>
      </c>
      <c r="S32" s="773">
        <f t="shared" si="12"/>
        <v>100</v>
      </c>
      <c r="T32" s="772" t="s">
        <v>17</v>
      </c>
      <c r="U32" s="773">
        <f t="shared" si="13"/>
        <v>100</v>
      </c>
      <c r="V32" s="772" t="s">
        <v>17</v>
      </c>
      <c r="W32" s="773">
        <f t="shared" si="14"/>
        <v>100</v>
      </c>
      <c r="X32" s="1809"/>
      <c r="Y32" s="3273"/>
      <c r="Z32" s="1810">
        <f t="shared" si="15"/>
        <v>0</v>
      </c>
      <c r="AA32" s="1807">
        <f t="shared" si="3"/>
        <v>1</v>
      </c>
      <c r="AB32" s="1807">
        <f t="shared" si="4"/>
        <v>1</v>
      </c>
      <c r="AC32" s="2669">
        <f t="shared" si="5"/>
        <v>1</v>
      </c>
    </row>
    <row r="33" spans="1:29" ht="15">
      <c r="A33" s="440" t="s">
        <v>2551</v>
      </c>
      <c r="B33" s="71" t="s">
        <v>2680</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6"/>
      <c r="M33" s="1127"/>
      <c r="N33" s="1127"/>
      <c r="O33" s="1127"/>
      <c r="P33" s="3274" t="s">
        <v>2553</v>
      </c>
      <c r="Q33" s="1806" t="str">
        <f t="shared" si="11"/>
        <v>建筑类型</v>
      </c>
      <c r="R33" s="772" t="s">
        <v>17</v>
      </c>
      <c r="S33" s="773">
        <f t="shared" si="12"/>
        <v>100</v>
      </c>
      <c r="T33" s="772" t="s">
        <v>17</v>
      </c>
      <c r="U33" s="773">
        <f t="shared" si="13"/>
        <v>100</v>
      </c>
      <c r="V33" s="772" t="s">
        <v>17</v>
      </c>
      <c r="W33" s="773">
        <f t="shared" si="14"/>
        <v>100</v>
      </c>
      <c r="X33" s="1809"/>
      <c r="Y33" s="3277" t="s">
        <v>2553</v>
      </c>
      <c r="Z33" s="1810" t="str">
        <f t="shared" si="15"/>
        <v>建筑类型</v>
      </c>
      <c r="AA33" s="1807">
        <f t="shared" si="3"/>
        <v>1</v>
      </c>
      <c r="AB33" s="1807">
        <f t="shared" si="4"/>
        <v>1</v>
      </c>
      <c r="AC33" s="2669">
        <f t="shared" si="5"/>
        <v>1</v>
      </c>
    </row>
    <row r="34" spans="1:29" s="471" customFormat="1" ht="15">
      <c r="A34" s="468"/>
      <c r="B34" s="422" t="s">
        <v>2554</v>
      </c>
      <c r="C34" s="469">
        <v>88197</v>
      </c>
      <c r="D34" s="136">
        <v>100</v>
      </c>
      <c r="E34" s="430">
        <v>84335</v>
      </c>
      <c r="F34" s="425">
        <f>LOOKUP(E34,104:104,105:105)-LOOKUP(C34,104:104,105:105)+100</f>
        <v>100</v>
      </c>
      <c r="G34" s="429">
        <f>I34</f>
        <v>58232</v>
      </c>
      <c r="H34" s="136">
        <f>LOOKUP(G34,104:104,105:105)-LOOKUP(C34,104:104,105:105)+100</f>
        <v>100</v>
      </c>
      <c r="I34" s="429">
        <v>58232</v>
      </c>
      <c r="J34" s="136">
        <f>LOOKUP(I34,104:104,105:105)-LOOKUP(C34,104:104,105:105)+100</f>
        <v>100</v>
      </c>
      <c r="K34" s="613"/>
      <c r="L34" s="1134"/>
      <c r="M34" s="1137"/>
      <c r="N34" s="1137"/>
      <c r="O34" s="1137"/>
      <c r="P34" s="3275"/>
      <c r="Q34" s="774" t="str">
        <f t="shared" si="11"/>
        <v>项目建筑规模</v>
      </c>
      <c r="R34" s="775" t="s">
        <v>17</v>
      </c>
      <c r="S34" s="776">
        <f t="shared" si="12"/>
        <v>100</v>
      </c>
      <c r="T34" s="775" t="s">
        <v>17</v>
      </c>
      <c r="U34" s="776">
        <f t="shared" si="13"/>
        <v>100</v>
      </c>
      <c r="V34" s="775" t="s">
        <v>17</v>
      </c>
      <c r="W34" s="776">
        <f t="shared" si="14"/>
        <v>100</v>
      </c>
      <c r="X34" s="777"/>
      <c r="Y34" s="3277"/>
      <c r="Z34" s="778" t="str">
        <f t="shared" si="15"/>
        <v>项目建筑规模</v>
      </c>
      <c r="AA34" s="1807">
        <f t="shared" si="3"/>
        <v>1</v>
      </c>
      <c r="AB34" s="1807">
        <f t="shared" si="4"/>
        <v>1</v>
      </c>
      <c r="AC34" s="2669">
        <f t="shared" si="5"/>
        <v>1</v>
      </c>
    </row>
    <row r="35" spans="1:29" ht="15">
      <c r="A35" s="472"/>
      <c r="B35" s="422" t="s">
        <v>2555</v>
      </c>
      <c r="C35" s="460" t="s">
        <v>3064</v>
      </c>
      <c r="D35" s="435">
        <v>100</v>
      </c>
      <c r="E35" s="460" t="s">
        <v>3064</v>
      </c>
      <c r="F35" s="461">
        <f>SUMIF(106:106,E35,107:107)-SUMIF(106:106,C35,107:107)+100</f>
        <v>100</v>
      </c>
      <c r="G35" s="460" t="s">
        <v>3064</v>
      </c>
      <c r="H35" s="435">
        <f>SUMIF(106:106,G35,107:107)-SUMIF(106:106,C35,107:107)+100</f>
        <v>100</v>
      </c>
      <c r="I35" s="460" t="s">
        <v>3064</v>
      </c>
      <c r="J35" s="435">
        <f>SUMIF(106:106,I35,107:107)-SUMIF(106:106,C35,107:107)+100</f>
        <v>100</v>
      </c>
      <c r="K35" s="612">
        <v>1</v>
      </c>
      <c r="L35" s="1136"/>
      <c r="M35" s="1127"/>
      <c r="N35" s="1127"/>
      <c r="O35" s="1127"/>
      <c r="P35" s="3275"/>
      <c r="Q35" s="1806" t="str">
        <f t="shared" si="11"/>
        <v>建筑结构</v>
      </c>
      <c r="R35" s="772" t="s">
        <v>17</v>
      </c>
      <c r="S35" s="773">
        <f t="shared" si="12"/>
        <v>100</v>
      </c>
      <c r="T35" s="772" t="s">
        <v>17</v>
      </c>
      <c r="U35" s="773">
        <f t="shared" si="13"/>
        <v>100</v>
      </c>
      <c r="V35" s="772" t="s">
        <v>17</v>
      </c>
      <c r="W35" s="773">
        <f t="shared" si="14"/>
        <v>100</v>
      </c>
      <c r="X35" s="1809"/>
      <c r="Y35" s="3277"/>
      <c r="Z35" s="1810" t="str">
        <f t="shared" si="15"/>
        <v>建筑结构</v>
      </c>
      <c r="AA35" s="1807">
        <f t="shared" si="3"/>
        <v>1</v>
      </c>
      <c r="AB35" s="1807">
        <f t="shared" si="4"/>
        <v>1</v>
      </c>
      <c r="AC35" s="2669">
        <f t="shared" si="5"/>
        <v>1</v>
      </c>
    </row>
    <row r="36" spans="1:29" ht="15">
      <c r="A36" s="472"/>
      <c r="B36" s="422" t="s">
        <v>2649</v>
      </c>
      <c r="C36" s="460" t="s">
        <v>3084</v>
      </c>
      <c r="D36" s="435">
        <v>100</v>
      </c>
      <c r="E36" s="460" t="s">
        <v>3084</v>
      </c>
      <c r="F36" s="461">
        <f>SUMIF(108:108,E36,109:109)-SUMIF(108:108,C36,109:109)+100</f>
        <v>100</v>
      </c>
      <c r="G36" s="460" t="s">
        <v>3084</v>
      </c>
      <c r="H36" s="435">
        <f>SUMIF(108:108,G36,109:109)-SUMIF(108:108,C36,109:109)+100</f>
        <v>100</v>
      </c>
      <c r="I36" s="460" t="s">
        <v>3084</v>
      </c>
      <c r="J36" s="435">
        <f>SUMIF(108:108,I36,109:109)-SUMIF(108:108,C36,109:109)+100</f>
        <v>100</v>
      </c>
      <c r="K36" s="612">
        <v>1</v>
      </c>
      <c r="L36" s="1136"/>
      <c r="M36" s="1127"/>
      <c r="N36" s="1127"/>
      <c r="O36" s="1127"/>
      <c r="P36" s="3275"/>
      <c r="Q36" s="1806" t="str">
        <f t="shared" si="11"/>
        <v>公共部分装修</v>
      </c>
      <c r="R36" s="772" t="s">
        <v>17</v>
      </c>
      <c r="S36" s="773">
        <f t="shared" si="12"/>
        <v>100</v>
      </c>
      <c r="T36" s="772" t="s">
        <v>17</v>
      </c>
      <c r="U36" s="773">
        <f t="shared" si="13"/>
        <v>100</v>
      </c>
      <c r="V36" s="772" t="s">
        <v>17</v>
      </c>
      <c r="W36" s="773">
        <f t="shared" si="14"/>
        <v>100</v>
      </c>
      <c r="X36" s="1809"/>
      <c r="Y36" s="3277"/>
      <c r="Z36" s="1810" t="str">
        <f t="shared" si="15"/>
        <v>公共部分装修</v>
      </c>
      <c r="AA36" s="1807">
        <f t="shared" si="3"/>
        <v>1</v>
      </c>
      <c r="AB36" s="1807">
        <f t="shared" si="4"/>
        <v>1</v>
      </c>
      <c r="AC36" s="2669">
        <f t="shared" si="5"/>
        <v>1</v>
      </c>
    </row>
    <row r="37" spans="1:29" ht="15">
      <c r="A37" s="472"/>
      <c r="B37" s="422" t="s">
        <v>2650</v>
      </c>
      <c r="C37" s="474">
        <f>'数据-取费表'!N6</f>
        <v>0.9</v>
      </c>
      <c r="D37" s="435">
        <v>100</v>
      </c>
      <c r="E37" s="2953">
        <f>ROUND(1-(1-0%)*(2018-E13)/60,2)</f>
        <v>0.77</v>
      </c>
      <c r="F37" s="461">
        <f>LOOKUP(E37,111:111,112:112)-LOOKUP(C37,111:111,112:112)+100</f>
        <v>94</v>
      </c>
      <c r="G37" s="2953">
        <f>ROUND(1-(1-0%)*(2018-G13)/60,2)</f>
        <v>0.8</v>
      </c>
      <c r="H37" s="461">
        <f>LOOKUP(G37,111:111,112:112)-LOOKUP(C37,111:111,112:112)+100</f>
        <v>97</v>
      </c>
      <c r="I37" s="474">
        <f>ROUND(1-(1-0%)*(2018-G13)/60,2)</f>
        <v>0.8</v>
      </c>
      <c r="J37" s="435">
        <f>LOOKUP(I37,111:111,112:112)-LOOKUP(C37,111:111,112:112)+100</f>
        <v>97</v>
      </c>
      <c r="K37" s="612">
        <v>3</v>
      </c>
      <c r="L37" s="1136"/>
      <c r="M37" s="1127"/>
      <c r="N37" s="1127"/>
      <c r="O37" s="1127"/>
      <c r="P37" s="3275"/>
      <c r="Q37" s="1806" t="str">
        <f t="shared" si="11"/>
        <v>成新度</v>
      </c>
      <c r="R37" s="772" t="s">
        <v>17</v>
      </c>
      <c r="S37" s="773">
        <f t="shared" si="12"/>
        <v>94</v>
      </c>
      <c r="T37" s="772" t="s">
        <v>17</v>
      </c>
      <c r="U37" s="773">
        <f t="shared" si="13"/>
        <v>97</v>
      </c>
      <c r="V37" s="772" t="s">
        <v>17</v>
      </c>
      <c r="W37" s="773">
        <f t="shared" si="14"/>
        <v>97</v>
      </c>
      <c r="X37" s="1809"/>
      <c r="Y37" s="3277"/>
      <c r="Z37" s="1810" t="str">
        <f t="shared" si="15"/>
        <v>成新度</v>
      </c>
      <c r="AA37" s="1807">
        <f t="shared" si="3"/>
        <v>1.0638297872340425</v>
      </c>
      <c r="AB37" s="1807">
        <f t="shared" si="4"/>
        <v>1.0309278350515463</v>
      </c>
      <c r="AC37" s="2669">
        <f t="shared" si="5"/>
        <v>1.0309278350515463</v>
      </c>
    </row>
    <row r="38" spans="1:29" s="117" customFormat="1" ht="15">
      <c r="A38" s="473"/>
      <c r="B38" s="422" t="s">
        <v>2681</v>
      </c>
      <c r="C38" s="460" t="s">
        <v>3106</v>
      </c>
      <c r="D38" s="136">
        <v>100</v>
      </c>
      <c r="E38" s="460" t="s">
        <v>3106</v>
      </c>
      <c r="F38" s="461">
        <f>SUMIF(113:113,E38,114:114)-SUMIF(113:113,C38,114:114)+100</f>
        <v>100</v>
      </c>
      <c r="G38" s="460" t="s">
        <v>3106</v>
      </c>
      <c r="H38" s="435">
        <f>SUMIF(113:113,G38,114:114)-SUMIF(113:113,C38,114:114)+100</f>
        <v>100</v>
      </c>
      <c r="I38" s="460" t="s">
        <v>3106</v>
      </c>
      <c r="J38" s="435">
        <f>SUMIF(113:113,I38,114:114)-SUMIF(113:113,C38,114:114)+100</f>
        <v>100</v>
      </c>
      <c r="K38" s="612">
        <v>3</v>
      </c>
      <c r="L38" s="1128"/>
      <c r="M38" s="1129"/>
      <c r="N38" s="1129"/>
      <c r="O38" s="1129"/>
      <c r="P38" s="3275"/>
      <c r="Q38" s="1791" t="str">
        <f t="shared" si="11"/>
        <v>写字楼等级</v>
      </c>
      <c r="R38" s="768" t="s">
        <v>17</v>
      </c>
      <c r="S38" s="769">
        <f t="shared" si="12"/>
        <v>100</v>
      </c>
      <c r="T38" s="768" t="s">
        <v>17</v>
      </c>
      <c r="U38" s="769">
        <f t="shared" si="13"/>
        <v>100</v>
      </c>
      <c r="V38" s="768" t="s">
        <v>17</v>
      </c>
      <c r="W38" s="769">
        <f t="shared" si="14"/>
        <v>100</v>
      </c>
      <c r="X38" s="770"/>
      <c r="Y38" s="3277"/>
      <c r="Z38" s="55" t="str">
        <f t="shared" si="15"/>
        <v>写字楼等级</v>
      </c>
      <c r="AA38" s="771">
        <f t="shared" si="3"/>
        <v>1</v>
      </c>
      <c r="AB38" s="771">
        <f t="shared" si="4"/>
        <v>1</v>
      </c>
      <c r="AC38" s="2666">
        <f t="shared" si="5"/>
        <v>1</v>
      </c>
    </row>
    <row r="39" spans="1:29" ht="15">
      <c r="A39" s="472"/>
      <c r="B39" s="422" t="s">
        <v>2682</v>
      </c>
      <c r="C39" s="460" t="s">
        <v>3082</v>
      </c>
      <c r="D39" s="435">
        <v>100</v>
      </c>
      <c r="E39" s="460" t="s">
        <v>3082</v>
      </c>
      <c r="F39" s="461">
        <f>SUMIF(115:115,E39,116:116)-SUMIF(115:115,C39,116:116)+100</f>
        <v>100</v>
      </c>
      <c r="G39" s="460" t="s">
        <v>3082</v>
      </c>
      <c r="H39" s="435">
        <f>SUMIF(115:115,G39,116:116)-SUMIF(115:115,C39,116:116)+100</f>
        <v>100</v>
      </c>
      <c r="I39" s="460" t="s">
        <v>3082</v>
      </c>
      <c r="J39" s="435">
        <f>SUMIF(115:115,I39,116:116)-SUMIF(115:115,C39,116:116)+100</f>
        <v>100</v>
      </c>
      <c r="K39" s="612">
        <v>1</v>
      </c>
      <c r="L39" s="1136"/>
      <c r="M39" s="1127"/>
      <c r="N39" s="1127"/>
      <c r="O39" s="1127"/>
      <c r="P39" s="3275" t="s">
        <v>2553</v>
      </c>
      <c r="Q39" s="1806" t="str">
        <f t="shared" si="11"/>
        <v>物业管理</v>
      </c>
      <c r="R39" s="772" t="s">
        <v>17</v>
      </c>
      <c r="S39" s="773">
        <f t="shared" si="12"/>
        <v>100</v>
      </c>
      <c r="T39" s="772" t="s">
        <v>17</v>
      </c>
      <c r="U39" s="773">
        <f t="shared" si="13"/>
        <v>100</v>
      </c>
      <c r="V39" s="772" t="s">
        <v>17</v>
      </c>
      <c r="W39" s="773">
        <f t="shared" si="14"/>
        <v>100</v>
      </c>
      <c r="X39" s="1809"/>
      <c r="Y39" s="3277" t="s">
        <v>2553</v>
      </c>
      <c r="Z39" s="1810" t="str">
        <f t="shared" si="15"/>
        <v>物业管理</v>
      </c>
      <c r="AA39" s="1807">
        <f t="shared" si="3"/>
        <v>1</v>
      </c>
      <c r="AB39" s="1807">
        <f t="shared" si="4"/>
        <v>1</v>
      </c>
      <c r="AC39" s="2669">
        <f t="shared" si="5"/>
        <v>1</v>
      </c>
    </row>
    <row r="40" spans="1:29" ht="15">
      <c r="A40" s="472"/>
      <c r="B40" s="422" t="s">
        <v>2651</v>
      </c>
      <c r="C40" s="460" t="s">
        <v>3080</v>
      </c>
      <c r="D40" s="435">
        <v>100</v>
      </c>
      <c r="E40" s="460" t="s">
        <v>3080</v>
      </c>
      <c r="F40" s="461">
        <f>SUMIF(117:117,E40,118:118)-SUMIF(117:117,C40,118:118)+100</f>
        <v>100</v>
      </c>
      <c r="G40" s="460" t="s">
        <v>3080</v>
      </c>
      <c r="H40" s="435">
        <f>SUMIF(117:117,G40,118:118)-SUMIF(117:117,C40,118:118)+100</f>
        <v>100</v>
      </c>
      <c r="I40" s="460" t="s">
        <v>3080</v>
      </c>
      <c r="J40" s="435">
        <f>SUMIF(117:117,I40,118:118)-SUMIF(117:117,C40,118:118)+100</f>
        <v>100</v>
      </c>
      <c r="K40" s="612">
        <v>1</v>
      </c>
      <c r="L40" s="1136"/>
      <c r="M40" s="1127"/>
      <c r="N40" s="1127"/>
      <c r="O40" s="1127"/>
      <c r="P40" s="3275"/>
      <c r="Q40" s="1806" t="str">
        <f t="shared" si="11"/>
        <v>市政基础设施</v>
      </c>
      <c r="R40" s="772" t="s">
        <v>17</v>
      </c>
      <c r="S40" s="773">
        <f t="shared" si="12"/>
        <v>100</v>
      </c>
      <c r="T40" s="772" t="s">
        <v>17</v>
      </c>
      <c r="U40" s="773">
        <f t="shared" si="13"/>
        <v>100</v>
      </c>
      <c r="V40" s="772" t="s">
        <v>17</v>
      </c>
      <c r="W40" s="773">
        <f t="shared" si="14"/>
        <v>100</v>
      </c>
      <c r="X40" s="1809"/>
      <c r="Y40" s="3277"/>
      <c r="Z40" s="1810" t="str">
        <f t="shared" si="15"/>
        <v>市政基础设施</v>
      </c>
      <c r="AA40" s="1807">
        <f t="shared" si="3"/>
        <v>1</v>
      </c>
      <c r="AB40" s="1807">
        <f t="shared" si="4"/>
        <v>1</v>
      </c>
      <c r="AC40" s="2669">
        <f t="shared" si="5"/>
        <v>1</v>
      </c>
    </row>
    <row r="41" spans="1:29" ht="15">
      <c r="A41" s="472"/>
      <c r="B41" s="422" t="s">
        <v>2653</v>
      </c>
      <c r="C41" s="616" t="s">
        <v>3690</v>
      </c>
      <c r="D41" s="435">
        <v>100</v>
      </c>
      <c r="E41" s="616" t="s">
        <v>3690</v>
      </c>
      <c r="F41" s="461">
        <f>SUMIF(119:119,E41,120:120)-SUMIF(119:119,C41,120:120)+100</f>
        <v>100</v>
      </c>
      <c r="G41" s="616" t="s">
        <v>3690</v>
      </c>
      <c r="H41" s="435">
        <f>SUMIF(119:119,G41,120:120)-SUMIF(119:119,C41,120:120)+100</f>
        <v>100</v>
      </c>
      <c r="I41" s="616" t="s">
        <v>3690</v>
      </c>
      <c r="J41" s="435">
        <f>SUMIF(119:119,I41,120:120)-SUMIF(119:119,C41,120:120)+100</f>
        <v>100</v>
      </c>
      <c r="K41" s="612">
        <v>1</v>
      </c>
      <c r="L41" s="1136"/>
      <c r="M41" s="1127"/>
      <c r="N41" s="1127"/>
      <c r="O41" s="1127"/>
      <c r="P41" s="3275"/>
      <c r="Q41" s="1806" t="str">
        <f t="shared" si="11"/>
        <v>层高</v>
      </c>
      <c r="R41" s="772" t="s">
        <v>17</v>
      </c>
      <c r="S41" s="773">
        <f t="shared" si="12"/>
        <v>100</v>
      </c>
      <c r="T41" s="772" t="s">
        <v>17</v>
      </c>
      <c r="U41" s="773">
        <f t="shared" si="13"/>
        <v>100</v>
      </c>
      <c r="V41" s="772" t="s">
        <v>17</v>
      </c>
      <c r="W41" s="773">
        <f t="shared" si="14"/>
        <v>100</v>
      </c>
      <c r="X41" s="1809"/>
      <c r="Y41" s="3277"/>
      <c r="Z41" s="1810" t="str">
        <f t="shared" si="15"/>
        <v>层高</v>
      </c>
      <c r="AA41" s="1807">
        <f t="shared" si="3"/>
        <v>1</v>
      </c>
      <c r="AB41" s="1807">
        <f t="shared" si="4"/>
        <v>1</v>
      </c>
      <c r="AC41" s="2669">
        <f t="shared" si="5"/>
        <v>1</v>
      </c>
    </row>
    <row r="42" spans="1:29" s="471" customFormat="1" ht="15">
      <c r="A42" s="468"/>
      <c r="B42" s="1808" t="s">
        <v>2683</v>
      </c>
      <c r="C42" s="434"/>
      <c r="D42" s="435">
        <v>100</v>
      </c>
      <c r="E42" s="434">
        <v>200</v>
      </c>
      <c r="F42" s="461">
        <f>SUMIF(121:121,E42,122:122)-SUMIF(121:121,C42,122:122)+100</f>
        <v>100</v>
      </c>
      <c r="G42" s="434">
        <v>230</v>
      </c>
      <c r="H42" s="435">
        <f>SUMIF(121:121,G42,122:122)-SUMIF(121:121,C42,122:122)+100</f>
        <v>100</v>
      </c>
      <c r="I42" s="434">
        <v>142</v>
      </c>
      <c r="J42" s="435">
        <f>SUMIF(121:121,I42,122:122)-SUMIF(121:121,C42,122:122)+100</f>
        <v>100</v>
      </c>
      <c r="K42" s="613"/>
      <c r="L42" s="1134"/>
      <c r="M42" s="1137"/>
      <c r="N42" s="1137"/>
      <c r="O42" s="1137"/>
      <c r="P42" s="3275"/>
      <c r="Q42" s="774" t="str">
        <f t="shared" si="11"/>
        <v>单套建筑面积</v>
      </c>
      <c r="R42" s="775" t="s">
        <v>17</v>
      </c>
      <c r="S42" s="776">
        <f t="shared" si="12"/>
        <v>100</v>
      </c>
      <c r="T42" s="775" t="s">
        <v>17</v>
      </c>
      <c r="U42" s="776">
        <f t="shared" si="13"/>
        <v>100</v>
      </c>
      <c r="V42" s="775" t="s">
        <v>17</v>
      </c>
      <c r="W42" s="776">
        <f t="shared" si="14"/>
        <v>100</v>
      </c>
      <c r="X42" s="777"/>
      <c r="Y42" s="3277"/>
      <c r="Z42" s="778" t="str">
        <f t="shared" si="15"/>
        <v>单套建筑面积</v>
      </c>
      <c r="AA42" s="1807">
        <f t="shared" si="3"/>
        <v>1</v>
      </c>
      <c r="AB42" s="1807">
        <f t="shared" si="4"/>
        <v>1</v>
      </c>
      <c r="AC42" s="2669">
        <f t="shared" si="5"/>
        <v>1</v>
      </c>
    </row>
    <row r="43" spans="1:29" ht="15">
      <c r="A43" s="472"/>
      <c r="B43" s="422" t="s">
        <v>2655</v>
      </c>
      <c r="C43" s="460" t="s">
        <v>3077</v>
      </c>
      <c r="D43" s="435">
        <v>100</v>
      </c>
      <c r="E43" s="460" t="s">
        <v>3077</v>
      </c>
      <c r="F43" s="461">
        <f>SUMIF(123:123,E43,124:124)-SUMIF(123:123,C43,124:124)+100</f>
        <v>100</v>
      </c>
      <c r="G43" s="460" t="s">
        <v>3077</v>
      </c>
      <c r="H43" s="435">
        <f>SUMIF(123:123,G43,124:124)-SUMIF(123:123,C43,124:124)+100</f>
        <v>100</v>
      </c>
      <c r="I43" s="460" t="s">
        <v>3077</v>
      </c>
      <c r="J43" s="435">
        <f>SUMIF(123:123,I43,124:124)-SUMIF(123:123,C43,124:124)+100</f>
        <v>100</v>
      </c>
      <c r="K43" s="612">
        <v>2</v>
      </c>
      <c r="L43" s="1136"/>
      <c r="M43" s="1127"/>
      <c r="N43" s="1127"/>
      <c r="O43" s="1127"/>
      <c r="P43" s="3275"/>
      <c r="Q43" s="1806" t="str">
        <f t="shared" si="11"/>
        <v>内部装修</v>
      </c>
      <c r="R43" s="772" t="s">
        <v>17</v>
      </c>
      <c r="S43" s="773">
        <f t="shared" si="12"/>
        <v>100</v>
      </c>
      <c r="T43" s="772" t="s">
        <v>17</v>
      </c>
      <c r="U43" s="773">
        <f t="shared" si="13"/>
        <v>100</v>
      </c>
      <c r="V43" s="772" t="s">
        <v>17</v>
      </c>
      <c r="W43" s="773">
        <f t="shared" si="14"/>
        <v>100</v>
      </c>
      <c r="X43" s="1809"/>
      <c r="Y43" s="3277"/>
      <c r="Z43" s="1810" t="str">
        <f t="shared" si="15"/>
        <v>内部装修</v>
      </c>
      <c r="AA43" s="1807">
        <f t="shared" si="3"/>
        <v>1</v>
      </c>
      <c r="AB43" s="1807">
        <f t="shared" si="4"/>
        <v>1</v>
      </c>
      <c r="AC43" s="2669">
        <f t="shared" si="5"/>
        <v>1</v>
      </c>
    </row>
    <row r="44" spans="1:29" ht="15.75" thickBot="1">
      <c r="A44" s="472"/>
      <c r="B44" s="422" t="s">
        <v>2564</v>
      </c>
      <c r="C44" s="460" t="s">
        <v>3096</v>
      </c>
      <c r="D44" s="435">
        <v>100</v>
      </c>
      <c r="E44" s="460" t="s">
        <v>3096</v>
      </c>
      <c r="F44" s="461">
        <f>SUMIF(125:125,E44,126:126)-SUMIF(125:125,C44,126:126)+100</f>
        <v>100</v>
      </c>
      <c r="G44" s="460" t="s">
        <v>3096</v>
      </c>
      <c r="H44" s="435">
        <f>SUMIF(125:125,G44,126:126)-SUMIF(125:125,C44,126:126)+100</f>
        <v>100</v>
      </c>
      <c r="I44" s="460" t="s">
        <v>3096</v>
      </c>
      <c r="J44" s="435">
        <f>SUMIF(125:125,I44,126:126)-SUMIF(125:125,C44,126:126)+100</f>
        <v>100</v>
      </c>
      <c r="K44" s="612">
        <v>2</v>
      </c>
      <c r="L44" s="1136"/>
      <c r="M44" s="1127"/>
      <c r="N44" s="1127"/>
      <c r="O44" s="1127"/>
      <c r="P44" s="3275"/>
      <c r="Q44" s="1806" t="str">
        <f t="shared" si="11"/>
        <v>内部装修维护情况</v>
      </c>
      <c r="R44" s="772" t="s">
        <v>17</v>
      </c>
      <c r="S44" s="773">
        <f t="shared" si="12"/>
        <v>100</v>
      </c>
      <c r="T44" s="772" t="s">
        <v>17</v>
      </c>
      <c r="U44" s="773">
        <f t="shared" si="13"/>
        <v>100</v>
      </c>
      <c r="V44" s="772" t="s">
        <v>17</v>
      </c>
      <c r="W44" s="773">
        <f t="shared" si="14"/>
        <v>100</v>
      </c>
      <c r="X44" s="1809"/>
      <c r="Y44" s="3277"/>
      <c r="Z44" s="1810" t="str">
        <f t="shared" si="15"/>
        <v>内部装修维护情况</v>
      </c>
      <c r="AA44" s="1807">
        <f t="shared" si="3"/>
        <v>1</v>
      </c>
      <c r="AB44" s="1807">
        <f t="shared" si="4"/>
        <v>1</v>
      </c>
      <c r="AC44" s="2669">
        <f t="shared" si="5"/>
        <v>1</v>
      </c>
    </row>
    <row r="45" spans="1:29" s="117" customFormat="1" ht="15" hidden="1">
      <c r="A45" s="473"/>
      <c r="B45" s="1382"/>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75"/>
      <c r="Q45" s="1791">
        <f t="shared" si="11"/>
        <v>0</v>
      </c>
      <c r="R45" s="768" t="s">
        <v>17</v>
      </c>
      <c r="S45" s="769">
        <f t="shared" si="12"/>
        <v>100</v>
      </c>
      <c r="T45" s="768" t="s">
        <v>17</v>
      </c>
      <c r="U45" s="769">
        <f t="shared" si="13"/>
        <v>100</v>
      </c>
      <c r="V45" s="768" t="s">
        <v>17</v>
      </c>
      <c r="W45" s="769">
        <f t="shared" si="14"/>
        <v>100</v>
      </c>
      <c r="X45" s="770"/>
      <c r="Y45" s="3277"/>
      <c r="Z45" s="55">
        <f t="shared" si="15"/>
        <v>0</v>
      </c>
      <c r="AA45" s="771">
        <f t="shared" si="3"/>
        <v>1</v>
      </c>
      <c r="AB45" s="771">
        <f t="shared" si="4"/>
        <v>1</v>
      </c>
      <c r="AC45" s="2666">
        <f t="shared" si="5"/>
        <v>1</v>
      </c>
    </row>
    <row r="46" spans="1:29" ht="15" hidden="1">
      <c r="A46" s="472"/>
      <c r="B46" s="1382"/>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75"/>
      <c r="Q46" s="1806">
        <f t="shared" si="11"/>
        <v>0</v>
      </c>
      <c r="R46" s="772" t="s">
        <v>17</v>
      </c>
      <c r="S46" s="773">
        <f t="shared" si="12"/>
        <v>100</v>
      </c>
      <c r="T46" s="772" t="s">
        <v>17</v>
      </c>
      <c r="U46" s="773">
        <f t="shared" si="13"/>
        <v>100</v>
      </c>
      <c r="V46" s="772" t="s">
        <v>17</v>
      </c>
      <c r="W46" s="773">
        <f t="shared" si="14"/>
        <v>100</v>
      </c>
      <c r="X46" s="1809"/>
      <c r="Y46" s="3277"/>
      <c r="Z46" s="1810">
        <f t="shared" si="15"/>
        <v>0</v>
      </c>
      <c r="AA46" s="1807">
        <f t="shared" si="3"/>
        <v>1</v>
      </c>
      <c r="AB46" s="1807">
        <f t="shared" si="4"/>
        <v>1</v>
      </c>
      <c r="AC46" s="2669">
        <f t="shared" si="5"/>
        <v>1</v>
      </c>
    </row>
    <row r="47" spans="1:29" ht="15.75" hidden="1"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76"/>
      <c r="Q47" s="1806">
        <f t="shared" si="11"/>
        <v>0</v>
      </c>
      <c r="R47" s="772" t="s">
        <v>17</v>
      </c>
      <c r="S47" s="773">
        <f t="shared" si="12"/>
        <v>100</v>
      </c>
      <c r="T47" s="772" t="s">
        <v>17</v>
      </c>
      <c r="U47" s="773">
        <f t="shared" si="13"/>
        <v>100</v>
      </c>
      <c r="V47" s="772" t="s">
        <v>17</v>
      </c>
      <c r="W47" s="773">
        <f t="shared" si="14"/>
        <v>100</v>
      </c>
      <c r="X47" s="1809"/>
      <c r="Y47" s="3278"/>
      <c r="Z47" s="1810">
        <f t="shared" si="15"/>
        <v>0</v>
      </c>
      <c r="AA47" s="1807">
        <f t="shared" si="3"/>
        <v>1</v>
      </c>
      <c r="AB47" s="1807">
        <f t="shared" si="4"/>
        <v>1</v>
      </c>
      <c r="AC47" s="2669">
        <f t="shared" si="5"/>
        <v>1</v>
      </c>
    </row>
    <row r="48" spans="1:29" ht="15">
      <c r="A48" s="479" t="s">
        <v>2565</v>
      </c>
      <c r="B48" s="480"/>
      <c r="C48" s="1403" t="s">
        <v>1</v>
      </c>
      <c r="D48" s="1404"/>
      <c r="E48" s="1405">
        <f>ROUND(790/200*10000*0.98,0)</f>
        <v>38710</v>
      </c>
      <c r="F48" s="1406"/>
      <c r="G48" s="1407">
        <f>44000*0.98</f>
        <v>43120</v>
      </c>
      <c r="H48" s="1408"/>
      <c r="I48" s="1405">
        <f>43000*0.98</f>
        <v>42140</v>
      </c>
      <c r="J48" s="485"/>
      <c r="K48" s="781"/>
      <c r="L48" s="1139"/>
      <c r="M48" s="1127"/>
      <c r="N48" s="1127"/>
      <c r="O48" s="1127"/>
      <c r="P48" s="3264" t="str">
        <f>A48</f>
        <v>成交单价（元/平方米）</v>
      </c>
      <c r="Q48" s="3265"/>
      <c r="R48" s="3266">
        <f>E48</f>
        <v>38710</v>
      </c>
      <c r="S48" s="3266"/>
      <c r="T48" s="3266">
        <f>G48</f>
        <v>43120</v>
      </c>
      <c r="U48" s="3266"/>
      <c r="V48" s="3266">
        <f>I48</f>
        <v>42140</v>
      </c>
      <c r="W48" s="3266"/>
      <c r="X48" s="446"/>
      <c r="Y48" s="779"/>
      <c r="Z48" s="446"/>
      <c r="AA48" s="446"/>
      <c r="AB48" s="446"/>
      <c r="AC48" s="628"/>
    </row>
    <row r="49" spans="1:29" ht="15.75" thickBot="1">
      <c r="A49" s="486" t="s">
        <v>2656</v>
      </c>
      <c r="B49" s="487"/>
      <c r="C49" s="1409">
        <f>R50</f>
        <v>44794</v>
      </c>
      <c r="D49" s="1410"/>
      <c r="E49" s="1411">
        <f>R49</f>
        <v>43768</v>
      </c>
      <c r="F49" s="1411"/>
      <c r="G49" s="1409">
        <f>T49</f>
        <v>45828</v>
      </c>
      <c r="H49" s="1410"/>
      <c r="I49" s="1411">
        <f>V49</f>
        <v>44787</v>
      </c>
      <c r="J49" s="489"/>
      <c r="K49" s="782"/>
      <c r="L49" s="1139"/>
      <c r="M49" s="1127"/>
      <c r="N49" s="1127"/>
      <c r="O49" s="1127"/>
      <c r="P49" s="3264" t="str">
        <f>A49</f>
        <v>比较价值（元/平方米）</v>
      </c>
      <c r="Q49" s="3265"/>
      <c r="R49" s="3266">
        <f>IF(F1="售价",ROUND(PRODUCT(R48,AA7:AA47),0),ROUND(PRODUCT(R48,AA7:AA47),1))</f>
        <v>43768</v>
      </c>
      <c r="S49" s="3266"/>
      <c r="T49" s="3266">
        <f>IF(F1="售价",ROUND(PRODUCT(T48,AB7:AB47),0),ROUND(PRODUCT(T48,AB7:AB47),1))</f>
        <v>45828</v>
      </c>
      <c r="U49" s="3266"/>
      <c r="V49" s="3266">
        <f>IF(F1="售价",ROUND(PRODUCT(V48,AC7:AC47),0),ROUND(PRODUCT(V48,AC7:AC47),1))</f>
        <v>44787</v>
      </c>
      <c r="W49" s="3266"/>
      <c r="X49" s="446"/>
      <c r="Y49" s="446"/>
      <c r="Z49" s="446"/>
      <c r="AA49" s="446"/>
      <c r="AB49" s="446"/>
      <c r="AC49" s="628"/>
    </row>
    <row r="50" spans="1:29" ht="15.75" thickBot="1">
      <c r="A50" s="492" t="s">
        <v>3113</v>
      </c>
      <c r="B50" s="493"/>
      <c r="C50" s="1413">
        <f>R50</f>
        <v>44794</v>
      </c>
      <c r="D50" s="1413"/>
      <c r="E50" s="1413"/>
      <c r="F50" s="1413"/>
      <c r="G50" s="1413"/>
      <c r="H50" s="1413"/>
      <c r="I50" s="1413"/>
      <c r="J50" s="494"/>
      <c r="K50" s="783"/>
      <c r="L50" s="1139"/>
      <c r="M50" s="1127"/>
      <c r="N50" s="1127"/>
      <c r="O50" s="1127"/>
      <c r="P50" s="3267" t="str">
        <f>A50</f>
        <v>估价对象办公用房的比较价值（楼面单价，元/平方米）</v>
      </c>
      <c r="Q50" s="3268"/>
      <c r="R50" s="3269">
        <f>IF(F1="售价",ROUND(AVERAGE(R49:V49),0),ROUND(AVERAGE(R49:V49),1))</f>
        <v>44794</v>
      </c>
      <c r="S50" s="3269"/>
      <c r="T50" s="3269"/>
      <c r="U50" s="3269"/>
      <c r="V50" s="3269"/>
      <c r="W50" s="3269"/>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2658</v>
      </c>
      <c r="D53" s="498"/>
      <c r="E53" s="499">
        <f>IF(E48&lt;E49,E49/E48-1,E48/E49-1)</f>
        <v>0.13066391113407394</v>
      </c>
      <c r="F53" s="500" t="str">
        <f>IF(OR(E53&gt;=0.3,E53&lt;=-0.3),"超过30%","")</f>
        <v/>
      </c>
      <c r="G53" s="499">
        <f>IF(G48&lt;G49,G49/G48-1,G48/G49-1)</f>
        <v>6.2801484230055715E-2</v>
      </c>
      <c r="H53" s="500" t="str">
        <f>IF(OR(G53&gt;=0.3,G53&lt;=-0.3),"超过30%","")</f>
        <v/>
      </c>
      <c r="I53" s="499">
        <f>IF(I48&lt;I49,I49/I48-1,I48/I49-1)</f>
        <v>6.2814428096820141E-2</v>
      </c>
      <c r="J53" s="500" t="str">
        <f>IF(OR(I53&gt;=0.3,I53&lt;=-0.3),"超过30%","")</f>
        <v/>
      </c>
      <c r="K53" s="1101"/>
      <c r="L53" s="1102"/>
      <c r="M53" s="1140"/>
      <c r="N53" s="1140"/>
      <c r="O53" s="1140"/>
    </row>
    <row r="54" spans="1:29" ht="13.5" customHeight="1">
      <c r="A54" s="1140"/>
      <c r="B54" s="1140"/>
      <c r="C54" s="497" t="s">
        <v>2659</v>
      </c>
      <c r="D54" s="501"/>
      <c r="E54" s="499">
        <f>IF(E49&lt;G49,G49/E49-1,E49/G49-1)</f>
        <v>4.7066349844635313E-2</v>
      </c>
      <c r="F54" s="500" t="str">
        <f>IF(OR(E54&gt;=0.2,E54&lt;=-0.2),"超过20%","")</f>
        <v/>
      </c>
      <c r="G54" s="499">
        <f>IF(G49&lt;I49,I49/G49-1,G49/I49-1)</f>
        <v>2.3243351865496642E-2</v>
      </c>
      <c r="H54" s="500" t="str">
        <f>IF(OR(G54&gt;=0.2,G54&lt;=-0.2),"超过20%","")</f>
        <v/>
      </c>
      <c r="I54" s="499">
        <f>IF(I49&lt;E49,E49/I49-1,I49/E49-1)</f>
        <v>2.3281849753244321E-2</v>
      </c>
      <c r="J54" s="500" t="str">
        <f>IF(OR(I54&gt;=0.2,I54&lt;=-0.2),"超过20%","")</f>
        <v/>
      </c>
      <c r="K54" s="1101"/>
      <c r="L54" s="1102"/>
      <c r="M54" s="1140"/>
      <c r="N54" s="1140"/>
      <c r="O54" s="1140"/>
    </row>
    <row r="55" spans="1:29" s="502" customFormat="1" ht="13.5" customHeight="1">
      <c r="A55" s="1141"/>
      <c r="B55" s="1141"/>
      <c r="C55" s="497" t="s">
        <v>2660</v>
      </c>
      <c r="D55" s="501"/>
      <c r="E55" s="499">
        <f>IF(E48&lt;G48,G48/E48-1,E48/G48-1)</f>
        <v>0.11392405063291133</v>
      </c>
      <c r="F55" s="500" t="str">
        <f>IF(OR(E55&gt;=0.3,E55&lt;=-0.3),"超过30%","")</f>
        <v/>
      </c>
      <c r="G55" s="499">
        <f>IF(G48&lt;I48,I48/G48-1,G48/I48-1)</f>
        <v>2.3255813953488413E-2</v>
      </c>
      <c r="H55" s="500" t="str">
        <f>IF(OR(G55&gt;=0.3,G55&lt;=-0.3),"超过30%","")</f>
        <v/>
      </c>
      <c r="I55" s="499">
        <f>IF(I48&lt;E48,E48/I48-1,I48/E48-1)</f>
        <v>8.8607594936708889E-2</v>
      </c>
      <c r="J55" s="500" t="str">
        <f>IF(OR(I55&gt;=0.3,I55&lt;=-0.3),"超过30%","")</f>
        <v/>
      </c>
      <c r="K55" s="1144"/>
      <c r="L55" s="1145"/>
      <c r="M55" s="1141"/>
      <c r="N55" s="1141"/>
      <c r="O55" s="1141"/>
      <c r="P55" s="2675"/>
    </row>
    <row r="56" spans="1:29" s="502"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61" t="s">
        <v>2661</v>
      </c>
      <c r="B58" s="757"/>
      <c r="C58" s="762"/>
      <c r="D58" s="762"/>
      <c r="E58" s="762"/>
      <c r="F58" s="763"/>
      <c r="G58" s="763"/>
      <c r="H58" s="762"/>
      <c r="I58" s="762"/>
      <c r="J58" s="762"/>
      <c r="K58" s="764"/>
      <c r="L58" s="1157"/>
      <c r="M58" s="1155"/>
      <c r="N58" s="1155"/>
      <c r="O58" s="1155"/>
      <c r="P58" s="2676"/>
      <c r="Q58" s="504"/>
    </row>
    <row r="59" spans="1:29" s="508" customFormat="1" ht="15">
      <c r="A59" s="505" t="s">
        <v>2536</v>
      </c>
      <c r="B59" s="506"/>
      <c r="C59" s="1570" t="str">
        <f>YEAR(C7)&amp;"-"&amp;MONTH(C7)</f>
        <v>2018-3</v>
      </c>
      <c r="D59" s="1571">
        <f>EDATE(C59,-1)</f>
        <v>43132</v>
      </c>
      <c r="E59" s="1571">
        <f>EDATE(D59,-1)</f>
        <v>43101</v>
      </c>
      <c r="F59" s="1571">
        <f t="shared" ref="F59:O59" si="16">EDATE(E59,-1)</f>
        <v>43070</v>
      </c>
      <c r="G59" s="1571">
        <f t="shared" si="16"/>
        <v>43040</v>
      </c>
      <c r="H59" s="1571">
        <f t="shared" si="16"/>
        <v>43009</v>
      </c>
      <c r="I59" s="1571">
        <f t="shared" si="16"/>
        <v>42979</v>
      </c>
      <c r="J59" s="1571">
        <f t="shared" si="16"/>
        <v>42948</v>
      </c>
      <c r="K59" s="1571">
        <f t="shared" si="16"/>
        <v>42917</v>
      </c>
      <c r="L59" s="1571">
        <f t="shared" si="16"/>
        <v>42887</v>
      </c>
      <c r="M59" s="1571">
        <f t="shared" si="16"/>
        <v>42856</v>
      </c>
      <c r="N59" s="1571">
        <f t="shared" si="16"/>
        <v>42826</v>
      </c>
      <c r="O59" s="1571">
        <f t="shared" si="16"/>
        <v>42795</v>
      </c>
      <c r="P59" s="1567"/>
    </row>
    <row r="60" spans="1:29" s="117" customFormat="1" ht="15">
      <c r="A60" s="509"/>
      <c r="B60" s="510"/>
      <c r="C60" s="1569">
        <v>100</v>
      </c>
      <c r="D60" s="512"/>
      <c r="E60" s="512"/>
      <c r="F60" s="512"/>
      <c r="G60" s="512"/>
      <c r="H60" s="512"/>
      <c r="I60" s="512"/>
      <c r="J60" s="512"/>
      <c r="K60" s="512"/>
      <c r="L60" s="512"/>
      <c r="M60" s="513"/>
      <c r="N60" s="512"/>
      <c r="O60" s="513"/>
      <c r="P60" s="2677"/>
    </row>
    <row r="61" spans="1:29" s="117" customFormat="1" ht="15.75" thickBot="1">
      <c r="A61" s="515" t="s">
        <v>2573</v>
      </c>
      <c r="B61" s="516"/>
      <c r="C61" s="517"/>
      <c r="D61" s="518"/>
      <c r="E61" s="518"/>
      <c r="F61" s="518"/>
      <c r="G61" s="518"/>
      <c r="H61" s="518"/>
      <c r="I61" s="518"/>
      <c r="J61" s="518"/>
      <c r="K61" s="518"/>
      <c r="L61" s="518"/>
      <c r="M61" s="519"/>
      <c r="N61" s="518"/>
      <c r="O61" s="519"/>
      <c r="P61" s="2677"/>
      <c r="Q61" s="504"/>
    </row>
    <row r="62" spans="1:29" s="117" customFormat="1" ht="15">
      <c r="A62" s="521" t="s">
        <v>2538</v>
      </c>
      <c r="B62" s="510"/>
      <c r="C62" s="522" t="s">
        <v>2640</v>
      </c>
      <c r="D62" s="523"/>
      <c r="E62" s="523"/>
      <c r="F62" s="523"/>
      <c r="G62" s="523"/>
      <c r="H62" s="523"/>
      <c r="I62" s="523"/>
      <c r="J62" s="523"/>
      <c r="K62" s="523"/>
      <c r="L62" s="524"/>
      <c r="M62" s="525"/>
      <c r="N62" s="1147"/>
      <c r="O62" s="1147"/>
      <c r="P62" s="2678"/>
      <c r="Q62" s="504"/>
    </row>
    <row r="63" spans="1:29" s="117" customFormat="1" ht="15.75" thickBot="1">
      <c r="A63" s="521"/>
      <c r="B63" s="510"/>
      <c r="C63" s="511">
        <v>100</v>
      </c>
      <c r="D63" s="512"/>
      <c r="E63" s="512"/>
      <c r="F63" s="512"/>
      <c r="G63" s="512"/>
      <c r="H63" s="512"/>
      <c r="I63" s="512"/>
      <c r="J63" s="512"/>
      <c r="K63" s="512"/>
      <c r="L63" s="512"/>
      <c r="M63" s="514"/>
      <c r="N63" s="1147"/>
      <c r="O63" s="1147"/>
      <c r="P63" s="2677"/>
      <c r="Q63" s="504"/>
    </row>
    <row r="64" spans="1:29">
      <c r="A64" s="527" t="s">
        <v>2576</v>
      </c>
      <c r="B64" s="528" t="s">
        <v>2542</v>
      </c>
      <c r="C64" s="529" t="str">
        <f>C9</f>
        <v>办公</v>
      </c>
      <c r="D64" s="530"/>
      <c r="E64" s="530"/>
      <c r="F64" s="530"/>
      <c r="G64" s="530"/>
      <c r="H64" s="530"/>
      <c r="I64" s="530"/>
      <c r="J64" s="530"/>
      <c r="K64" s="531"/>
      <c r="L64" s="532"/>
      <c r="M64" s="533"/>
      <c r="N64" s="1148"/>
      <c r="O64" s="1148"/>
      <c r="P64" s="2679"/>
      <c r="Q64" s="504"/>
    </row>
    <row r="65" spans="1:17" ht="15.75" thickBot="1">
      <c r="A65" s="534"/>
      <c r="B65" s="535"/>
      <c r="C65" s="536">
        <v>100</v>
      </c>
      <c r="D65" s="536"/>
      <c r="E65" s="536"/>
      <c r="F65" s="536"/>
      <c r="G65" s="536"/>
      <c r="H65" s="536"/>
      <c r="I65" s="536"/>
      <c r="J65" s="536"/>
      <c r="K65" s="536"/>
      <c r="L65" s="536"/>
      <c r="M65" s="537"/>
      <c r="N65" s="1149"/>
      <c r="O65" s="1149"/>
      <c r="P65" s="2679"/>
      <c r="Q65" s="504"/>
    </row>
    <row r="66" spans="1:17" ht="28.5" thickTop="1">
      <c r="A66" s="534"/>
      <c r="B66" s="538" t="s">
        <v>2545</v>
      </c>
      <c r="C66" s="539" t="s">
        <v>2577</v>
      </c>
      <c r="D66" s="539" t="s">
        <v>2578</v>
      </c>
      <c r="E66" s="539" t="s">
        <v>2579</v>
      </c>
      <c r="F66" s="539" t="s">
        <v>2580</v>
      </c>
      <c r="G66" s="539" t="s">
        <v>2581</v>
      </c>
      <c r="H66" s="539" t="s">
        <v>2582</v>
      </c>
      <c r="I66" s="539" t="s">
        <v>2583</v>
      </c>
      <c r="J66" s="539"/>
      <c r="K66" s="540"/>
      <c r="L66" s="541"/>
      <c r="M66" s="542"/>
      <c r="N66" s="1148"/>
      <c r="O66" s="1148"/>
      <c r="P66" s="2679"/>
      <c r="Q66" s="504"/>
    </row>
    <row r="67" spans="1:17" ht="15.75" thickBot="1">
      <c r="A67" s="534"/>
      <c r="B67" s="543"/>
      <c r="C67" s="544" t="s">
        <v>24</v>
      </c>
      <c r="D67" s="544" t="s">
        <v>25</v>
      </c>
      <c r="E67" s="544">
        <v>100</v>
      </c>
      <c r="F67" s="544">
        <f>E67-$K10</f>
        <v>97</v>
      </c>
      <c r="G67" s="544">
        <f>F67-$K10</f>
        <v>94</v>
      </c>
      <c r="H67" s="544">
        <f>G67-$K10</f>
        <v>91</v>
      </c>
      <c r="I67" s="544">
        <f>H67-$K10</f>
        <v>88</v>
      </c>
      <c r="J67" s="544"/>
      <c r="K67" s="544"/>
      <c r="L67" s="544"/>
      <c r="M67" s="545"/>
      <c r="N67" s="1149"/>
      <c r="O67" s="1149"/>
      <c r="P67" s="2679"/>
      <c r="Q67" s="504"/>
    </row>
    <row r="68" spans="1:17" ht="15.75" thickTop="1">
      <c r="A68" s="534"/>
      <c r="B68" s="546" t="s">
        <v>2546</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9"/>
      <c r="Q68" s="504"/>
    </row>
    <row r="69" spans="1:17" ht="15">
      <c r="A69" s="534"/>
      <c r="B69" s="548"/>
      <c r="C69" s="549">
        <v>0</v>
      </c>
      <c r="D69" s="549"/>
      <c r="E69" s="549"/>
      <c r="F69" s="549"/>
      <c r="G69" s="549"/>
      <c r="H69" s="549"/>
      <c r="I69" s="549"/>
      <c r="J69" s="549"/>
      <c r="K69" s="550"/>
      <c r="L69" s="551"/>
      <c r="M69" s="552"/>
      <c r="N69" s="1148"/>
      <c r="O69" s="1148"/>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9"/>
      <c r="Q70" s="504"/>
    </row>
    <row r="71" spans="1:17" s="471" customFormat="1" ht="15.75" hidden="1" thickTop="1">
      <c r="A71" s="553"/>
      <c r="B71" s="538" t="str">
        <f>B12</f>
        <v>建成年代</v>
      </c>
      <c r="C71" s="554"/>
      <c r="D71" s="554"/>
      <c r="E71" s="554"/>
      <c r="F71" s="554"/>
      <c r="G71" s="554"/>
      <c r="H71" s="555"/>
      <c r="I71" s="555"/>
      <c r="J71" s="555"/>
      <c r="K71" s="555"/>
      <c r="L71" s="556"/>
      <c r="M71" s="557"/>
      <c r="N71" s="1150"/>
      <c r="O71" s="1150"/>
      <c r="P71" s="2680"/>
      <c r="Q71" s="559"/>
    </row>
    <row r="72" spans="1:17" s="471" customFormat="1" ht="15.75" hidden="1" thickBot="1">
      <c r="A72" s="553"/>
      <c r="B72" s="543"/>
      <c r="C72" s="560"/>
      <c r="D72" s="536"/>
      <c r="E72" s="536"/>
      <c r="F72" s="536"/>
      <c r="G72" s="536"/>
      <c r="H72" s="536"/>
      <c r="I72" s="536"/>
      <c r="J72" s="536"/>
      <c r="K72" s="536"/>
      <c r="L72" s="536"/>
      <c r="M72" s="537"/>
      <c r="N72" s="1149"/>
      <c r="O72" s="1149"/>
      <c r="P72" s="2680"/>
      <c r="Q72" s="559"/>
    </row>
    <row r="73" spans="1:17" s="471" customFormat="1" ht="15.75" hidden="1" thickTop="1">
      <c r="A73" s="553"/>
      <c r="B73" s="538">
        <f>B13</f>
        <v>0</v>
      </c>
      <c r="C73" s="554"/>
      <c r="D73" s="554"/>
      <c r="E73" s="554"/>
      <c r="F73" s="554"/>
      <c r="G73" s="554"/>
      <c r="H73" s="555"/>
      <c r="I73" s="555"/>
      <c r="J73" s="555"/>
      <c r="K73" s="555"/>
      <c r="L73" s="556"/>
      <c r="M73" s="557"/>
      <c r="N73" s="1150"/>
      <c r="O73" s="1150"/>
      <c r="P73" s="2681"/>
      <c r="Q73" s="561"/>
    </row>
    <row r="74" spans="1:17" s="471" customFormat="1" ht="15.75" hidden="1" thickBot="1">
      <c r="A74" s="553"/>
      <c r="B74" s="543"/>
      <c r="C74" s="560"/>
      <c r="D74" s="560"/>
      <c r="E74" s="560"/>
      <c r="F74" s="560"/>
      <c r="G74" s="560"/>
      <c r="H74" s="562"/>
      <c r="I74" s="562"/>
      <c r="J74" s="562"/>
      <c r="K74" s="562"/>
      <c r="L74" s="562"/>
      <c r="M74" s="563"/>
      <c r="N74" s="1150"/>
      <c r="O74" s="1150"/>
      <c r="P74" s="2680"/>
      <c r="Q74" s="559"/>
    </row>
    <row r="75" spans="1:17" s="471" customFormat="1" ht="15.75" hidden="1" thickTop="1">
      <c r="A75" s="553"/>
      <c r="B75" s="546">
        <f>B14</f>
        <v>0</v>
      </c>
      <c r="C75" s="523"/>
      <c r="D75" s="523"/>
      <c r="E75" s="523"/>
      <c r="F75" s="523"/>
      <c r="G75" s="523"/>
      <c r="H75" s="564"/>
      <c r="I75" s="564"/>
      <c r="J75" s="564"/>
      <c r="K75" s="564"/>
      <c r="L75" s="565"/>
      <c r="M75" s="566"/>
      <c r="N75" s="1150"/>
      <c r="O75" s="1150"/>
      <c r="P75" s="2682"/>
      <c r="Q75" s="559"/>
    </row>
    <row r="76" spans="1:17" s="471" customFormat="1" ht="15.75" hidden="1" thickBot="1">
      <c r="A76" s="568"/>
      <c r="B76" s="569"/>
      <c r="C76" s="570"/>
      <c r="D76" s="570"/>
      <c r="E76" s="570"/>
      <c r="F76" s="570"/>
      <c r="G76" s="570"/>
      <c r="H76" s="571"/>
      <c r="I76" s="571"/>
      <c r="J76" s="571"/>
      <c r="K76" s="571"/>
      <c r="L76" s="571"/>
      <c r="M76" s="572"/>
      <c r="N76" s="1150"/>
      <c r="O76" s="1150"/>
      <c r="P76" s="2680"/>
      <c r="Q76" s="559"/>
    </row>
    <row r="77" spans="1:17" ht="15" thickTop="1">
      <c r="A77" s="527" t="s">
        <v>2547</v>
      </c>
      <c r="B77" s="528" t="s">
        <v>2684</v>
      </c>
      <c r="C77" s="573" t="s">
        <v>2585</v>
      </c>
      <c r="D77" s="573" t="s">
        <v>2586</v>
      </c>
      <c r="E77" s="573" t="s">
        <v>2587</v>
      </c>
      <c r="F77" s="573" t="s">
        <v>2588</v>
      </c>
      <c r="G77" s="573" t="s">
        <v>2589</v>
      </c>
      <c r="H77" s="529"/>
      <c r="I77" s="529"/>
      <c r="J77" s="529"/>
      <c r="K77" s="574"/>
      <c r="L77" s="575"/>
      <c r="M77" s="576"/>
      <c r="N77" s="1148"/>
      <c r="O77" s="1148"/>
      <c r="P77" s="2683"/>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49"/>
      <c r="O78" s="1149"/>
      <c r="P78" s="2679"/>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48"/>
      <c r="O79" s="1148"/>
      <c r="P79" s="2679"/>
      <c r="Q79" s="504"/>
    </row>
    <row r="80" spans="1:17" ht="15.75" thickBot="1">
      <c r="A80" s="534"/>
      <c r="B80" s="543"/>
      <c r="C80" s="544">
        <v>100</v>
      </c>
      <c r="D80" s="544">
        <f>C80-$K17</f>
        <v>95</v>
      </c>
      <c r="E80" s="544">
        <f>D80-$K17</f>
        <v>90</v>
      </c>
      <c r="F80" s="544">
        <f>E80-$K17</f>
        <v>85</v>
      </c>
      <c r="G80" s="544">
        <f>F80-$K17</f>
        <v>80</v>
      </c>
      <c r="H80" s="544"/>
      <c r="I80" s="544"/>
      <c r="J80" s="544"/>
      <c r="K80" s="544"/>
      <c r="L80" s="544"/>
      <c r="M80" s="545"/>
      <c r="N80" s="1149"/>
      <c r="O80" s="1149"/>
      <c r="P80" s="2679"/>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48"/>
      <c r="O81" s="1148"/>
      <c r="P81" s="2679"/>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49"/>
      <c r="O82" s="1149"/>
      <c r="P82" s="2679"/>
      <c r="Q82" s="504"/>
    </row>
    <row r="83" spans="1:17" ht="15.75" thickTop="1">
      <c r="A83" s="534"/>
      <c r="B83" s="546" t="s">
        <v>2676</v>
      </c>
      <c r="C83" s="658" t="s">
        <v>2662</v>
      </c>
      <c r="D83" s="658" t="s">
        <v>2663</v>
      </c>
      <c r="E83" s="658" t="s">
        <v>2664</v>
      </c>
      <c r="F83" s="658" t="s">
        <v>2665</v>
      </c>
      <c r="G83" s="658" t="s">
        <v>2666</v>
      </c>
      <c r="H83" s="539"/>
      <c r="I83" s="539"/>
      <c r="J83" s="539"/>
      <c r="K83" s="539"/>
      <c r="L83" s="539"/>
      <c r="M83" s="1378"/>
      <c r="N83" s="1149"/>
      <c r="O83" s="1149"/>
      <c r="P83" s="2679"/>
      <c r="Q83" s="504"/>
    </row>
    <row r="84" spans="1:17" ht="15.75" thickBot="1">
      <c r="A84" s="534"/>
      <c r="B84" s="546"/>
      <c r="C84" s="544">
        <v>100</v>
      </c>
      <c r="D84" s="544">
        <f>C84-$K21</f>
        <v>98</v>
      </c>
      <c r="E84" s="544">
        <f>D84-$K21</f>
        <v>96</v>
      </c>
      <c r="F84" s="544">
        <f>E84-$K21</f>
        <v>94</v>
      </c>
      <c r="G84" s="544">
        <f>F84-$K21</f>
        <v>92</v>
      </c>
      <c r="H84" s="658"/>
      <c r="I84" s="658"/>
      <c r="J84" s="658"/>
      <c r="K84" s="658"/>
      <c r="L84" s="658"/>
      <c r="M84" s="450"/>
      <c r="N84" s="1149"/>
      <c r="O84" s="1149"/>
      <c r="P84" s="2679"/>
      <c r="Q84" s="504"/>
    </row>
    <row r="85" spans="1:17" ht="15.75" thickTop="1">
      <c r="A85" s="534"/>
      <c r="B85" s="538" t="s">
        <v>2685</v>
      </c>
      <c r="C85" s="578" t="s">
        <v>2585</v>
      </c>
      <c r="D85" s="578" t="s">
        <v>2586</v>
      </c>
      <c r="E85" s="578" t="s">
        <v>2587</v>
      </c>
      <c r="F85" s="578" t="s">
        <v>2588</v>
      </c>
      <c r="G85" s="578" t="s">
        <v>2589</v>
      </c>
      <c r="H85" s="539"/>
      <c r="I85" s="539"/>
      <c r="J85" s="539"/>
      <c r="K85" s="540"/>
      <c r="L85" s="541"/>
      <c r="M85" s="542"/>
      <c r="N85" s="1148"/>
      <c r="O85" s="1148"/>
      <c r="P85" s="2679"/>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49"/>
      <c r="O86" s="1149"/>
      <c r="P86" s="2679"/>
      <c r="Q86" s="504"/>
    </row>
    <row r="87" spans="1:17" s="117" customFormat="1" ht="27.75" thickTop="1">
      <c r="A87" s="579"/>
      <c r="B87" s="538" t="s">
        <v>2686</v>
      </c>
      <c r="C87" s="2950" t="s">
        <v>3087</v>
      </c>
      <c r="D87" s="2950" t="s">
        <v>3088</v>
      </c>
      <c r="E87" s="2950" t="s">
        <v>3089</v>
      </c>
      <c r="F87" s="2950" t="s">
        <v>3090</v>
      </c>
      <c r="G87" s="554"/>
      <c r="H87" s="554"/>
      <c r="I87" s="554"/>
      <c r="J87" s="554"/>
      <c r="K87" s="554"/>
      <c r="L87" s="580"/>
      <c r="M87" s="581"/>
      <c r="N87" s="1147"/>
      <c r="O87" s="1147"/>
      <c r="P87" s="2679"/>
      <c r="Q87" s="504"/>
    </row>
    <row r="88" spans="1:17" s="117" customFormat="1" ht="15.75" thickBot="1">
      <c r="A88" s="579"/>
      <c r="B88" s="543"/>
      <c r="C88" s="582">
        <v>100</v>
      </c>
      <c r="D88" s="544">
        <f t="shared" ref="D88:M88" si="19">C88-$K25</f>
        <v>97</v>
      </c>
      <c r="E88" s="544">
        <f t="shared" si="19"/>
        <v>94</v>
      </c>
      <c r="F88" s="544">
        <f t="shared" si="19"/>
        <v>91</v>
      </c>
      <c r="G88" s="544">
        <f t="shared" si="19"/>
        <v>88</v>
      </c>
      <c r="H88" s="544">
        <f t="shared" si="19"/>
        <v>85</v>
      </c>
      <c r="I88" s="544">
        <f t="shared" si="19"/>
        <v>82</v>
      </c>
      <c r="J88" s="544">
        <f t="shared" si="19"/>
        <v>79</v>
      </c>
      <c r="K88" s="544">
        <f t="shared" si="19"/>
        <v>76</v>
      </c>
      <c r="L88" s="544">
        <f t="shared" si="19"/>
        <v>73</v>
      </c>
      <c r="M88" s="544">
        <f t="shared" si="19"/>
        <v>70</v>
      </c>
      <c r="N88" s="1149"/>
      <c r="O88" s="1149"/>
      <c r="P88" s="2679"/>
      <c r="Q88" s="504"/>
    </row>
    <row r="89" spans="1:17" s="117" customFormat="1" ht="15.75" thickTop="1">
      <c r="A89" s="579"/>
      <c r="B89" s="538" t="str">
        <f>B27</f>
        <v>楼层</v>
      </c>
      <c r="C89" s="554"/>
      <c r="D89" s="554"/>
      <c r="E89" s="554"/>
      <c r="F89" s="2630"/>
      <c r="G89" s="554"/>
      <c r="H89" s="554"/>
      <c r="I89" s="554"/>
      <c r="J89" s="554"/>
      <c r="K89" s="554"/>
      <c r="L89" s="554"/>
      <c r="M89" s="581"/>
      <c r="N89" s="1147"/>
      <c r="O89" s="1147"/>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9"/>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0"/>
      <c r="Q92" s="559"/>
    </row>
    <row r="93" spans="1:17" ht="15.75" hidden="1" thickTop="1">
      <c r="A93" s="534"/>
      <c r="B93" s="538">
        <f>B29</f>
        <v>0</v>
      </c>
      <c r="C93" s="554"/>
      <c r="D93" s="554"/>
      <c r="E93" s="554"/>
      <c r="F93" s="554"/>
      <c r="G93" s="554"/>
      <c r="H93" s="554"/>
      <c r="I93" s="554"/>
      <c r="J93" s="554"/>
      <c r="K93" s="554"/>
      <c r="L93" s="580"/>
      <c r="M93" s="581"/>
      <c r="N93" s="1148"/>
      <c r="O93" s="1148"/>
      <c r="P93" s="2679"/>
      <c r="Q93" s="504"/>
    </row>
    <row r="94" spans="1:17" ht="15.75" hidden="1" thickBot="1">
      <c r="A94" s="534"/>
      <c r="B94" s="543"/>
      <c r="C94" s="560"/>
      <c r="D94" s="536"/>
      <c r="E94" s="536"/>
      <c r="F94" s="536"/>
      <c r="G94" s="536"/>
      <c r="H94" s="536"/>
      <c r="I94" s="536"/>
      <c r="J94" s="536"/>
      <c r="K94" s="536"/>
      <c r="L94" s="536"/>
      <c r="M94" s="537"/>
      <c r="N94" s="1149"/>
      <c r="O94" s="1149"/>
      <c r="P94" s="2679"/>
      <c r="Q94" s="504"/>
    </row>
    <row r="95" spans="1:17" ht="15.75" hidden="1" thickTop="1">
      <c r="A95" s="534"/>
      <c r="B95" s="538">
        <f>B30</f>
        <v>0</v>
      </c>
      <c r="C95" s="554"/>
      <c r="D95" s="554"/>
      <c r="E95" s="554"/>
      <c r="F95" s="554"/>
      <c r="G95" s="583"/>
      <c r="H95" s="583"/>
      <c r="I95" s="583"/>
      <c r="J95" s="583"/>
      <c r="K95" s="584"/>
      <c r="L95" s="585"/>
      <c r="M95" s="586"/>
      <c r="N95" s="1148"/>
      <c r="O95" s="1148"/>
      <c r="P95" s="2679"/>
      <c r="Q95" s="504"/>
    </row>
    <row r="96" spans="1:17" ht="15.75" hidden="1" thickBot="1">
      <c r="A96" s="534"/>
      <c r="B96" s="543"/>
      <c r="C96" s="560"/>
      <c r="D96" s="560"/>
      <c r="E96" s="560"/>
      <c r="F96" s="560"/>
      <c r="G96" s="536"/>
      <c r="H96" s="536"/>
      <c r="I96" s="536"/>
      <c r="J96" s="536"/>
      <c r="K96" s="536"/>
      <c r="L96" s="536"/>
      <c r="M96" s="537"/>
      <c r="N96" s="1149"/>
      <c r="O96" s="1149"/>
      <c r="P96" s="2679"/>
      <c r="Q96" s="504"/>
    </row>
    <row r="97" spans="1:17" ht="15.75" hidden="1" thickTop="1">
      <c r="A97" s="534"/>
      <c r="B97" s="538">
        <f>B31</f>
        <v>0</v>
      </c>
      <c r="C97" s="554"/>
      <c r="D97" s="554"/>
      <c r="E97" s="554"/>
      <c r="F97" s="554"/>
      <c r="G97" s="583"/>
      <c r="H97" s="583"/>
      <c r="I97" s="583"/>
      <c r="J97" s="583"/>
      <c r="K97" s="584"/>
      <c r="L97" s="585"/>
      <c r="M97" s="586"/>
      <c r="N97" s="1148"/>
      <c r="O97" s="1148"/>
      <c r="P97" s="2679"/>
      <c r="Q97" s="504"/>
    </row>
    <row r="98" spans="1:17" ht="15.75" hidden="1" thickBot="1">
      <c r="A98" s="534"/>
      <c r="B98" s="543"/>
      <c r="C98" s="560"/>
      <c r="D98" s="536"/>
      <c r="E98" s="536"/>
      <c r="F98" s="536"/>
      <c r="G98" s="536"/>
      <c r="H98" s="536"/>
      <c r="I98" s="536"/>
      <c r="J98" s="536"/>
      <c r="K98" s="536"/>
      <c r="L98" s="536"/>
      <c r="M98" s="537"/>
      <c r="N98" s="1149"/>
      <c r="O98" s="1149"/>
      <c r="P98" s="2679"/>
      <c r="Q98" s="504"/>
    </row>
    <row r="99" spans="1:17" ht="15.75" hidden="1" thickTop="1">
      <c r="A99" s="534"/>
      <c r="B99" s="546">
        <f>B32</f>
        <v>0</v>
      </c>
      <c r="C99" s="523"/>
      <c r="D99" s="523"/>
      <c r="E99" s="523"/>
      <c r="F99" s="523"/>
      <c r="G99" s="587"/>
      <c r="H99" s="587"/>
      <c r="I99" s="587"/>
      <c r="J99" s="587"/>
      <c r="K99" s="588"/>
      <c r="L99" s="589"/>
      <c r="M99" s="590"/>
      <c r="N99" s="1148"/>
      <c r="O99" s="1148"/>
      <c r="P99" s="2679"/>
      <c r="Q99" s="504"/>
    </row>
    <row r="100" spans="1:17" ht="15.75" hidden="1" thickBot="1">
      <c r="A100" s="2631"/>
      <c r="B100" s="569"/>
      <c r="C100" s="570"/>
      <c r="D100" s="570"/>
      <c r="E100" s="570"/>
      <c r="F100" s="570"/>
      <c r="G100" s="591"/>
      <c r="H100" s="591"/>
      <c r="I100" s="591"/>
      <c r="J100" s="591"/>
      <c r="K100" s="591"/>
      <c r="L100" s="591"/>
      <c r="M100" s="592"/>
      <c r="N100" s="1149"/>
      <c r="O100" s="1149"/>
      <c r="P100" s="2679"/>
      <c r="Q100" s="504"/>
    </row>
    <row r="101" spans="1:17" ht="15" thickTop="1">
      <c r="A101" s="527" t="s">
        <v>2551</v>
      </c>
      <c r="B101" s="528" t="s">
        <v>2600</v>
      </c>
      <c r="C101" s="530"/>
      <c r="D101" s="530"/>
      <c r="E101" s="530"/>
      <c r="F101" s="530"/>
      <c r="G101" s="530"/>
      <c r="H101" s="530"/>
      <c r="I101" s="530"/>
      <c r="J101" s="530"/>
      <c r="K101" s="531"/>
      <c r="L101" s="532"/>
      <c r="M101" s="533"/>
      <c r="N101" s="1148"/>
      <c r="O101" s="1148"/>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9"/>
      <c r="Q102" s="504"/>
    </row>
    <row r="103" spans="1:17" ht="29.25" thickTop="1">
      <c r="A103" s="534"/>
      <c r="B103" s="538" t="s">
        <v>2601</v>
      </c>
      <c r="C103" s="578" t="str">
        <f>C104&amp;"(含)"&amp;"-"&amp;D104</f>
        <v>0(含)-100000</v>
      </c>
      <c r="D103" s="578" t="str">
        <f t="shared" ref="D103:L103" si="23">D104&amp;"(含)"&amp;"-"&amp;E104</f>
        <v>100000(含)-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47"/>
      <c r="O103" s="1147"/>
      <c r="P103" s="2679"/>
      <c r="Q103" s="504"/>
    </row>
    <row r="104" spans="1:17" s="471" customFormat="1">
      <c r="A104" s="593"/>
      <c r="B104" s="594"/>
      <c r="C104" s="595">
        <v>0</v>
      </c>
      <c r="D104" s="595">
        <v>100000</v>
      </c>
      <c r="E104" s="595"/>
      <c r="F104" s="595"/>
      <c r="G104" s="595"/>
      <c r="H104" s="595"/>
      <c r="I104" s="595"/>
      <c r="J104" s="596"/>
      <c r="K104" s="596"/>
      <c r="L104" s="597"/>
      <c r="M104" s="598"/>
      <c r="N104" s="1150"/>
      <c r="O104" s="1150"/>
      <c r="P104" s="2680"/>
      <c r="Q104" s="559"/>
    </row>
    <row r="105" spans="1:17" s="471" customFormat="1" ht="15.75" thickBot="1">
      <c r="A105" s="553"/>
      <c r="B105" s="543"/>
      <c r="C105" s="560">
        <v>100</v>
      </c>
      <c r="D105" s="536">
        <v>101</v>
      </c>
      <c r="E105" s="536"/>
      <c r="F105" s="536"/>
      <c r="G105" s="536"/>
      <c r="H105" s="536"/>
      <c r="I105" s="536"/>
      <c r="J105" s="536"/>
      <c r="K105" s="536"/>
      <c r="L105" s="536"/>
      <c r="M105" s="537"/>
      <c r="N105" s="1149"/>
      <c r="O105" s="1149"/>
      <c r="P105" s="2680"/>
      <c r="Q105" s="559"/>
    </row>
    <row r="106" spans="1:17" ht="15" thickTop="1">
      <c r="A106" s="599"/>
      <c r="B106" s="538" t="s">
        <v>2602</v>
      </c>
      <c r="C106" s="2950" t="s">
        <v>3086</v>
      </c>
      <c r="D106" s="554"/>
      <c r="E106" s="583"/>
      <c r="F106" s="583"/>
      <c r="G106" s="583"/>
      <c r="H106" s="583"/>
      <c r="I106" s="583"/>
      <c r="J106" s="583"/>
      <c r="K106" s="584"/>
      <c r="L106" s="585"/>
      <c r="M106" s="586"/>
      <c r="N106" s="1148"/>
      <c r="O106" s="1148"/>
      <c r="P106" s="2679"/>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49"/>
      <c r="O107" s="1149"/>
      <c r="P107" s="2679"/>
      <c r="Q107" s="504"/>
    </row>
    <row r="108" spans="1:17" ht="15" thickTop="1">
      <c r="A108" s="599"/>
      <c r="B108" s="538" t="s">
        <v>2604</v>
      </c>
      <c r="C108" s="2950" t="s">
        <v>3085</v>
      </c>
      <c r="D108" s="554"/>
      <c r="E108" s="554"/>
      <c r="F108" s="583"/>
      <c r="G108" s="583"/>
      <c r="H108" s="583"/>
      <c r="I108" s="583"/>
      <c r="J108" s="583"/>
      <c r="K108" s="584"/>
      <c r="L108" s="585"/>
      <c r="M108" s="586"/>
      <c r="N108" s="1148"/>
      <c r="O108" s="1148"/>
      <c r="P108" s="2679"/>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49"/>
      <c r="O109" s="1149"/>
      <c r="P109" s="2679"/>
      <c r="Q109" s="504"/>
    </row>
    <row r="110" spans="1:17" ht="29.2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9"/>
      <c r="Q110" s="504"/>
    </row>
    <row r="111" spans="1:17">
      <c r="A111" s="599"/>
      <c r="B111" s="546"/>
      <c r="C111" s="603">
        <v>0.5</v>
      </c>
      <c r="D111" s="603">
        <v>0.6</v>
      </c>
      <c r="E111" s="603">
        <v>0.7</v>
      </c>
      <c r="F111" s="603">
        <v>0.8</v>
      </c>
      <c r="G111" s="603">
        <v>0.9</v>
      </c>
      <c r="H111" s="603">
        <v>1.0001</v>
      </c>
      <c r="I111" s="621"/>
      <c r="J111" s="621"/>
      <c r="K111" s="622"/>
      <c r="L111" s="623"/>
      <c r="M111" s="624"/>
      <c r="N111" s="1148"/>
      <c r="O111" s="1148"/>
      <c r="P111" s="2679"/>
      <c r="Q111" s="504"/>
    </row>
    <row r="112" spans="1:17" ht="15.75" thickBot="1">
      <c r="A112" s="534"/>
      <c r="B112" s="543"/>
      <c r="C112" s="582">
        <v>100</v>
      </c>
      <c r="D112" s="544">
        <f>C112+$K37</f>
        <v>103</v>
      </c>
      <c r="E112" s="544">
        <f t="shared" ref="E112:M112" si="26">D112+$K37</f>
        <v>106</v>
      </c>
      <c r="F112" s="544">
        <f t="shared" si="26"/>
        <v>109</v>
      </c>
      <c r="G112" s="544">
        <f t="shared" si="26"/>
        <v>112</v>
      </c>
      <c r="H112" s="544">
        <f t="shared" si="26"/>
        <v>115</v>
      </c>
      <c r="I112" s="544">
        <f t="shared" si="26"/>
        <v>118</v>
      </c>
      <c r="J112" s="544">
        <f t="shared" si="26"/>
        <v>121</v>
      </c>
      <c r="K112" s="544">
        <f t="shared" si="26"/>
        <v>124</v>
      </c>
      <c r="L112" s="544">
        <f t="shared" si="26"/>
        <v>127</v>
      </c>
      <c r="M112" s="544">
        <f t="shared" si="26"/>
        <v>130</v>
      </c>
      <c r="N112" s="1149"/>
      <c r="O112" s="1149"/>
      <c r="P112" s="2679"/>
      <c r="Q112" s="504"/>
    </row>
    <row r="113" spans="1:17" s="471" customFormat="1" ht="15" thickTop="1">
      <c r="A113" s="593"/>
      <c r="B113" s="538" t="s">
        <v>2687</v>
      </c>
      <c r="C113" s="2950" t="s">
        <v>3107</v>
      </c>
      <c r="D113" s="2950" t="s">
        <v>3108</v>
      </c>
      <c r="E113" s="2950" t="s">
        <v>3109</v>
      </c>
      <c r="F113" s="554"/>
      <c r="G113" s="554"/>
      <c r="H113" s="583"/>
      <c r="I113" s="583"/>
      <c r="J113" s="583"/>
      <c r="K113" s="584"/>
      <c r="L113" s="585"/>
      <c r="M113" s="586"/>
      <c r="N113" s="1150"/>
      <c r="O113" s="1150"/>
      <c r="P113" s="2680"/>
      <c r="Q113" s="559"/>
    </row>
    <row r="114" spans="1:17" s="471" customFormat="1" ht="15.75" thickBot="1">
      <c r="A114" s="553"/>
      <c r="B114" s="543"/>
      <c r="C114" s="544">
        <v>100</v>
      </c>
      <c r="D114" s="544">
        <f>C114-$K38</f>
        <v>97</v>
      </c>
      <c r="E114" s="544">
        <f t="shared" ref="E114:M114" si="27">D114-$K38</f>
        <v>94</v>
      </c>
      <c r="F114" s="544">
        <f t="shared" si="27"/>
        <v>91</v>
      </c>
      <c r="G114" s="544">
        <f t="shared" si="27"/>
        <v>88</v>
      </c>
      <c r="H114" s="544">
        <f t="shared" si="27"/>
        <v>85</v>
      </c>
      <c r="I114" s="544">
        <f t="shared" si="27"/>
        <v>82</v>
      </c>
      <c r="J114" s="544">
        <f t="shared" si="27"/>
        <v>79</v>
      </c>
      <c r="K114" s="544">
        <f t="shared" si="27"/>
        <v>76</v>
      </c>
      <c r="L114" s="544">
        <f t="shared" si="27"/>
        <v>73</v>
      </c>
      <c r="M114" s="544">
        <f t="shared" si="27"/>
        <v>70</v>
      </c>
      <c r="N114" s="1150"/>
      <c r="O114" s="1150"/>
      <c r="P114" s="2680"/>
      <c r="Q114" s="559"/>
    </row>
    <row r="115" spans="1:17" ht="15" thickTop="1">
      <c r="A115" s="599"/>
      <c r="B115" s="538" t="s">
        <v>2605</v>
      </c>
      <c r="C115" s="2950" t="s">
        <v>3083</v>
      </c>
      <c r="D115" s="554"/>
      <c r="E115" s="583"/>
      <c r="F115" s="583"/>
      <c r="G115" s="583"/>
      <c r="H115" s="583"/>
      <c r="I115" s="583"/>
      <c r="J115" s="583"/>
      <c r="K115" s="584"/>
      <c r="L115" s="585"/>
      <c r="M115" s="586"/>
      <c r="N115" s="1148"/>
      <c r="O115" s="1148"/>
      <c r="P115" s="2679"/>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49"/>
      <c r="O116" s="1149"/>
      <c r="P116" s="2679"/>
      <c r="Q116" s="504"/>
    </row>
    <row r="117" spans="1:17" ht="15" thickTop="1">
      <c r="A117" s="599"/>
      <c r="B117" s="538" t="s">
        <v>2606</v>
      </c>
      <c r="C117" s="2950" t="s">
        <v>3081</v>
      </c>
      <c r="D117" s="554"/>
      <c r="E117" s="554"/>
      <c r="F117" s="554"/>
      <c r="G117" s="554"/>
      <c r="H117" s="583"/>
      <c r="I117" s="583"/>
      <c r="J117" s="583"/>
      <c r="K117" s="584"/>
      <c r="L117" s="585"/>
      <c r="M117" s="586"/>
      <c r="N117" s="1148"/>
      <c r="O117" s="1148"/>
      <c r="P117" s="2679"/>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49"/>
      <c r="O118" s="1149"/>
      <c r="P118" s="2679"/>
      <c r="Q118" s="504"/>
    </row>
    <row r="119" spans="1:17" ht="15" thickTop="1">
      <c r="A119" s="599"/>
      <c r="B119" s="634" t="s">
        <v>2688</v>
      </c>
      <c r="C119" s="3057" t="s">
        <v>3691</v>
      </c>
      <c r="D119" s="583"/>
      <c r="E119" s="583"/>
      <c r="F119" s="583"/>
      <c r="G119" s="583"/>
      <c r="H119" s="583"/>
      <c r="I119" s="583"/>
      <c r="J119" s="583"/>
      <c r="K119" s="583"/>
      <c r="L119" s="2684"/>
      <c r="M119" s="2685"/>
      <c r="N119" s="1149"/>
      <c r="O119" s="1149"/>
      <c r="P119" s="2686"/>
      <c r="Q119" s="636"/>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49"/>
      <c r="O120" s="1149"/>
      <c r="P120" s="2679"/>
      <c r="Q120" s="504"/>
    </row>
    <row r="121" spans="1:17" s="471" customFormat="1" ht="15" thickTop="1">
      <c r="A121" s="593"/>
      <c r="B121" s="538" t="s">
        <v>2671</v>
      </c>
      <c r="C121" s="554"/>
      <c r="D121" s="554"/>
      <c r="E121" s="554"/>
      <c r="F121" s="583"/>
      <c r="G121" s="555"/>
      <c r="H121" s="555"/>
      <c r="I121" s="555"/>
      <c r="J121" s="555"/>
      <c r="K121" s="555"/>
      <c r="L121" s="556"/>
      <c r="M121" s="557"/>
      <c r="N121" s="1150"/>
      <c r="O121" s="1150"/>
      <c r="P121" s="2680"/>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0"/>
      <c r="Q122" s="559"/>
    </row>
    <row r="123" spans="1:17" ht="15" thickTop="1">
      <c r="A123" s="599"/>
      <c r="B123" s="538" t="s">
        <v>2608</v>
      </c>
      <c r="C123" s="2950" t="s">
        <v>3078</v>
      </c>
      <c r="D123" s="2950" t="s">
        <v>3079</v>
      </c>
      <c r="E123" s="554"/>
      <c r="F123" s="583"/>
      <c r="G123" s="583"/>
      <c r="H123" s="583"/>
      <c r="I123" s="583"/>
      <c r="J123" s="583"/>
      <c r="K123" s="584"/>
      <c r="L123" s="585"/>
      <c r="M123" s="586"/>
      <c r="N123" s="1148"/>
      <c r="O123" s="1148"/>
      <c r="P123" s="2679"/>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49"/>
      <c r="O124" s="1149"/>
      <c r="P124" s="2679"/>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48"/>
      <c r="O125" s="1148"/>
      <c r="P125" s="2680"/>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49"/>
      <c r="O126" s="1149"/>
      <c r="P126" s="2679"/>
      <c r="Q126" s="504"/>
    </row>
    <row r="127" spans="1:17" s="471" customFormat="1" ht="15" hidden="1" thickTop="1">
      <c r="A127" s="593"/>
      <c r="B127" s="538">
        <f>B45</f>
        <v>0</v>
      </c>
      <c r="C127" s="554"/>
      <c r="D127" s="554"/>
      <c r="E127" s="554"/>
      <c r="F127" s="554"/>
      <c r="G127" s="554"/>
      <c r="H127" s="555"/>
      <c r="I127" s="555"/>
      <c r="J127" s="555"/>
      <c r="K127" s="555"/>
      <c r="L127" s="556"/>
      <c r="M127" s="557"/>
      <c r="N127" s="1150"/>
      <c r="O127" s="1150"/>
      <c r="P127" s="2680"/>
      <c r="Q127" s="559"/>
    </row>
    <row r="128" spans="1:17" s="471" customFormat="1" ht="15.75" hidden="1" thickBot="1">
      <c r="A128" s="553"/>
      <c r="B128" s="543"/>
      <c r="C128" s="560"/>
      <c r="D128" s="536"/>
      <c r="E128" s="536"/>
      <c r="F128" s="536"/>
      <c r="G128" s="560"/>
      <c r="H128" s="562"/>
      <c r="I128" s="562"/>
      <c r="J128" s="562"/>
      <c r="K128" s="562"/>
      <c r="L128" s="562"/>
      <c r="M128" s="563"/>
      <c r="N128" s="1150"/>
      <c r="O128" s="1150"/>
      <c r="P128" s="2680"/>
      <c r="Q128" s="559"/>
    </row>
    <row r="129" spans="1:17" ht="15" hidden="1" thickTop="1">
      <c r="A129" s="599"/>
      <c r="B129" s="538">
        <f>B46</f>
        <v>0</v>
      </c>
      <c r="C129" s="554"/>
      <c r="D129" s="554"/>
      <c r="E129" s="554"/>
      <c r="F129" s="554"/>
      <c r="G129" s="583"/>
      <c r="H129" s="583"/>
      <c r="I129" s="583"/>
      <c r="J129" s="583"/>
      <c r="K129" s="584"/>
      <c r="L129" s="585"/>
      <c r="M129" s="586"/>
      <c r="N129" s="1148"/>
      <c r="O129" s="1148"/>
      <c r="P129" s="2679"/>
      <c r="Q129" s="504"/>
    </row>
    <row r="130" spans="1:17" ht="15.75" hidden="1" thickBot="1">
      <c r="A130" s="534"/>
      <c r="B130" s="543"/>
      <c r="C130" s="560"/>
      <c r="D130" s="560"/>
      <c r="E130" s="560"/>
      <c r="F130" s="560"/>
      <c r="G130" s="536"/>
      <c r="H130" s="536"/>
      <c r="I130" s="536"/>
      <c r="J130" s="536"/>
      <c r="K130" s="536"/>
      <c r="L130" s="536"/>
      <c r="M130" s="537"/>
      <c r="N130" s="1149"/>
      <c r="O130" s="1149"/>
      <c r="P130" s="2679"/>
      <c r="Q130" s="504"/>
    </row>
    <row r="131" spans="1:17" ht="15" hidden="1" thickTop="1">
      <c r="A131" s="599"/>
      <c r="B131" s="546">
        <f>B47</f>
        <v>0</v>
      </c>
      <c r="C131" s="523"/>
      <c r="D131" s="523"/>
      <c r="E131" s="523"/>
      <c r="F131" s="523"/>
      <c r="G131" s="587"/>
      <c r="H131" s="587"/>
      <c r="I131" s="587"/>
      <c r="J131" s="587"/>
      <c r="K131" s="523"/>
      <c r="L131" s="524"/>
      <c r="M131" s="590"/>
      <c r="N131" s="1148"/>
      <c r="O131" s="1148"/>
      <c r="P131" s="2679"/>
      <c r="Q131" s="504"/>
    </row>
    <row r="132" spans="1:17" ht="15.75" hidden="1" thickBot="1">
      <c r="A132" s="2631"/>
      <c r="B132" s="569"/>
      <c r="C132" s="570"/>
      <c r="D132" s="570"/>
      <c r="E132" s="570"/>
      <c r="F132" s="570"/>
      <c r="G132" s="591"/>
      <c r="H132" s="591"/>
      <c r="I132" s="591"/>
      <c r="J132" s="591"/>
      <c r="K132" s="591"/>
      <c r="L132" s="591"/>
      <c r="M132" s="592"/>
      <c r="N132" s="1149"/>
      <c r="O132" s="1149"/>
      <c r="P132" s="2679"/>
      <c r="Q132" s="504"/>
    </row>
    <row r="133"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5" type="noConversion"/>
  <conditionalFormatting sqref="F53 H53">
    <cfRule type="containsText" dxfId="154" priority="16" stopIfTrue="1" operator="containsText" text="超过">
      <formula>NOT(ISERROR(SEARCH("超过",F53)))</formula>
    </cfRule>
  </conditionalFormatting>
  <conditionalFormatting sqref="H55">
    <cfRule type="containsText" dxfId="153" priority="15" stopIfTrue="1" operator="containsText" text="超过">
      <formula>NOT(ISERROR(SEARCH("超过",H55)))</formula>
    </cfRule>
  </conditionalFormatting>
  <conditionalFormatting sqref="F55">
    <cfRule type="containsText" dxfId="152" priority="14" stopIfTrue="1" operator="containsText" text="超过">
      <formula>NOT(ISERROR(SEARCH("超过",F55)))</formula>
    </cfRule>
  </conditionalFormatting>
  <conditionalFormatting sqref="F54 H54">
    <cfRule type="containsText" dxfId="151" priority="13" stopIfTrue="1" operator="containsText" text="超过">
      <formula>NOT(ISERROR(SEARCH("超过",F54)))</formula>
    </cfRule>
  </conditionalFormatting>
  <conditionalFormatting sqref="E53">
    <cfRule type="expression" dxfId="150" priority="12" stopIfTrue="1">
      <formula>$F$53="超过30%"</formula>
    </cfRule>
  </conditionalFormatting>
  <conditionalFormatting sqref="E54">
    <cfRule type="expression" dxfId="149" priority="11" stopIfTrue="1">
      <formula>$F$54="超过20%"</formula>
    </cfRule>
  </conditionalFormatting>
  <conditionalFormatting sqref="E55">
    <cfRule type="expression" dxfId="148" priority="10" stopIfTrue="1">
      <formula>$F$55="超过30%"</formula>
    </cfRule>
  </conditionalFormatting>
  <conditionalFormatting sqref="G55">
    <cfRule type="expression" dxfId="147" priority="9" stopIfTrue="1">
      <formula>$H$55="超过30%"</formula>
    </cfRule>
  </conditionalFormatting>
  <conditionalFormatting sqref="G53">
    <cfRule type="expression" dxfId="146" priority="8" stopIfTrue="1">
      <formula>$H$53="超过30%"</formula>
    </cfRule>
  </conditionalFormatting>
  <conditionalFormatting sqref="G54">
    <cfRule type="expression" dxfId="145" priority="7" stopIfTrue="1">
      <formula>$H$54="超过20%"</formula>
    </cfRule>
  </conditionalFormatting>
  <conditionalFormatting sqref="J53">
    <cfRule type="containsText" dxfId="144" priority="6" stopIfTrue="1" operator="containsText" text="超过">
      <formula>NOT(ISERROR(SEARCH("超过",J53)))</formula>
    </cfRule>
  </conditionalFormatting>
  <conditionalFormatting sqref="J55">
    <cfRule type="containsText" dxfId="143" priority="5" stopIfTrue="1" operator="containsText" text="超过">
      <formula>NOT(ISERROR(SEARCH("超过",J55)))</formula>
    </cfRule>
  </conditionalFormatting>
  <conditionalFormatting sqref="J54">
    <cfRule type="containsText" dxfId="142" priority="4" stopIfTrue="1" operator="containsText" text="超过">
      <formula>NOT(ISERROR(SEARCH("超过",J54)))</formula>
    </cfRule>
  </conditionalFormatting>
  <conditionalFormatting sqref="I53">
    <cfRule type="expression" dxfId="141" priority="3" stopIfTrue="1">
      <formula>$J$53="超过30%"</formula>
    </cfRule>
  </conditionalFormatting>
  <conditionalFormatting sqref="I54">
    <cfRule type="expression" dxfId="140" priority="2" stopIfTrue="1">
      <formula>$J$53+$J$54="超过20%"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2"/>
  <sheetViews>
    <sheetView tabSelected="1" topLeftCell="A15" zoomScale="80" zoomScaleNormal="80" zoomScalePageLayoutView="90" workbookViewId="0">
      <selection activeCell="H54" sqref="H54"/>
    </sheetView>
  </sheetViews>
  <sheetFormatPr defaultColWidth="8.875" defaultRowHeight="14.25"/>
  <cols>
    <col min="1" max="1" width="10.5" style="403" customWidth="1"/>
    <col min="2" max="2" width="15.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625" style="26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577" t="s">
        <v>2630</v>
      </c>
      <c r="C1" s="1630" t="s">
        <v>2518</v>
      </c>
      <c r="D1" s="1617" t="s">
        <v>1377</v>
      </c>
      <c r="E1" s="2652"/>
      <c r="F1" s="2579" t="s">
        <v>3055</v>
      </c>
      <c r="G1" s="1627" t="s">
        <v>2631</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8" customFormat="1" ht="28.5" customHeight="1" thickTop="1">
      <c r="A2" s="1613" t="s">
        <v>2315</v>
      </c>
      <c r="B2" s="1414">
        <f>IF(C2="——",ROUND(C49*D3/10000,0),ROUND(C49*D3/10000,0)-D2)</f>
        <v>10558</v>
      </c>
      <c r="C2" s="2581" t="s">
        <v>70</v>
      </c>
      <c r="D2" s="1361" t="e">
        <f ca="1">SUMIF(INDIRECT("'"&amp;F2&amp;"'"&amp;"!A:A"),"承租人权益价值",INDIRECT("'"&amp;F2&amp;"'"&amp;"!c:c"))</f>
        <v>#REF!</v>
      </c>
      <c r="E2" s="2582" t="s">
        <v>2316</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2317</v>
      </c>
      <c r="B3" s="609">
        <f>IF(C2="——",C49,ROUND(B2*10000/D3,0))</f>
        <v>50173</v>
      </c>
      <c r="C3" s="400" t="s">
        <v>2632</v>
      </c>
      <c r="D3" s="399">
        <f>IF(D1="",'数据-汇总表'!E3,SUMIF('数据-汇总表'!$C19:$C33,D1,'数据-汇总表'!$E19:$E33))</f>
        <v>2104.29</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75" thickBot="1">
      <c r="A4" s="401" t="s">
        <v>2633</v>
      </c>
      <c r="B4" s="402"/>
      <c r="C4" s="3282" t="s">
        <v>2634</v>
      </c>
      <c r="D4" s="3283"/>
      <c r="E4" s="3284" t="s">
        <v>2635</v>
      </c>
      <c r="F4" s="3285"/>
      <c r="G4" s="3321" t="s">
        <v>2636</v>
      </c>
      <c r="H4" s="3322"/>
      <c r="I4" s="3282" t="s">
        <v>2637</v>
      </c>
      <c r="J4" s="3283"/>
      <c r="K4" s="610" t="s">
        <v>2638</v>
      </c>
      <c r="L4" s="1126"/>
      <c r="M4" s="1127"/>
      <c r="N4" s="1127"/>
      <c r="O4" s="1127"/>
      <c r="P4" s="3323" t="s">
        <v>2639</v>
      </c>
      <c r="Q4" s="3324"/>
      <c r="R4" s="3327" t="s">
        <v>2635</v>
      </c>
      <c r="S4" s="3328"/>
      <c r="T4" s="3327" t="s">
        <v>2636</v>
      </c>
      <c r="U4" s="3328"/>
      <c r="V4" s="3299" t="s">
        <v>2637</v>
      </c>
      <c r="W4" s="3299"/>
      <c r="X4" s="1809"/>
      <c r="Y4" s="3327" t="s">
        <v>2639</v>
      </c>
      <c r="Z4" s="3328"/>
      <c r="AA4" s="3320" t="s">
        <v>2635</v>
      </c>
      <c r="AB4" s="3299" t="s">
        <v>2636</v>
      </c>
      <c r="AC4" s="3320" t="s">
        <v>2637</v>
      </c>
    </row>
    <row r="5" spans="1:29" ht="15">
      <c r="A5" s="404"/>
      <c r="B5" s="405"/>
      <c r="C5" s="3308" t="s">
        <v>2530</v>
      </c>
      <c r="D5" s="3303"/>
      <c r="E5" s="3315" t="s">
        <v>3681</v>
      </c>
      <c r="F5" s="3316"/>
      <c r="G5" s="3329" t="s">
        <v>3675</v>
      </c>
      <c r="H5" s="3330"/>
      <c r="I5" s="3302" t="s">
        <v>3680</v>
      </c>
      <c r="J5" s="3303"/>
      <c r="K5" s="610"/>
      <c r="L5" s="1126"/>
      <c r="M5" s="1127"/>
      <c r="N5" s="1127"/>
      <c r="O5" s="1127"/>
      <c r="P5" s="3325"/>
      <c r="Q5" s="3289"/>
      <c r="R5" s="3294"/>
      <c r="S5" s="3295"/>
      <c r="T5" s="3294"/>
      <c r="U5" s="3295"/>
      <c r="V5" s="3299"/>
      <c r="W5" s="3299"/>
      <c r="X5" s="1809"/>
      <c r="Y5" s="3294"/>
      <c r="Z5" s="3295"/>
      <c r="AA5" s="3313"/>
      <c r="AB5" s="3299"/>
      <c r="AC5" s="3313"/>
    </row>
    <row r="6" spans="1:29" ht="15.75" thickBot="1">
      <c r="A6" s="406"/>
      <c r="B6" s="407"/>
      <c r="C6" s="3309" t="s">
        <v>2534</v>
      </c>
      <c r="D6" s="3301"/>
      <c r="E6" s="3331" t="s">
        <v>2534</v>
      </c>
      <c r="F6" s="3311"/>
      <c r="G6" s="3309" t="s">
        <v>2534</v>
      </c>
      <c r="H6" s="3301"/>
      <c r="I6" s="3309" t="s">
        <v>2534</v>
      </c>
      <c r="J6" s="3301"/>
      <c r="K6" s="610" t="s">
        <v>2535</v>
      </c>
      <c r="L6" s="1126"/>
      <c r="M6" s="1127"/>
      <c r="N6" s="1127"/>
      <c r="O6" s="1127"/>
      <c r="P6" s="3326"/>
      <c r="Q6" s="3291"/>
      <c r="R6" s="3294"/>
      <c r="S6" s="3295"/>
      <c r="T6" s="3296"/>
      <c r="U6" s="3297"/>
      <c r="V6" s="3299"/>
      <c r="W6" s="3299"/>
      <c r="X6" s="1809"/>
      <c r="Y6" s="3296"/>
      <c r="Z6" s="3297"/>
      <c r="AA6" s="3314"/>
      <c r="AB6" s="3299"/>
      <c r="AC6" s="3314"/>
    </row>
    <row r="7" spans="1:29" s="117" customFormat="1" ht="15.75" thickBot="1">
      <c r="A7" s="408" t="s">
        <v>2536</v>
      </c>
      <c r="B7" s="409"/>
      <c r="C7" s="410">
        <f>'数据-取费表'!B2</f>
        <v>43185</v>
      </c>
      <c r="D7" s="411">
        <v>100</v>
      </c>
      <c r="E7" s="412">
        <v>43160</v>
      </c>
      <c r="F7" s="413">
        <f>SUMIF(58:58,YEAR(E7)&amp;"-"&amp;MONTH(E7),59:59)</f>
        <v>100</v>
      </c>
      <c r="G7" s="2691">
        <f>E7</f>
        <v>43160</v>
      </c>
      <c r="H7" s="411">
        <f>SUMIF(58:58,YEAR(G7)&amp;"-"&amp;MONTH(G7),59:59)</f>
        <v>100</v>
      </c>
      <c r="I7" s="412">
        <f>G7</f>
        <v>43160</v>
      </c>
      <c r="J7" s="411">
        <f>SUMIF(58:58,YEAR(I7)&amp;"-"&amp;MONTH(I7),59:59)</f>
        <v>100</v>
      </c>
      <c r="K7" s="611"/>
      <c r="L7" s="1128"/>
      <c r="M7" s="1129"/>
      <c r="N7" s="1129"/>
      <c r="O7" s="1129"/>
      <c r="P7" s="3306" t="s">
        <v>2537</v>
      </c>
      <c r="Q7" s="3307"/>
      <c r="R7" s="768" t="s">
        <v>17</v>
      </c>
      <c r="S7" s="769">
        <f t="shared" ref="S7:S15" si="0">F7</f>
        <v>100</v>
      </c>
      <c r="T7" s="768" t="s">
        <v>17</v>
      </c>
      <c r="U7" s="769">
        <f t="shared" ref="U7:U15" si="1">H7</f>
        <v>100</v>
      </c>
      <c r="V7" s="768" t="s">
        <v>17</v>
      </c>
      <c r="W7" s="769">
        <f t="shared" ref="W7:W15" si="2">J7</f>
        <v>100</v>
      </c>
      <c r="X7" s="770"/>
      <c r="Y7" s="3306" t="s">
        <v>2537</v>
      </c>
      <c r="Z7" s="3305"/>
      <c r="AA7" s="771">
        <f>D7/F7</f>
        <v>1</v>
      </c>
      <c r="AB7" s="771">
        <f>D7/H7</f>
        <v>1</v>
      </c>
      <c r="AC7" s="771">
        <f>D7/J7</f>
        <v>1</v>
      </c>
    </row>
    <row r="8" spans="1:29" s="117" customFormat="1" ht="15.75" thickBot="1">
      <c r="A8" s="408" t="s">
        <v>2538</v>
      </c>
      <c r="B8" s="409"/>
      <c r="C8" s="414" t="s">
        <v>2640</v>
      </c>
      <c r="D8" s="411">
        <v>100</v>
      </c>
      <c r="E8" s="414" t="s">
        <v>3093</v>
      </c>
      <c r="F8" s="413">
        <f>SUMIF(61:61,E8,62:62)-SUMIF(61:61,C8,62:62)+100</f>
        <v>100</v>
      </c>
      <c r="G8" s="414" t="s">
        <v>3093</v>
      </c>
      <c r="H8" s="411">
        <f>SUMIF(61:61,G8,62:62)-SUMIF(61:61,C8,62:62)+100</f>
        <v>100</v>
      </c>
      <c r="I8" s="414" t="s">
        <v>3093</v>
      </c>
      <c r="J8" s="411">
        <f>SUMIF(61:61,I8,62:62)-SUMIF(61:61,C8,62:62)+100</f>
        <v>100</v>
      </c>
      <c r="K8" s="611"/>
      <c r="L8" s="1128"/>
      <c r="M8" s="1129"/>
      <c r="N8" s="1129"/>
      <c r="O8" s="1129"/>
      <c r="P8" s="3306" t="s">
        <v>2540</v>
      </c>
      <c r="Q8" s="3305"/>
      <c r="R8" s="768" t="s">
        <v>17</v>
      </c>
      <c r="S8" s="769">
        <f t="shared" si="0"/>
        <v>100</v>
      </c>
      <c r="T8" s="768" t="s">
        <v>17</v>
      </c>
      <c r="U8" s="769">
        <f t="shared" si="1"/>
        <v>100</v>
      </c>
      <c r="V8" s="768" t="s">
        <v>17</v>
      </c>
      <c r="W8" s="769">
        <f t="shared" si="2"/>
        <v>100</v>
      </c>
      <c r="X8" s="770"/>
      <c r="Y8" s="3306" t="s">
        <v>2540</v>
      </c>
      <c r="Z8" s="3305"/>
      <c r="AA8" s="771">
        <f t="shared" ref="AA8:AA46" si="3">D8/F8</f>
        <v>1</v>
      </c>
      <c r="AB8" s="771">
        <f t="shared" ref="AB8:AB46" si="4">D8/H8</f>
        <v>1</v>
      </c>
      <c r="AC8" s="771">
        <f t="shared" ref="AC8:AC46" si="5">D8/J8</f>
        <v>1</v>
      </c>
    </row>
    <row r="9" spans="1:29" s="117" customFormat="1">
      <c r="A9" s="415" t="s">
        <v>2541</v>
      </c>
      <c r="B9" s="71" t="s">
        <v>2542</v>
      </c>
      <c r="C9" s="2951" t="s">
        <v>3097</v>
      </c>
      <c r="D9" s="135">
        <v>100</v>
      </c>
      <c r="E9" s="417" t="s">
        <v>1377</v>
      </c>
      <c r="F9" s="418">
        <f>SUMIF(63:63,E9,64:64)-SUMIF(63:63,C9,64:64)+100</f>
        <v>100</v>
      </c>
      <c r="G9" s="419" t="s">
        <v>1377</v>
      </c>
      <c r="H9" s="135">
        <f>SUMIF(63:63,G9,64:64)-SUMIF(63:63,C9,64:64)+100</f>
        <v>100</v>
      </c>
      <c r="I9" s="417" t="s">
        <v>1377</v>
      </c>
      <c r="J9" s="135">
        <f>SUMIF(63:63,I9,64:64)-SUMIF(63:63,C9,64:64)+100</f>
        <v>100</v>
      </c>
      <c r="K9" s="611"/>
      <c r="L9" s="1128"/>
      <c r="M9" s="1129"/>
      <c r="N9" s="1129"/>
      <c r="O9" s="1129"/>
      <c r="P9" s="3264" t="s">
        <v>2543</v>
      </c>
      <c r="Q9" s="1791" t="str">
        <f t="shared" ref="Q9:Q15" si="6">B9</f>
        <v>用途</v>
      </c>
      <c r="R9" s="768" t="s">
        <v>17</v>
      </c>
      <c r="S9" s="769">
        <f t="shared" si="0"/>
        <v>100</v>
      </c>
      <c r="T9" s="768" t="s">
        <v>17</v>
      </c>
      <c r="U9" s="769">
        <f t="shared" si="1"/>
        <v>100</v>
      </c>
      <c r="V9" s="768" t="s">
        <v>17</v>
      </c>
      <c r="W9" s="769">
        <f t="shared" si="2"/>
        <v>100</v>
      </c>
      <c r="X9" s="770"/>
      <c r="Y9" s="3106" t="s">
        <v>2544</v>
      </c>
      <c r="Z9" s="55" t="str">
        <f t="shared" ref="Z9:Z15" si="7">Q9</f>
        <v>用途</v>
      </c>
      <c r="AA9" s="771">
        <f t="shared" si="3"/>
        <v>1</v>
      </c>
      <c r="AB9" s="771">
        <f t="shared" si="4"/>
        <v>1</v>
      </c>
      <c r="AC9" s="771">
        <f t="shared" si="5"/>
        <v>1</v>
      </c>
    </row>
    <row r="10" spans="1:29" s="427" customFormat="1" ht="27">
      <c r="A10" s="421"/>
      <c r="B10" s="3035" t="s">
        <v>3682</v>
      </c>
      <c r="C10" s="3036" t="s">
        <v>3098</v>
      </c>
      <c r="D10" s="3037">
        <v>100</v>
      </c>
      <c r="E10" s="3038" t="s">
        <v>3673</v>
      </c>
      <c r="F10" s="3039">
        <f>SUMIF(65:65,E10,66:66)-SUMIF(65:65,C10,66:66)+100</f>
        <v>100</v>
      </c>
      <c r="G10" s="3036" t="s">
        <v>3673</v>
      </c>
      <c r="H10" s="3037">
        <f>SUMIF(65:65,G10,66:66)-SUMIF(65:65,C10,66:66)+100</f>
        <v>100</v>
      </c>
      <c r="I10" s="3038" t="s">
        <v>3673</v>
      </c>
      <c r="J10" s="3037">
        <f>SUMIF(65:65,I10,66:66)-SUMIF(65:65,C10,66:66)+100</f>
        <v>100</v>
      </c>
      <c r="K10" s="3040">
        <v>0</v>
      </c>
      <c r="L10" s="1131"/>
      <c r="M10" s="1132"/>
      <c r="N10" s="1132"/>
      <c r="O10" s="1132"/>
      <c r="P10" s="3264"/>
      <c r="Q10" s="1791" t="str">
        <f t="shared" si="6"/>
        <v>土地使用年限（年）</v>
      </c>
      <c r="R10" s="768" t="s">
        <v>17</v>
      </c>
      <c r="S10" s="769">
        <f t="shared" si="0"/>
        <v>100</v>
      </c>
      <c r="T10" s="768" t="s">
        <v>17</v>
      </c>
      <c r="U10" s="769">
        <f t="shared" si="1"/>
        <v>100</v>
      </c>
      <c r="V10" s="768" t="s">
        <v>17</v>
      </c>
      <c r="W10" s="769">
        <f t="shared" si="2"/>
        <v>100</v>
      </c>
      <c r="X10" s="770"/>
      <c r="Y10" s="3106"/>
      <c r="Z10" s="55" t="str">
        <f t="shared" si="7"/>
        <v>土地使用年限（年）</v>
      </c>
      <c r="AA10" s="771">
        <f t="shared" si="3"/>
        <v>1</v>
      </c>
      <c r="AB10" s="771">
        <f t="shared" si="4"/>
        <v>1</v>
      </c>
      <c r="AC10" s="771">
        <f t="shared" si="5"/>
        <v>1</v>
      </c>
    </row>
    <row r="11" spans="1:29" ht="15" hidden="1">
      <c r="A11" s="428"/>
      <c r="B11" s="422" t="s">
        <v>2546</v>
      </c>
      <c r="C11" s="429"/>
      <c r="D11" s="136">
        <v>100</v>
      </c>
      <c r="E11" s="430"/>
      <c r="F11" s="425">
        <f>LOOKUP(E11,68:68,69:69)-LOOKUP(C11,68:68,69:69)+100</f>
        <v>100</v>
      </c>
      <c r="G11" s="429"/>
      <c r="H11" s="136">
        <f>LOOKUP(G11,68:68,69:69)-LOOKUP(C11,68:68,69:69)+100</f>
        <v>100</v>
      </c>
      <c r="I11" s="429"/>
      <c r="J11" s="136">
        <f>LOOKUP(I11,68:68,69:69)-LOOKUP(C11,68:68,69:69)+100</f>
        <v>100</v>
      </c>
      <c r="K11" s="612"/>
      <c r="L11" s="1134"/>
      <c r="M11" s="1127"/>
      <c r="N11" s="1127"/>
      <c r="O11" s="1127"/>
      <c r="P11" s="3264"/>
      <c r="Q11" s="1791" t="str">
        <f t="shared" si="6"/>
        <v>容积率</v>
      </c>
      <c r="R11" s="768" t="s">
        <v>17</v>
      </c>
      <c r="S11" s="769">
        <f t="shared" si="0"/>
        <v>100</v>
      </c>
      <c r="T11" s="768" t="s">
        <v>17</v>
      </c>
      <c r="U11" s="769">
        <f t="shared" si="1"/>
        <v>100</v>
      </c>
      <c r="V11" s="768" t="s">
        <v>17</v>
      </c>
      <c r="W11" s="769">
        <f t="shared" si="2"/>
        <v>100</v>
      </c>
      <c r="X11" s="770"/>
      <c r="Y11" s="3106"/>
      <c r="Z11" s="55" t="str">
        <f t="shared" si="7"/>
        <v>容积率</v>
      </c>
      <c r="AA11" s="771">
        <f t="shared" si="3"/>
        <v>1</v>
      </c>
      <c r="AB11" s="771">
        <f t="shared" si="4"/>
        <v>1</v>
      </c>
      <c r="AC11" s="771">
        <f t="shared" si="5"/>
        <v>1</v>
      </c>
    </row>
    <row r="12" spans="1:29" s="117" customFormat="1" ht="29.25" thickBot="1">
      <c r="A12" s="431"/>
      <c r="B12" s="2954" t="s">
        <v>3662</v>
      </c>
      <c r="C12" s="432">
        <v>31</v>
      </c>
      <c r="D12" s="433">
        <v>100</v>
      </c>
      <c r="E12" s="434" t="s">
        <v>3674</v>
      </c>
      <c r="F12" s="425">
        <f>SUMIF(70:70,E12,71:71)-SUMIF(70:70,C12,71:71)+100</f>
        <v>100</v>
      </c>
      <c r="G12" s="434" t="s">
        <v>3676</v>
      </c>
      <c r="H12" s="136">
        <f>SUMIF(70:70,G12,71:71)-SUMIF(70:70,C12,71:71)+100</f>
        <v>100</v>
      </c>
      <c r="I12" s="434"/>
      <c r="J12" s="136">
        <f>SUMIF(70:70,I12,71:71)-SUMIF(70:70,C12,71:71)+100</f>
        <v>100</v>
      </c>
      <c r="K12" s="613"/>
      <c r="L12" s="1128"/>
      <c r="M12" s="1129"/>
      <c r="N12" s="1129"/>
      <c r="O12" s="1129"/>
      <c r="P12" s="3264"/>
      <c r="Q12" s="1791" t="str">
        <f t="shared" si="6"/>
        <v>剩余年限</v>
      </c>
      <c r="R12" s="768" t="s">
        <v>17</v>
      </c>
      <c r="S12" s="769">
        <f t="shared" si="0"/>
        <v>100</v>
      </c>
      <c r="T12" s="768" t="s">
        <v>17</v>
      </c>
      <c r="U12" s="769">
        <f t="shared" si="1"/>
        <v>100</v>
      </c>
      <c r="V12" s="768" t="s">
        <v>17</v>
      </c>
      <c r="W12" s="769">
        <f t="shared" si="2"/>
        <v>100</v>
      </c>
      <c r="X12" s="770"/>
      <c r="Y12" s="3106"/>
      <c r="Z12" s="55" t="str">
        <f t="shared" si="7"/>
        <v>剩余年限</v>
      </c>
      <c r="AA12" s="771">
        <f>D12/F12</f>
        <v>1</v>
      </c>
      <c r="AB12" s="771">
        <f>D12/H12</f>
        <v>1</v>
      </c>
      <c r="AC12" s="771">
        <f>D12/J12</f>
        <v>1</v>
      </c>
    </row>
    <row r="13" spans="1:29" ht="15" hidden="1">
      <c r="A13" s="428"/>
      <c r="B13" s="2595"/>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64"/>
      <c r="Q13" s="1791">
        <f t="shared" si="6"/>
        <v>0</v>
      </c>
      <c r="R13" s="768" t="s">
        <v>17</v>
      </c>
      <c r="S13" s="769">
        <f t="shared" si="0"/>
        <v>100</v>
      </c>
      <c r="T13" s="768" t="s">
        <v>17</v>
      </c>
      <c r="U13" s="769">
        <f t="shared" si="1"/>
        <v>100</v>
      </c>
      <c r="V13" s="768" t="s">
        <v>17</v>
      </c>
      <c r="W13" s="769">
        <f t="shared" si="2"/>
        <v>100</v>
      </c>
      <c r="X13" s="770"/>
      <c r="Y13" s="3106"/>
      <c r="Z13" s="55">
        <f t="shared" si="7"/>
        <v>0</v>
      </c>
      <c r="AA13" s="771">
        <f t="shared" si="3"/>
        <v>1</v>
      </c>
      <c r="AB13" s="771">
        <f t="shared" si="4"/>
        <v>1</v>
      </c>
      <c r="AC13" s="771">
        <f t="shared" si="5"/>
        <v>1</v>
      </c>
    </row>
    <row r="14" spans="1:29" ht="15.75" hidden="1" thickBot="1">
      <c r="A14" s="436"/>
      <c r="B14" s="2597"/>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64"/>
      <c r="Q14" s="1791">
        <f t="shared" si="6"/>
        <v>0</v>
      </c>
      <c r="R14" s="768" t="s">
        <v>17</v>
      </c>
      <c r="S14" s="769">
        <f t="shared" si="0"/>
        <v>100</v>
      </c>
      <c r="T14" s="768" t="s">
        <v>17</v>
      </c>
      <c r="U14" s="769">
        <f t="shared" si="1"/>
        <v>100</v>
      </c>
      <c r="V14" s="768" t="s">
        <v>17</v>
      </c>
      <c r="W14" s="769">
        <f t="shared" si="2"/>
        <v>100</v>
      </c>
      <c r="X14" s="770"/>
      <c r="Y14" s="3106"/>
      <c r="Z14" s="55">
        <f t="shared" si="7"/>
        <v>0</v>
      </c>
      <c r="AA14" s="771">
        <f t="shared" si="3"/>
        <v>1</v>
      </c>
      <c r="AB14" s="771">
        <f t="shared" si="4"/>
        <v>1</v>
      </c>
      <c r="AC14" s="771">
        <f t="shared" si="5"/>
        <v>1</v>
      </c>
    </row>
    <row r="15" spans="1:29" ht="28.5">
      <c r="A15" s="440" t="s">
        <v>2547</v>
      </c>
      <c r="B15" s="69" t="s">
        <v>2641</v>
      </c>
      <c r="C15" s="2598" t="str">
        <f>估价对象房地状况!C4</f>
        <v>XX商圈，周边商业氛围，人流量</v>
      </c>
      <c r="D15" s="441">
        <v>100</v>
      </c>
      <c r="E15" s="442"/>
      <c r="F15" s="443">
        <f>SUMIF(76:76,E16,77:77)-SUMIF(76:76,C16,77:77)+100</f>
        <v>100</v>
      </c>
      <c r="G15" s="444"/>
      <c r="H15" s="441">
        <f>SUMIF(76:76,G16,77:77)-SUMIF(76:76,C16,77:77)+100</f>
        <v>95</v>
      </c>
      <c r="I15" s="442"/>
      <c r="J15" s="441">
        <f>SUMIF(76:76,I16,77:77)-SUMIF(76:76,C16,77:77)+100</f>
        <v>95</v>
      </c>
      <c r="K15" s="614">
        <v>5</v>
      </c>
      <c r="L15" s="1136"/>
      <c r="M15" s="1127"/>
      <c r="N15" s="1127"/>
      <c r="O15" s="1127"/>
      <c r="P15" s="3270" t="s">
        <v>2548</v>
      </c>
      <c r="Q15" s="1806" t="str">
        <f t="shared" si="6"/>
        <v>商业繁华度</v>
      </c>
      <c r="R15" s="772" t="s">
        <v>17</v>
      </c>
      <c r="S15" s="773">
        <f t="shared" si="0"/>
        <v>100</v>
      </c>
      <c r="T15" s="772" t="s">
        <v>17</v>
      </c>
      <c r="U15" s="773">
        <f t="shared" si="1"/>
        <v>95</v>
      </c>
      <c r="V15" s="772" t="s">
        <v>17</v>
      </c>
      <c r="W15" s="773">
        <f t="shared" si="2"/>
        <v>95</v>
      </c>
      <c r="X15" s="1809"/>
      <c r="Y15" s="3272" t="s">
        <v>2548</v>
      </c>
      <c r="Z15" s="1810" t="str">
        <f t="shared" si="7"/>
        <v>商业繁华度</v>
      </c>
      <c r="AA15" s="1807">
        <f t="shared" si="3"/>
        <v>1</v>
      </c>
      <c r="AB15" s="1807">
        <f t="shared" si="4"/>
        <v>1.0526315789473684</v>
      </c>
      <c r="AC15" s="1807">
        <f t="shared" si="5"/>
        <v>1.0526315789473684</v>
      </c>
    </row>
    <row r="16" spans="1:29" ht="15">
      <c r="A16" s="428"/>
      <c r="B16" s="446"/>
      <c r="C16" s="447" t="s">
        <v>3096</v>
      </c>
      <c r="D16" s="448"/>
      <c r="E16" s="447" t="s">
        <v>3096</v>
      </c>
      <c r="F16" s="449"/>
      <c r="G16" s="447" t="s">
        <v>3095</v>
      </c>
      <c r="H16" s="450"/>
      <c r="I16" s="447" t="s">
        <v>3095</v>
      </c>
      <c r="J16" s="448"/>
      <c r="K16" s="615"/>
      <c r="L16" s="1136"/>
      <c r="M16" s="1127"/>
      <c r="N16" s="1127"/>
      <c r="O16" s="1127"/>
      <c r="P16" s="3271"/>
      <c r="Q16" s="1806"/>
      <c r="R16" s="772"/>
      <c r="S16" s="773"/>
      <c r="T16" s="772"/>
      <c r="U16" s="773"/>
      <c r="V16" s="772"/>
      <c r="W16" s="773"/>
      <c r="X16" s="1809"/>
      <c r="Y16" s="3273"/>
      <c r="Z16" s="1810"/>
      <c r="AA16" s="1807">
        <v>1</v>
      </c>
      <c r="AB16" s="1807">
        <v>1</v>
      </c>
      <c r="AC16" s="1807">
        <v>1</v>
      </c>
    </row>
    <row r="17" spans="1:29" ht="34.5" customHeight="1">
      <c r="A17" s="428"/>
      <c r="B17" s="451" t="s">
        <v>2088</v>
      </c>
      <c r="C17" s="2602" t="str">
        <f>估价对象房地状况!C6</f>
        <v>周边道路状况、公共交通通达情况、停车便捷程度（快速路西四环北路 六号线海淀五路居站 五路桥公交站  61路 79路 121路 地上停车位）</v>
      </c>
      <c r="D17" s="450">
        <v>100</v>
      </c>
      <c r="E17" s="452"/>
      <c r="F17" s="453">
        <f>SUMIF(78:78,E18,79:79)-SUMIF(78:78,C18,79:79)+100</f>
        <v>100</v>
      </c>
      <c r="G17" s="454"/>
      <c r="H17" s="455">
        <f>SUMIF(78:78,G18,79:79)-SUMIF(78:78,C18,79:79)+100</f>
        <v>95</v>
      </c>
      <c r="I17" s="452"/>
      <c r="J17" s="455">
        <f>SUMIF(78:78,I18,79:79)-SUMIF(78:78,C18,79:79)+100</f>
        <v>95</v>
      </c>
      <c r="K17" s="614">
        <v>5</v>
      </c>
      <c r="L17" s="1136"/>
      <c r="M17" s="1127"/>
      <c r="N17" s="1127"/>
      <c r="O17" s="1127"/>
      <c r="P17" s="3271"/>
      <c r="Q17" s="1806" t="str">
        <f>B17</f>
        <v>交通便捷度</v>
      </c>
      <c r="R17" s="772" t="s">
        <v>17</v>
      </c>
      <c r="S17" s="773">
        <f>F17</f>
        <v>100</v>
      </c>
      <c r="T17" s="772" t="s">
        <v>17</v>
      </c>
      <c r="U17" s="773">
        <f>H17</f>
        <v>95</v>
      </c>
      <c r="V17" s="772" t="s">
        <v>17</v>
      </c>
      <c r="W17" s="773">
        <f>J17</f>
        <v>95</v>
      </c>
      <c r="X17" s="1809"/>
      <c r="Y17" s="3273"/>
      <c r="Z17" s="1810" t="str">
        <f>Q17</f>
        <v>交通便捷度</v>
      </c>
      <c r="AA17" s="1807">
        <f t="shared" si="3"/>
        <v>1</v>
      </c>
      <c r="AB17" s="1807">
        <f t="shared" si="4"/>
        <v>1.0526315789473684</v>
      </c>
      <c r="AC17" s="1807">
        <f t="shared" si="5"/>
        <v>1.0526315789473684</v>
      </c>
    </row>
    <row r="18" spans="1:29" ht="15">
      <c r="A18" s="428"/>
      <c r="B18" s="456"/>
      <c r="C18" s="2603" t="s">
        <v>3657</v>
      </c>
      <c r="D18" s="450"/>
      <c r="E18" s="3032" t="s">
        <v>3657</v>
      </c>
      <c r="F18" s="453"/>
      <c r="G18" s="2604" t="s">
        <v>3096</v>
      </c>
      <c r="H18" s="448"/>
      <c r="I18" s="2605" t="s">
        <v>3096</v>
      </c>
      <c r="J18" s="448"/>
      <c r="K18" s="615"/>
      <c r="L18" s="1136"/>
      <c r="M18" s="1127"/>
      <c r="N18" s="1127"/>
      <c r="O18" s="1127"/>
      <c r="P18" s="3271"/>
      <c r="Q18" s="1806"/>
      <c r="R18" s="772"/>
      <c r="S18" s="773"/>
      <c r="T18" s="772"/>
      <c r="U18" s="773"/>
      <c r="V18" s="772"/>
      <c r="W18" s="773"/>
      <c r="X18" s="1809"/>
      <c r="Y18" s="3273"/>
      <c r="Z18" s="1810"/>
      <c r="AA18" s="1807">
        <v>1</v>
      </c>
      <c r="AB18" s="1807">
        <v>1</v>
      </c>
      <c r="AC18" s="1807">
        <v>1</v>
      </c>
    </row>
    <row r="19" spans="1:29" ht="28.5" customHeight="1">
      <c r="A19" s="428"/>
      <c r="B19" s="451" t="s">
        <v>2642</v>
      </c>
      <c r="C19" s="2602"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7"/>
      <c r="F19" s="458">
        <f>SUMIF(80:80,E20,81:81)-SUMIF(80:80,C20,81:81)+100</f>
        <v>100</v>
      </c>
      <c r="G19" s="459"/>
      <c r="H19" s="450">
        <f>SUMIF(80:80,G20,81:81)-SUMIF(80:80,C20,81:81)+100</f>
        <v>100</v>
      </c>
      <c r="I19" s="457"/>
      <c r="J19" s="450">
        <f>SUMIF(80:80,I20,81:81)-SUMIF(80:80,C20,81:81)+100</f>
        <v>100</v>
      </c>
      <c r="K19" s="614">
        <v>3</v>
      </c>
      <c r="L19" s="1136"/>
      <c r="M19" s="1127"/>
      <c r="N19" s="1127"/>
      <c r="O19" s="1127"/>
      <c r="P19" s="3271"/>
      <c r="Q19" s="1806" t="str">
        <f>B19</f>
        <v>公共配套设施</v>
      </c>
      <c r="R19" s="772" t="s">
        <v>17</v>
      </c>
      <c r="S19" s="773">
        <f>F19</f>
        <v>100</v>
      </c>
      <c r="T19" s="772" t="s">
        <v>17</v>
      </c>
      <c r="U19" s="773">
        <f>H19</f>
        <v>100</v>
      </c>
      <c r="V19" s="772" t="s">
        <v>17</v>
      </c>
      <c r="W19" s="773">
        <f>J19</f>
        <v>100</v>
      </c>
      <c r="X19" s="1809"/>
      <c r="Y19" s="3273"/>
      <c r="Z19" s="1810" t="str">
        <f>Q19</f>
        <v>公共配套设施</v>
      </c>
      <c r="AA19" s="1807">
        <f t="shared" si="3"/>
        <v>1</v>
      </c>
      <c r="AB19" s="1807">
        <f t="shared" si="4"/>
        <v>1</v>
      </c>
      <c r="AC19" s="1807">
        <f t="shared" si="5"/>
        <v>1</v>
      </c>
    </row>
    <row r="20" spans="1:29" ht="15">
      <c r="A20" s="428"/>
      <c r="B20" s="456"/>
      <c r="C20" s="447" t="s">
        <v>3096</v>
      </c>
      <c r="D20" s="448"/>
      <c r="E20" s="2600" t="s">
        <v>3096</v>
      </c>
      <c r="F20" s="449"/>
      <c r="G20" s="2599" t="s">
        <v>3096</v>
      </c>
      <c r="H20" s="448"/>
      <c r="I20" s="2600" t="s">
        <v>3096</v>
      </c>
      <c r="J20" s="448"/>
      <c r="K20" s="615"/>
      <c r="L20" s="1136"/>
      <c r="M20" s="1127"/>
      <c r="N20" s="1127"/>
      <c r="O20" s="1127"/>
      <c r="P20" s="3271"/>
      <c r="Q20" s="1806"/>
      <c r="R20" s="772"/>
      <c r="S20" s="773"/>
      <c r="T20" s="772"/>
      <c r="U20" s="773"/>
      <c r="V20" s="772"/>
      <c r="W20" s="773"/>
      <c r="X20" s="1809"/>
      <c r="Y20" s="3273"/>
      <c r="Z20" s="1810"/>
      <c r="AA20" s="1807">
        <v>1</v>
      </c>
      <c r="AB20" s="1807">
        <v>1</v>
      </c>
      <c r="AC20" s="1807">
        <v>1</v>
      </c>
    </row>
    <row r="21" spans="1:29" ht="15">
      <c r="A21" s="428"/>
      <c r="B21" s="1380" t="s">
        <v>2643</v>
      </c>
      <c r="C21" s="2602">
        <f>估价对象房地状况!C8</f>
        <v>0</v>
      </c>
      <c r="D21" s="455">
        <v>100</v>
      </c>
      <c r="E21" s="457"/>
      <c r="F21" s="458">
        <f>SUMIF(82:82,E22,83:83)-SUMIF(82:82,C22,83:83)+100</f>
        <v>100</v>
      </c>
      <c r="G21" s="459"/>
      <c r="H21" s="450">
        <f>SUMIF(82:82,G22,83:83)-SUMIF(82:82,C22,83:83)+100</f>
        <v>100</v>
      </c>
      <c r="I21" s="457"/>
      <c r="J21" s="450">
        <f>SUMIF(82:82,I22,83:83)-SUMIF(82:82,C22,83:83)+100</f>
        <v>100</v>
      </c>
      <c r="K21" s="614">
        <v>2</v>
      </c>
      <c r="L21" s="1136"/>
      <c r="M21" s="1127"/>
      <c r="N21" s="1127"/>
      <c r="O21" s="1127"/>
      <c r="P21" s="3271"/>
      <c r="Q21" s="1806" t="str">
        <f>B21</f>
        <v>基础设施水平</v>
      </c>
      <c r="R21" s="772" t="s">
        <v>17</v>
      </c>
      <c r="S21" s="773">
        <f>F21</f>
        <v>100</v>
      </c>
      <c r="T21" s="772" t="s">
        <v>17</v>
      </c>
      <c r="U21" s="773">
        <f>H21</f>
        <v>100</v>
      </c>
      <c r="V21" s="772" t="s">
        <v>17</v>
      </c>
      <c r="W21" s="773">
        <f>J21</f>
        <v>100</v>
      </c>
      <c r="X21" s="1809"/>
      <c r="Y21" s="3273"/>
      <c r="Z21" s="1810" t="str">
        <f>Q21</f>
        <v>基础设施水平</v>
      </c>
      <c r="AA21" s="1807">
        <f t="shared" ref="AA21" si="8">D21/F21</f>
        <v>1</v>
      </c>
      <c r="AB21" s="1807">
        <f t="shared" ref="AB21" si="9">D21/H21</f>
        <v>1</v>
      </c>
      <c r="AC21" s="1807">
        <f t="shared" ref="AC21" si="10">D21/J21</f>
        <v>1</v>
      </c>
    </row>
    <row r="22" spans="1:29" ht="15">
      <c r="A22" s="428"/>
      <c r="B22" s="1380"/>
      <c r="C22" s="2603" t="s">
        <v>3094</v>
      </c>
      <c r="D22" s="448"/>
      <c r="E22" s="447" t="s">
        <v>3094</v>
      </c>
      <c r="F22" s="449"/>
      <c r="G22" s="447" t="s">
        <v>3094</v>
      </c>
      <c r="H22" s="448"/>
      <c r="I22" s="447" t="s">
        <v>3094</v>
      </c>
      <c r="J22" s="448"/>
      <c r="K22" s="1379"/>
      <c r="L22" s="1136"/>
      <c r="M22" s="1127"/>
      <c r="N22" s="1127"/>
      <c r="O22" s="1127"/>
      <c r="P22" s="3271"/>
      <c r="Q22" s="1806"/>
      <c r="R22" s="772"/>
      <c r="S22" s="773"/>
      <c r="T22" s="772"/>
      <c r="U22" s="773"/>
      <c r="V22" s="772"/>
      <c r="W22" s="773"/>
      <c r="X22" s="1809"/>
      <c r="Y22" s="3273"/>
      <c r="Z22" s="1810"/>
      <c r="AA22" s="1807">
        <v>1</v>
      </c>
      <c r="AB22" s="1807">
        <v>1</v>
      </c>
      <c r="AC22" s="1807">
        <v>1</v>
      </c>
    </row>
    <row r="23" spans="1:29" ht="15">
      <c r="A23" s="428"/>
      <c r="B23" s="451" t="s">
        <v>2091</v>
      </c>
      <c r="C23" s="2659">
        <f>估价对象房地状况!C9</f>
        <v>0</v>
      </c>
      <c r="D23" s="450">
        <v>100</v>
      </c>
      <c r="E23" s="452"/>
      <c r="F23" s="453">
        <f>SUMIF(84:84,E24,85:85)-SUMIF(84:84,C24,85:85)+100</f>
        <v>100</v>
      </c>
      <c r="G23" s="454"/>
      <c r="H23" s="450">
        <f>SUMIF(84:84,G24,85:85)-SUMIF(84:84,C24,85:85)+100</f>
        <v>100</v>
      </c>
      <c r="I23" s="452"/>
      <c r="J23" s="450">
        <f>SUMIF(84:84,I24,85:85)-SUMIF(84:84,C24,85:85)+100</f>
        <v>100</v>
      </c>
      <c r="K23" s="614">
        <v>2</v>
      </c>
      <c r="L23" s="1136"/>
      <c r="M23" s="1127"/>
      <c r="N23" s="1127"/>
      <c r="O23" s="1127"/>
      <c r="P23" s="3271"/>
      <c r="Q23" s="1806" t="str">
        <f>B23</f>
        <v>自然及人文环境</v>
      </c>
      <c r="R23" s="772" t="s">
        <v>17</v>
      </c>
      <c r="S23" s="773">
        <f>F23</f>
        <v>100</v>
      </c>
      <c r="T23" s="772" t="s">
        <v>17</v>
      </c>
      <c r="U23" s="773">
        <f>H23</f>
        <v>100</v>
      </c>
      <c r="V23" s="772" t="s">
        <v>17</v>
      </c>
      <c r="W23" s="773">
        <f>J23</f>
        <v>100</v>
      </c>
      <c r="X23" s="1809"/>
      <c r="Y23" s="3273"/>
      <c r="Z23" s="1810" t="str">
        <f>Q23</f>
        <v>自然及人文环境</v>
      </c>
      <c r="AA23" s="1807">
        <f t="shared" si="3"/>
        <v>1</v>
      </c>
      <c r="AB23" s="1807">
        <f t="shared" si="4"/>
        <v>1</v>
      </c>
      <c r="AC23" s="1807">
        <f t="shared" si="5"/>
        <v>1</v>
      </c>
    </row>
    <row r="24" spans="1:29" ht="15">
      <c r="A24" s="428"/>
      <c r="B24" s="456"/>
      <c r="C24" s="447" t="s">
        <v>3095</v>
      </c>
      <c r="D24" s="448"/>
      <c r="E24" s="447" t="s">
        <v>3095</v>
      </c>
      <c r="F24" s="449"/>
      <c r="G24" s="447" t="s">
        <v>3095</v>
      </c>
      <c r="H24" s="448"/>
      <c r="I24" s="447" t="s">
        <v>3095</v>
      </c>
      <c r="J24" s="448"/>
      <c r="K24" s="615"/>
      <c r="L24" s="1136"/>
      <c r="M24" s="1127"/>
      <c r="N24" s="1127"/>
      <c r="O24" s="1127"/>
      <c r="P24" s="3271"/>
      <c r="Q24" s="1806"/>
      <c r="R24" s="772"/>
      <c r="S24" s="773"/>
      <c r="T24" s="772"/>
      <c r="U24" s="773"/>
      <c r="V24" s="772"/>
      <c r="W24" s="773"/>
      <c r="X24" s="1809"/>
      <c r="Y24" s="3273"/>
      <c r="Z24" s="1810"/>
      <c r="AA24" s="1807">
        <v>1</v>
      </c>
      <c r="AB24" s="1807">
        <v>1</v>
      </c>
      <c r="AC24" s="1807">
        <v>1</v>
      </c>
    </row>
    <row r="25" spans="1:29" ht="15">
      <c r="A25" s="428"/>
      <c r="B25" s="422" t="s">
        <v>2644</v>
      </c>
      <c r="C25" s="616" t="s">
        <v>3671</v>
      </c>
      <c r="D25" s="435">
        <v>100</v>
      </c>
      <c r="E25" s="616" t="s">
        <v>3671</v>
      </c>
      <c r="F25" s="461">
        <f>SUMIF(86:86,E25,87:87)-SUMIF(86:86,C25,87:87)+100</f>
        <v>100</v>
      </c>
      <c r="G25" s="616" t="s">
        <v>3671</v>
      </c>
      <c r="H25" s="435">
        <f>SUMIF(86:86,G25,87:87)-SUMIF(86:86,C25,87:87)+100</f>
        <v>100</v>
      </c>
      <c r="I25" s="616" t="s">
        <v>3671</v>
      </c>
      <c r="J25" s="435">
        <f>SUMIF(86:86,I25,87:87)-SUMIF(86:86,C25,87:87)+100</f>
        <v>100</v>
      </c>
      <c r="K25" s="612">
        <v>3</v>
      </c>
      <c r="L25" s="1136"/>
      <c r="M25" s="1127"/>
      <c r="N25" s="1127"/>
      <c r="O25" s="1127"/>
      <c r="P25" s="3271"/>
      <c r="Q25" s="1806" t="str">
        <f t="shared" ref="Q25:Q46" si="11">B25</f>
        <v>临街状况</v>
      </c>
      <c r="R25" s="772" t="s">
        <v>17</v>
      </c>
      <c r="S25" s="773">
        <f>F25</f>
        <v>100</v>
      </c>
      <c r="T25" s="772" t="s">
        <v>17</v>
      </c>
      <c r="U25" s="773">
        <f>H25</f>
        <v>100</v>
      </c>
      <c r="V25" s="772" t="s">
        <v>17</v>
      </c>
      <c r="W25" s="773">
        <f>J25</f>
        <v>100</v>
      </c>
      <c r="X25" s="1809"/>
      <c r="Y25" s="3273"/>
      <c r="Z25" s="1810" t="str">
        <f>Q25</f>
        <v>临街状况</v>
      </c>
      <c r="AA25" s="1807">
        <f t="shared" si="3"/>
        <v>1</v>
      </c>
      <c r="AB25" s="1807">
        <f t="shared" si="4"/>
        <v>1</v>
      </c>
      <c r="AC25" s="1807">
        <f t="shared" si="5"/>
        <v>1</v>
      </c>
    </row>
    <row r="26" spans="1:29" ht="15">
      <c r="A26" s="428"/>
      <c r="B26" s="1382" t="s">
        <v>2645</v>
      </c>
      <c r="C26" s="2952" t="s">
        <v>3692</v>
      </c>
      <c r="D26" s="435">
        <v>100</v>
      </c>
      <c r="E26" s="2952" t="s">
        <v>3665</v>
      </c>
      <c r="F26" s="461">
        <f>SUMIF(88:88,E26,89:89)-SUMIF(88:88,C26,89:89)+100</f>
        <v>100</v>
      </c>
      <c r="G26" s="2952" t="s">
        <v>3659</v>
      </c>
      <c r="H26" s="435">
        <f>SUMIF(88:88,G26,89:89)-SUMIF(88:88,C26,89:89)+100</f>
        <v>100</v>
      </c>
      <c r="I26" s="2952" t="s">
        <v>3659</v>
      </c>
      <c r="J26" s="435">
        <f>SUMIF(88:88,I26,89:89)-SUMIF(88:88,C26,89:89)+100</f>
        <v>100</v>
      </c>
      <c r="K26" s="613"/>
      <c r="L26" s="1136"/>
      <c r="M26" s="1127"/>
      <c r="N26" s="1127"/>
      <c r="O26" s="1127"/>
      <c r="P26" s="3271"/>
      <c r="Q26" s="1806" t="str">
        <f t="shared" si="11"/>
        <v>平面位置/可视性</v>
      </c>
      <c r="R26" s="772" t="s">
        <v>17</v>
      </c>
      <c r="S26" s="773">
        <f>F26</f>
        <v>100</v>
      </c>
      <c r="T26" s="772" t="s">
        <v>17</v>
      </c>
      <c r="U26" s="773">
        <f>H26</f>
        <v>100</v>
      </c>
      <c r="V26" s="772" t="s">
        <v>17</v>
      </c>
      <c r="W26" s="773">
        <f>J26</f>
        <v>100</v>
      </c>
      <c r="X26" s="1809"/>
      <c r="Y26" s="3273"/>
      <c r="Z26" s="1810" t="str">
        <f>Q26</f>
        <v>平面位置/可视性</v>
      </c>
      <c r="AA26" s="1807">
        <f t="shared" si="3"/>
        <v>1</v>
      </c>
      <c r="AB26" s="1807">
        <f t="shared" si="4"/>
        <v>1</v>
      </c>
      <c r="AC26" s="1807">
        <f t="shared" si="5"/>
        <v>1</v>
      </c>
    </row>
    <row r="27" spans="1:29" s="117" customFormat="1" ht="15">
      <c r="A27" s="431"/>
      <c r="B27" s="451" t="s">
        <v>2646</v>
      </c>
      <c r="C27" s="2660" t="s">
        <v>3666</v>
      </c>
      <c r="D27" s="462">
        <v>100</v>
      </c>
      <c r="E27" s="2660" t="s">
        <v>3666</v>
      </c>
      <c r="F27" s="464">
        <f>SUMIF(90:90,E27,91:91)-SUMIF(90:90,C27,91:91)+100</f>
        <v>100</v>
      </c>
      <c r="G27" s="2660" t="s">
        <v>3666</v>
      </c>
      <c r="H27" s="462">
        <f>SUMIF(90:90,G27,91:91)-SUMIF(90:90,C27,91:91)+100</f>
        <v>100</v>
      </c>
      <c r="I27" s="2660" t="s">
        <v>3666</v>
      </c>
      <c r="J27" s="462">
        <f>SUMIF(90:90,I27,91:91)-SUMIF(90:90,C27,91:91)+100</f>
        <v>100</v>
      </c>
      <c r="K27" s="612">
        <v>3</v>
      </c>
      <c r="L27" s="1128"/>
      <c r="M27" s="1129"/>
      <c r="N27" s="1129"/>
      <c r="O27" s="1129"/>
      <c r="P27" s="3271"/>
      <c r="Q27" s="1791" t="str">
        <f t="shared" si="11"/>
        <v>人流量</v>
      </c>
      <c r="R27" s="768" t="s">
        <v>17</v>
      </c>
      <c r="S27" s="769">
        <f>F27</f>
        <v>100</v>
      </c>
      <c r="T27" s="768" t="s">
        <v>17</v>
      </c>
      <c r="U27" s="769">
        <f>H27</f>
        <v>100</v>
      </c>
      <c r="V27" s="768" t="s">
        <v>17</v>
      </c>
      <c r="W27" s="769">
        <f>J27</f>
        <v>100</v>
      </c>
      <c r="X27" s="770"/>
      <c r="Y27" s="3273"/>
      <c r="Z27" s="55" t="str">
        <f>Q27</f>
        <v>人流量</v>
      </c>
      <c r="AA27" s="1807">
        <f>D27/F27</f>
        <v>1</v>
      </c>
      <c r="AB27" s="1807">
        <f>D27/H27</f>
        <v>1</v>
      </c>
      <c r="AC27" s="1807">
        <f>D27/J27</f>
        <v>1</v>
      </c>
    </row>
    <row r="28" spans="1:29" ht="15.75" thickBot="1">
      <c r="A28" s="428"/>
      <c r="B28" s="422" t="s">
        <v>2647</v>
      </c>
      <c r="C28" s="616" t="s">
        <v>3228</v>
      </c>
      <c r="D28" s="435">
        <v>100</v>
      </c>
      <c r="E28" s="616" t="s">
        <v>3228</v>
      </c>
      <c r="F28" s="461">
        <f>SUMIF(92:92,E28,93:93)-SUMIF(92:92,C28,93:93)+100</f>
        <v>100</v>
      </c>
      <c r="G28" s="616" t="s">
        <v>3228</v>
      </c>
      <c r="H28" s="435">
        <f>SUMIF(92:92,G28,93:93)-SUMIF(92:92,C28,93:93)+100</f>
        <v>100</v>
      </c>
      <c r="I28" s="616">
        <v>1</v>
      </c>
      <c r="J28" s="435">
        <f>SUMIF(92:92,I28,93:93)-SUMIF(92:92,C28,93:93)+100</f>
        <v>115</v>
      </c>
      <c r="K28" s="613"/>
      <c r="L28" s="1136"/>
      <c r="M28" s="1127"/>
      <c r="N28" s="1127"/>
      <c r="O28" s="1127"/>
      <c r="P28" s="3271"/>
      <c r="Q28" s="1806" t="str">
        <f t="shared" si="11"/>
        <v>楼层</v>
      </c>
      <c r="R28" s="772" t="s">
        <v>17</v>
      </c>
      <c r="S28" s="773">
        <f t="shared" ref="S28:S46" si="12">F28</f>
        <v>100</v>
      </c>
      <c r="T28" s="772" t="s">
        <v>17</v>
      </c>
      <c r="U28" s="773">
        <f t="shared" ref="U28:U46" si="13">H28</f>
        <v>100</v>
      </c>
      <c r="V28" s="772" t="s">
        <v>17</v>
      </c>
      <c r="W28" s="773">
        <f t="shared" ref="W28:W46" si="14">J28</f>
        <v>115</v>
      </c>
      <c r="X28" s="1809"/>
      <c r="Y28" s="3273"/>
      <c r="Z28" s="1810" t="str">
        <f t="shared" ref="Z28:Z46" si="15">Q28</f>
        <v>楼层</v>
      </c>
      <c r="AA28" s="1807">
        <f t="shared" si="3"/>
        <v>1</v>
      </c>
      <c r="AB28" s="1807">
        <f t="shared" si="4"/>
        <v>1</v>
      </c>
      <c r="AC28" s="1807">
        <f t="shared" si="5"/>
        <v>0.86956521739130432</v>
      </c>
    </row>
    <row r="29" spans="1:29" ht="15" hidden="1">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71"/>
      <c r="Q29" s="1806">
        <f t="shared" si="11"/>
        <v>0</v>
      </c>
      <c r="R29" s="772" t="s">
        <v>17</v>
      </c>
      <c r="S29" s="773">
        <f t="shared" si="12"/>
        <v>100</v>
      </c>
      <c r="T29" s="772" t="s">
        <v>17</v>
      </c>
      <c r="U29" s="773">
        <f t="shared" si="13"/>
        <v>100</v>
      </c>
      <c r="V29" s="772" t="s">
        <v>17</v>
      </c>
      <c r="W29" s="773">
        <f t="shared" si="14"/>
        <v>100</v>
      </c>
      <c r="X29" s="1809"/>
      <c r="Y29" s="3273"/>
      <c r="Z29" s="1810">
        <f t="shared" si="15"/>
        <v>0</v>
      </c>
      <c r="AA29" s="1807">
        <f t="shared" si="3"/>
        <v>1</v>
      </c>
      <c r="AB29" s="1807">
        <f t="shared" si="4"/>
        <v>1</v>
      </c>
      <c r="AC29" s="1807">
        <f t="shared" si="5"/>
        <v>1</v>
      </c>
    </row>
    <row r="30" spans="1:29" ht="15" hidden="1">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71"/>
      <c r="Q30" s="1806">
        <f t="shared" si="11"/>
        <v>0</v>
      </c>
      <c r="R30" s="772" t="s">
        <v>17</v>
      </c>
      <c r="S30" s="773">
        <f t="shared" si="12"/>
        <v>100</v>
      </c>
      <c r="T30" s="772" t="s">
        <v>17</v>
      </c>
      <c r="U30" s="773">
        <f t="shared" si="13"/>
        <v>100</v>
      </c>
      <c r="V30" s="772" t="s">
        <v>17</v>
      </c>
      <c r="W30" s="773">
        <f t="shared" si="14"/>
        <v>100</v>
      </c>
      <c r="X30" s="1809"/>
      <c r="Y30" s="3273"/>
      <c r="Z30" s="1810">
        <f t="shared" si="15"/>
        <v>0</v>
      </c>
      <c r="AA30" s="1807">
        <f t="shared" si="3"/>
        <v>1</v>
      </c>
      <c r="AB30" s="1807">
        <f t="shared" si="4"/>
        <v>1</v>
      </c>
      <c r="AC30" s="1807">
        <f t="shared" si="5"/>
        <v>1</v>
      </c>
    </row>
    <row r="31" spans="1:29" ht="15.75" hidden="1"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71"/>
      <c r="Q31" s="1806">
        <f t="shared" si="11"/>
        <v>0</v>
      </c>
      <c r="R31" s="772" t="s">
        <v>17</v>
      </c>
      <c r="S31" s="773">
        <f t="shared" si="12"/>
        <v>100</v>
      </c>
      <c r="T31" s="772" t="s">
        <v>17</v>
      </c>
      <c r="U31" s="773">
        <f t="shared" si="13"/>
        <v>100</v>
      </c>
      <c r="V31" s="772" t="s">
        <v>17</v>
      </c>
      <c r="W31" s="773">
        <f t="shared" si="14"/>
        <v>100</v>
      </c>
      <c r="X31" s="1809"/>
      <c r="Y31" s="3273"/>
      <c r="Z31" s="1810">
        <f t="shared" si="15"/>
        <v>0</v>
      </c>
      <c r="AA31" s="1807">
        <f t="shared" si="3"/>
        <v>1</v>
      </c>
      <c r="AB31" s="1807">
        <f t="shared" si="4"/>
        <v>1</v>
      </c>
      <c r="AC31" s="1807">
        <f t="shared" si="5"/>
        <v>1</v>
      </c>
    </row>
    <row r="32" spans="1:29" ht="15">
      <c r="A32" s="440" t="s">
        <v>2551</v>
      </c>
      <c r="B32" s="71" t="s">
        <v>2648</v>
      </c>
      <c r="C32" s="2612" t="s">
        <v>3236</v>
      </c>
      <c r="D32" s="467">
        <v>100</v>
      </c>
      <c r="E32" s="2612" t="s">
        <v>3236</v>
      </c>
      <c r="F32" s="461">
        <f>SUMIF(100:100,E32,101:101)-SUMIF(100:100,C32,101:101)+100</f>
        <v>100</v>
      </c>
      <c r="G32" s="2612" t="s">
        <v>3236</v>
      </c>
      <c r="H32" s="435">
        <f>SUMIF(100:100,G32,101:101)-SUMIF(100:100,C32,101:101)+100</f>
        <v>100</v>
      </c>
      <c r="I32" s="2612" t="s">
        <v>3679</v>
      </c>
      <c r="J32" s="467">
        <f>SUMIF(100:100,I32,101:101)-SUMIF(100:100,C32,101:101)+100</f>
        <v>105</v>
      </c>
      <c r="K32" s="612">
        <v>5</v>
      </c>
      <c r="L32" s="1136"/>
      <c r="M32" s="1127"/>
      <c r="N32" s="1127"/>
      <c r="O32" s="1127"/>
      <c r="P32" s="3274" t="s">
        <v>2553</v>
      </c>
      <c r="Q32" s="1806" t="str">
        <f t="shared" si="11"/>
        <v>商业类型</v>
      </c>
      <c r="R32" s="772" t="s">
        <v>17</v>
      </c>
      <c r="S32" s="773">
        <f t="shared" si="12"/>
        <v>100</v>
      </c>
      <c r="T32" s="772" t="s">
        <v>17</v>
      </c>
      <c r="U32" s="773">
        <f t="shared" si="13"/>
        <v>100</v>
      </c>
      <c r="V32" s="772" t="s">
        <v>17</v>
      </c>
      <c r="W32" s="773">
        <f t="shared" si="14"/>
        <v>105</v>
      </c>
      <c r="X32" s="1809"/>
      <c r="Y32" s="3277" t="s">
        <v>2553</v>
      </c>
      <c r="Z32" s="1810" t="str">
        <f t="shared" si="15"/>
        <v>商业类型</v>
      </c>
      <c r="AA32" s="1807">
        <f t="shared" si="3"/>
        <v>1</v>
      </c>
      <c r="AB32" s="1807">
        <f t="shared" si="4"/>
        <v>1</v>
      </c>
      <c r="AC32" s="1807">
        <f t="shared" si="5"/>
        <v>0.95238095238095233</v>
      </c>
    </row>
    <row r="33" spans="1:29" s="471" customFormat="1" ht="15" hidden="1">
      <c r="A33" s="468"/>
      <c r="B33" s="422" t="s">
        <v>2554</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4"/>
      <c r="M33" s="1137"/>
      <c r="N33" s="1137"/>
      <c r="O33" s="1137"/>
      <c r="P33" s="3275"/>
      <c r="Q33" s="774" t="str">
        <f t="shared" si="11"/>
        <v>项目建筑规模</v>
      </c>
      <c r="R33" s="775" t="s">
        <v>17</v>
      </c>
      <c r="S33" s="776">
        <f t="shared" si="12"/>
        <v>100</v>
      </c>
      <c r="T33" s="775" t="s">
        <v>17</v>
      </c>
      <c r="U33" s="776">
        <f t="shared" si="13"/>
        <v>100</v>
      </c>
      <c r="V33" s="775" t="s">
        <v>17</v>
      </c>
      <c r="W33" s="776">
        <f t="shared" si="14"/>
        <v>100</v>
      </c>
      <c r="X33" s="777"/>
      <c r="Y33" s="3277"/>
      <c r="Z33" s="778" t="str">
        <f t="shared" si="15"/>
        <v>项目建筑规模</v>
      </c>
      <c r="AA33" s="1807">
        <f t="shared" si="3"/>
        <v>1</v>
      </c>
      <c r="AB33" s="1807">
        <f t="shared" si="4"/>
        <v>1</v>
      </c>
      <c r="AC33" s="1807">
        <f t="shared" si="5"/>
        <v>1</v>
      </c>
    </row>
    <row r="34" spans="1:29" ht="15">
      <c r="A34" s="472"/>
      <c r="B34" s="422" t="s">
        <v>2555</v>
      </c>
      <c r="C34" s="2614" t="s">
        <v>3064</v>
      </c>
      <c r="D34" s="435">
        <v>100</v>
      </c>
      <c r="E34" s="2614" t="s">
        <v>3064</v>
      </c>
      <c r="F34" s="461">
        <f>SUMIF(105:105,E34,106:106)-SUMIF(105:105,C34,106:106)+100</f>
        <v>100</v>
      </c>
      <c r="G34" s="2614" t="s">
        <v>3064</v>
      </c>
      <c r="H34" s="435">
        <f>SUMIF(105:105,G34,106:106)-SUMIF(105:105,C34,106:106)+100</f>
        <v>100</v>
      </c>
      <c r="I34" s="2614" t="s">
        <v>3064</v>
      </c>
      <c r="J34" s="435">
        <f>SUMIF(105:105,I34,106:106)-SUMIF(105:105,C34,106:106)+100</f>
        <v>100</v>
      </c>
      <c r="K34" s="612">
        <v>2</v>
      </c>
      <c r="L34" s="1136"/>
      <c r="M34" s="1127"/>
      <c r="N34" s="1127"/>
      <c r="O34" s="1127"/>
      <c r="P34" s="3275"/>
      <c r="Q34" s="1806" t="str">
        <f t="shared" si="11"/>
        <v>建筑结构</v>
      </c>
      <c r="R34" s="772" t="s">
        <v>17</v>
      </c>
      <c r="S34" s="773">
        <f t="shared" si="12"/>
        <v>100</v>
      </c>
      <c r="T34" s="772" t="s">
        <v>17</v>
      </c>
      <c r="U34" s="773">
        <f t="shared" si="13"/>
        <v>100</v>
      </c>
      <c r="V34" s="772" t="s">
        <v>17</v>
      </c>
      <c r="W34" s="773">
        <f t="shared" si="14"/>
        <v>100</v>
      </c>
      <c r="X34" s="1809"/>
      <c r="Y34" s="3277"/>
      <c r="Z34" s="1810" t="str">
        <f t="shared" si="15"/>
        <v>建筑结构</v>
      </c>
      <c r="AA34" s="1807">
        <f t="shared" si="3"/>
        <v>1</v>
      </c>
      <c r="AB34" s="1807">
        <f t="shared" si="4"/>
        <v>1</v>
      </c>
      <c r="AC34" s="1807">
        <f t="shared" si="5"/>
        <v>1</v>
      </c>
    </row>
    <row r="35" spans="1:29" ht="15">
      <c r="A35" s="472"/>
      <c r="B35" s="422" t="s">
        <v>2649</v>
      </c>
      <c r="C35" s="2608" t="s">
        <v>3084</v>
      </c>
      <c r="D35" s="435">
        <v>100</v>
      </c>
      <c r="E35" s="2608" t="s">
        <v>3084</v>
      </c>
      <c r="F35" s="461">
        <f>SUMIF(107:107,E35,108:108)-SUMIF(107:107,C35,108:108)+100</f>
        <v>100</v>
      </c>
      <c r="G35" s="2608" t="s">
        <v>3084</v>
      </c>
      <c r="H35" s="435">
        <f>SUMIF(107:107,G35,108:108)-SUMIF(107:107,C35,108:108)+100</f>
        <v>100</v>
      </c>
      <c r="I35" s="2608" t="s">
        <v>3084</v>
      </c>
      <c r="J35" s="435">
        <f>SUMIF(107:107,I35,108:108)-SUMIF(107:107,C35,108:108)+100</f>
        <v>100</v>
      </c>
      <c r="K35" s="612">
        <v>2</v>
      </c>
      <c r="L35" s="1136"/>
      <c r="M35" s="1127"/>
      <c r="N35" s="1127"/>
      <c r="O35" s="1127"/>
      <c r="P35" s="3275"/>
      <c r="Q35" s="1806" t="str">
        <f t="shared" si="11"/>
        <v>公共部分装修</v>
      </c>
      <c r="R35" s="772" t="s">
        <v>17</v>
      </c>
      <c r="S35" s="773">
        <f t="shared" si="12"/>
        <v>100</v>
      </c>
      <c r="T35" s="772" t="s">
        <v>17</v>
      </c>
      <c r="U35" s="773">
        <f t="shared" si="13"/>
        <v>100</v>
      </c>
      <c r="V35" s="772" t="s">
        <v>17</v>
      </c>
      <c r="W35" s="773">
        <f t="shared" si="14"/>
        <v>100</v>
      </c>
      <c r="X35" s="1809"/>
      <c r="Y35" s="3277"/>
      <c r="Z35" s="1810" t="str">
        <f t="shared" si="15"/>
        <v>公共部分装修</v>
      </c>
      <c r="AA35" s="1807">
        <f t="shared" si="3"/>
        <v>1</v>
      </c>
      <c r="AB35" s="1807">
        <f t="shared" si="4"/>
        <v>1</v>
      </c>
      <c r="AC35" s="1807">
        <f t="shared" si="5"/>
        <v>1</v>
      </c>
    </row>
    <row r="36" spans="1:29" s="3050" customFormat="1" ht="15">
      <c r="A36" s="3041"/>
      <c r="B36" s="3035" t="s">
        <v>3683</v>
      </c>
      <c r="C36" s="2953">
        <v>0.9</v>
      </c>
      <c r="D36" s="3037">
        <v>100</v>
      </c>
      <c r="E36" s="2953">
        <v>0.9</v>
      </c>
      <c r="F36" s="3039">
        <f>LOOKUP(E36,110:110,111:111)-LOOKUP(C36,110:110,111:111)+100</f>
        <v>100</v>
      </c>
      <c r="G36" s="2953">
        <v>0.9</v>
      </c>
      <c r="H36" s="3037">
        <f>LOOKUP(G36,110:110,111:111)-LOOKUP(C36,110:110,111:111)+100</f>
        <v>100</v>
      </c>
      <c r="I36" s="2953">
        <v>0.8</v>
      </c>
      <c r="J36" s="3037">
        <f>LOOKUP(I36,110:110,111:111)-LOOKUP(C36,110:110,111:111)+100</f>
        <v>95</v>
      </c>
      <c r="K36" s="3040">
        <v>5</v>
      </c>
      <c r="L36" s="3042"/>
      <c r="M36" s="3043"/>
      <c r="N36" s="3043"/>
      <c r="O36" s="3043"/>
      <c r="P36" s="3275"/>
      <c r="Q36" s="3044" t="str">
        <f t="shared" si="11"/>
        <v>成新度</v>
      </c>
      <c r="R36" s="3045" t="s">
        <v>17</v>
      </c>
      <c r="S36" s="3046">
        <f t="shared" si="12"/>
        <v>100</v>
      </c>
      <c r="T36" s="3045" t="s">
        <v>17</v>
      </c>
      <c r="U36" s="3046">
        <f t="shared" si="13"/>
        <v>100</v>
      </c>
      <c r="V36" s="3045" t="s">
        <v>17</v>
      </c>
      <c r="W36" s="3046">
        <f t="shared" si="14"/>
        <v>95</v>
      </c>
      <c r="X36" s="3047"/>
      <c r="Y36" s="3277"/>
      <c r="Z36" s="3048" t="str">
        <f t="shared" si="15"/>
        <v>成新度</v>
      </c>
      <c r="AA36" s="3049">
        <f t="shared" si="3"/>
        <v>1</v>
      </c>
      <c r="AB36" s="3049">
        <f t="shared" si="4"/>
        <v>1</v>
      </c>
      <c r="AC36" s="3049">
        <f t="shared" si="5"/>
        <v>1.0526315789473684</v>
      </c>
    </row>
    <row r="37" spans="1:29" s="117" customFormat="1" ht="15">
      <c r="A37" s="473"/>
      <c r="B37" s="422" t="s">
        <v>2651</v>
      </c>
      <c r="C37" s="2608" t="s">
        <v>3080</v>
      </c>
      <c r="D37" s="136">
        <v>100</v>
      </c>
      <c r="E37" s="2608" t="s">
        <v>3080</v>
      </c>
      <c r="F37" s="461">
        <f>SUMIF(112:112,E37,113:113)-SUMIF(112:112,C37,113:113)+100</f>
        <v>100</v>
      </c>
      <c r="G37" s="2608" t="s">
        <v>3080</v>
      </c>
      <c r="H37" s="435">
        <f>SUMIF(112:112,G37,113:113)-SUMIF(112:112,C37,113:113)+100</f>
        <v>100</v>
      </c>
      <c r="I37" s="2608" t="s">
        <v>3080</v>
      </c>
      <c r="J37" s="435">
        <f>SUMIF(112:112,I37,113:113)-SUMIF(112:112,C37,113:113)+100</f>
        <v>100</v>
      </c>
      <c r="K37" s="612">
        <v>2</v>
      </c>
      <c r="L37" s="1128"/>
      <c r="M37" s="1129"/>
      <c r="N37" s="1129"/>
      <c r="O37" s="1129"/>
      <c r="P37" s="3275"/>
      <c r="Q37" s="1791" t="str">
        <f t="shared" si="11"/>
        <v>市政基础设施</v>
      </c>
      <c r="R37" s="768" t="s">
        <v>17</v>
      </c>
      <c r="S37" s="769">
        <f t="shared" si="12"/>
        <v>100</v>
      </c>
      <c r="T37" s="768" t="s">
        <v>17</v>
      </c>
      <c r="U37" s="769">
        <f t="shared" si="13"/>
        <v>100</v>
      </c>
      <c r="V37" s="768" t="s">
        <v>17</v>
      </c>
      <c r="W37" s="769">
        <f t="shared" si="14"/>
        <v>100</v>
      </c>
      <c r="X37" s="770"/>
      <c r="Y37" s="3277"/>
      <c r="Z37" s="55" t="str">
        <f t="shared" si="15"/>
        <v>市政基础设施</v>
      </c>
      <c r="AA37" s="771">
        <f t="shared" si="3"/>
        <v>1</v>
      </c>
      <c r="AB37" s="771">
        <f t="shared" si="4"/>
        <v>1</v>
      </c>
      <c r="AC37" s="771">
        <f t="shared" si="5"/>
        <v>1</v>
      </c>
    </row>
    <row r="38" spans="1:29" ht="15">
      <c r="A38" s="472"/>
      <c r="B38" s="422" t="s">
        <v>2652</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v>2</v>
      </c>
      <c r="L38" s="1136"/>
      <c r="M38" s="1127"/>
      <c r="N38" s="1127"/>
      <c r="O38" s="1127"/>
      <c r="P38" s="3275" t="s">
        <v>2553</v>
      </c>
      <c r="Q38" s="1806" t="str">
        <f t="shared" si="11"/>
        <v>业态</v>
      </c>
      <c r="R38" s="772" t="s">
        <v>17</v>
      </c>
      <c r="S38" s="773">
        <f t="shared" si="12"/>
        <v>100</v>
      </c>
      <c r="T38" s="772" t="s">
        <v>17</v>
      </c>
      <c r="U38" s="773">
        <f t="shared" si="13"/>
        <v>100</v>
      </c>
      <c r="V38" s="772" t="s">
        <v>17</v>
      </c>
      <c r="W38" s="773">
        <f t="shared" si="14"/>
        <v>100</v>
      </c>
      <c r="X38" s="1809"/>
      <c r="Y38" s="3277" t="s">
        <v>2553</v>
      </c>
      <c r="Z38" s="1810" t="str">
        <f t="shared" si="15"/>
        <v>业态</v>
      </c>
      <c r="AA38" s="1807">
        <f t="shared" si="3"/>
        <v>1</v>
      </c>
      <c r="AB38" s="1807">
        <f t="shared" si="4"/>
        <v>1</v>
      </c>
      <c r="AC38" s="1807">
        <f t="shared" si="5"/>
        <v>1</v>
      </c>
    </row>
    <row r="39" spans="1:29" ht="15" hidden="1">
      <c r="A39" s="472"/>
      <c r="B39" s="422" t="s">
        <v>2653</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v>2</v>
      </c>
      <c r="L39" s="1136"/>
      <c r="M39" s="1127"/>
      <c r="N39" s="1127"/>
      <c r="O39" s="1127"/>
      <c r="P39" s="3275"/>
      <c r="Q39" s="1806" t="str">
        <f t="shared" si="11"/>
        <v>层高</v>
      </c>
      <c r="R39" s="772" t="s">
        <v>17</v>
      </c>
      <c r="S39" s="773">
        <f t="shared" si="12"/>
        <v>100</v>
      </c>
      <c r="T39" s="772" t="s">
        <v>17</v>
      </c>
      <c r="U39" s="773">
        <f t="shared" si="13"/>
        <v>100</v>
      </c>
      <c r="V39" s="772" t="s">
        <v>17</v>
      </c>
      <c r="W39" s="773">
        <f t="shared" si="14"/>
        <v>100</v>
      </c>
      <c r="X39" s="1809"/>
      <c r="Y39" s="3277"/>
      <c r="Z39" s="1810" t="str">
        <f t="shared" si="15"/>
        <v>层高</v>
      </c>
      <c r="AA39" s="1807">
        <f t="shared" si="3"/>
        <v>1</v>
      </c>
      <c r="AB39" s="1807">
        <f t="shared" si="4"/>
        <v>1</v>
      </c>
      <c r="AC39" s="1807">
        <f t="shared" si="5"/>
        <v>1</v>
      </c>
    </row>
    <row r="40" spans="1:29" s="3031" customFormat="1" ht="15">
      <c r="A40" s="599"/>
      <c r="B40" s="461" t="s">
        <v>3684</v>
      </c>
      <c r="C40" s="434"/>
      <c r="D40" s="435">
        <v>100</v>
      </c>
      <c r="E40" s="434">
        <v>200</v>
      </c>
      <c r="F40" s="461">
        <f>SUMIF(118:118,E40,119:119)-SUMIF(118:118,C40,119:119)+100</f>
        <v>100</v>
      </c>
      <c r="G40" s="434">
        <v>238</v>
      </c>
      <c r="H40" s="435">
        <f>SUMIF(118:118,G40,119:119)-SUMIF(118:118,C40,119:119)+100</f>
        <v>100</v>
      </c>
      <c r="I40" s="434">
        <v>140</v>
      </c>
      <c r="J40" s="435">
        <f>SUMIF(118:118,I40,119:119)-SUMIF(118:118,C40,119:119)+100</f>
        <v>100</v>
      </c>
      <c r="K40" s="613"/>
      <c r="L40" s="1149"/>
      <c r="M40" s="3026"/>
      <c r="N40" s="3026"/>
      <c r="O40" s="3026"/>
      <c r="P40" s="3275"/>
      <c r="Q40" s="3027" t="str">
        <f t="shared" si="11"/>
        <v>单套建筑面积</v>
      </c>
      <c r="R40" s="3028" t="s">
        <v>17</v>
      </c>
      <c r="S40" s="3029">
        <f t="shared" si="12"/>
        <v>100</v>
      </c>
      <c r="T40" s="3028" t="s">
        <v>17</v>
      </c>
      <c r="U40" s="3029">
        <f t="shared" si="13"/>
        <v>100</v>
      </c>
      <c r="V40" s="3028" t="s">
        <v>17</v>
      </c>
      <c r="W40" s="3029">
        <f t="shared" si="14"/>
        <v>100</v>
      </c>
      <c r="X40" s="3030"/>
      <c r="Y40" s="3277"/>
      <c r="Z40" s="3051" t="str">
        <f t="shared" si="15"/>
        <v>单套建筑面积</v>
      </c>
      <c r="AA40" s="3051">
        <f t="shared" si="3"/>
        <v>1</v>
      </c>
      <c r="AB40" s="3051">
        <f t="shared" si="4"/>
        <v>1</v>
      </c>
      <c r="AC40" s="3051">
        <f t="shared" si="5"/>
        <v>1</v>
      </c>
    </row>
    <row r="41" spans="1:29" s="471" customFormat="1" ht="15" hidden="1">
      <c r="A41" s="468"/>
      <c r="B41" s="1808" t="s">
        <v>2654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4"/>
      <c r="M41" s="1137"/>
      <c r="N41" s="1137"/>
      <c r="O41" s="1137"/>
      <c r="P41" s="3275"/>
      <c r="Q41" s="774" t="str">
        <f t="shared" si="11"/>
        <v>进深比</v>
      </c>
      <c r="R41" s="775" t="s">
        <v>17</v>
      </c>
      <c r="S41" s="776">
        <f t="shared" si="12"/>
        <v>100</v>
      </c>
      <c r="T41" s="775" t="s">
        <v>17</v>
      </c>
      <c r="U41" s="776">
        <f t="shared" si="13"/>
        <v>100</v>
      </c>
      <c r="V41" s="775" t="s">
        <v>17</v>
      </c>
      <c r="W41" s="776">
        <f t="shared" si="14"/>
        <v>100</v>
      </c>
      <c r="X41" s="777"/>
      <c r="Y41" s="3277"/>
      <c r="Z41" s="778" t="str">
        <f t="shared" si="15"/>
        <v>进深比</v>
      </c>
      <c r="AA41" s="1807">
        <f t="shared" si="3"/>
        <v>1</v>
      </c>
      <c r="AB41" s="1807">
        <f t="shared" si="4"/>
        <v>1</v>
      </c>
      <c r="AC41" s="1807">
        <f t="shared" si="5"/>
        <v>1</v>
      </c>
    </row>
    <row r="42" spans="1:29" ht="15">
      <c r="A42" s="472"/>
      <c r="B42" s="422" t="s">
        <v>2655</v>
      </c>
      <c r="C42" s="2608" t="s">
        <v>3077</v>
      </c>
      <c r="D42" s="435">
        <v>100</v>
      </c>
      <c r="E42" s="2608" t="s">
        <v>3077</v>
      </c>
      <c r="F42" s="461">
        <f>SUMIF(122:122,E42,123:123)-SUMIF(122:122,C42,123:123)+100</f>
        <v>100</v>
      </c>
      <c r="G42" s="2608" t="s">
        <v>3077</v>
      </c>
      <c r="H42" s="435">
        <f>SUMIF(122:122,G42,123:123)-SUMIF(122:122,C42,123:123)+100</f>
        <v>100</v>
      </c>
      <c r="I42" s="2608" t="s">
        <v>3077</v>
      </c>
      <c r="J42" s="435">
        <f>SUMIF(122:122,I42,123:123)-SUMIF(122:122,C42,123:123)+100</f>
        <v>100</v>
      </c>
      <c r="K42" s="612">
        <v>2</v>
      </c>
      <c r="L42" s="1136"/>
      <c r="M42" s="1127"/>
      <c r="N42" s="1127"/>
      <c r="O42" s="1127"/>
      <c r="P42" s="3275"/>
      <c r="Q42" s="1806" t="str">
        <f t="shared" si="11"/>
        <v>内部装修</v>
      </c>
      <c r="R42" s="772" t="s">
        <v>17</v>
      </c>
      <c r="S42" s="773">
        <f t="shared" si="12"/>
        <v>100</v>
      </c>
      <c r="T42" s="772" t="s">
        <v>17</v>
      </c>
      <c r="U42" s="773">
        <f t="shared" si="13"/>
        <v>100</v>
      </c>
      <c r="V42" s="772" t="s">
        <v>17</v>
      </c>
      <c r="W42" s="773">
        <f t="shared" si="14"/>
        <v>100</v>
      </c>
      <c r="X42" s="1809"/>
      <c r="Y42" s="3277"/>
      <c r="Z42" s="1810" t="str">
        <f t="shared" si="15"/>
        <v>内部装修</v>
      </c>
      <c r="AA42" s="1807">
        <f t="shared" si="3"/>
        <v>1</v>
      </c>
      <c r="AB42" s="1807">
        <f t="shared" si="4"/>
        <v>1</v>
      </c>
      <c r="AC42" s="1807">
        <f t="shared" si="5"/>
        <v>1</v>
      </c>
    </row>
    <row r="43" spans="1:29" ht="15.75" thickBot="1">
      <c r="A43" s="472"/>
      <c r="B43" s="422" t="s">
        <v>2564</v>
      </c>
      <c r="C43" s="2608" t="s">
        <v>3096</v>
      </c>
      <c r="D43" s="435">
        <v>100</v>
      </c>
      <c r="E43" s="2608" t="s">
        <v>3096</v>
      </c>
      <c r="F43" s="461">
        <f>SUMIF(124:124,E43,125:125)-SUMIF(124:124,C43,125:125)+100</f>
        <v>100</v>
      </c>
      <c r="G43" s="2608" t="s">
        <v>3096</v>
      </c>
      <c r="H43" s="435">
        <f>SUMIF(124:124,G43,125:125)-SUMIF(124:124,C43,125:125)+100</f>
        <v>100</v>
      </c>
      <c r="I43" s="2608" t="s">
        <v>3096</v>
      </c>
      <c r="J43" s="435">
        <f>SUMIF(124:124,I43,125:125)-SUMIF(124:124,C43,125:125)+100</f>
        <v>100</v>
      </c>
      <c r="K43" s="612">
        <v>2</v>
      </c>
      <c r="L43" s="1136"/>
      <c r="M43" s="1127"/>
      <c r="N43" s="1127"/>
      <c r="O43" s="1127"/>
      <c r="P43" s="3275"/>
      <c r="Q43" s="1806" t="str">
        <f t="shared" si="11"/>
        <v>内部装修维护情况</v>
      </c>
      <c r="R43" s="772" t="s">
        <v>17</v>
      </c>
      <c r="S43" s="773">
        <f t="shared" si="12"/>
        <v>100</v>
      </c>
      <c r="T43" s="772" t="s">
        <v>17</v>
      </c>
      <c r="U43" s="773">
        <f t="shared" si="13"/>
        <v>100</v>
      </c>
      <c r="V43" s="772" t="s">
        <v>17</v>
      </c>
      <c r="W43" s="773">
        <f t="shared" si="14"/>
        <v>100</v>
      </c>
      <c r="X43" s="1809"/>
      <c r="Y43" s="3277"/>
      <c r="Z43" s="1810" t="str">
        <f t="shared" si="15"/>
        <v>内部装修维护情况</v>
      </c>
      <c r="AA43" s="1807">
        <f t="shared" si="3"/>
        <v>1</v>
      </c>
      <c r="AB43" s="1807">
        <f t="shared" si="4"/>
        <v>1</v>
      </c>
      <c r="AC43" s="1807">
        <f t="shared" si="5"/>
        <v>1</v>
      </c>
    </row>
    <row r="44" spans="1:29" s="117" customFormat="1" ht="15.75" hidden="1" thickBot="1">
      <c r="A44" s="473"/>
      <c r="B44" s="1382"/>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75"/>
      <c r="Q44" s="1791">
        <f t="shared" si="11"/>
        <v>0</v>
      </c>
      <c r="R44" s="768" t="s">
        <v>17</v>
      </c>
      <c r="S44" s="769">
        <f t="shared" si="12"/>
        <v>100</v>
      </c>
      <c r="T44" s="768" t="s">
        <v>17</v>
      </c>
      <c r="U44" s="769">
        <f t="shared" si="13"/>
        <v>100</v>
      </c>
      <c r="V44" s="768" t="s">
        <v>17</v>
      </c>
      <c r="W44" s="769">
        <f t="shared" si="14"/>
        <v>100</v>
      </c>
      <c r="X44" s="770"/>
      <c r="Y44" s="3277"/>
      <c r="Z44" s="55">
        <f t="shared" si="15"/>
        <v>0</v>
      </c>
      <c r="AA44" s="771">
        <f t="shared" si="3"/>
        <v>1</v>
      </c>
      <c r="AB44" s="771">
        <f t="shared" si="4"/>
        <v>1</v>
      </c>
      <c r="AC44" s="771">
        <f t="shared" si="5"/>
        <v>1</v>
      </c>
    </row>
    <row r="45" spans="1:29" ht="15.75" hidden="1" thickBot="1">
      <c r="A45" s="472"/>
      <c r="B45" s="1382"/>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75"/>
      <c r="Q45" s="1806">
        <f t="shared" si="11"/>
        <v>0</v>
      </c>
      <c r="R45" s="772" t="s">
        <v>17</v>
      </c>
      <c r="S45" s="773">
        <f t="shared" si="12"/>
        <v>100</v>
      </c>
      <c r="T45" s="772" t="s">
        <v>17</v>
      </c>
      <c r="U45" s="773">
        <f t="shared" si="13"/>
        <v>100</v>
      </c>
      <c r="V45" s="772" t="s">
        <v>17</v>
      </c>
      <c r="W45" s="773">
        <f t="shared" si="14"/>
        <v>100</v>
      </c>
      <c r="X45" s="1809"/>
      <c r="Y45" s="3277"/>
      <c r="Z45" s="1810">
        <f t="shared" si="15"/>
        <v>0</v>
      </c>
      <c r="AA45" s="1807">
        <f t="shared" si="3"/>
        <v>1</v>
      </c>
      <c r="AB45" s="1807">
        <f t="shared" si="4"/>
        <v>1</v>
      </c>
      <c r="AC45" s="1807">
        <f t="shared" si="5"/>
        <v>1</v>
      </c>
    </row>
    <row r="46" spans="1:29" ht="15.75" hidden="1" thickBot="1">
      <c r="A46" s="478"/>
      <c r="B46" s="2597"/>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76"/>
      <c r="Q46" s="1806">
        <f t="shared" si="11"/>
        <v>0</v>
      </c>
      <c r="R46" s="772" t="s">
        <v>17</v>
      </c>
      <c r="S46" s="773">
        <f t="shared" si="12"/>
        <v>100</v>
      </c>
      <c r="T46" s="772" t="s">
        <v>17</v>
      </c>
      <c r="U46" s="773">
        <f t="shared" si="13"/>
        <v>100</v>
      </c>
      <c r="V46" s="772" t="s">
        <v>17</v>
      </c>
      <c r="W46" s="773">
        <f t="shared" si="14"/>
        <v>100</v>
      </c>
      <c r="X46" s="1809"/>
      <c r="Y46" s="3278"/>
      <c r="Z46" s="1810">
        <f t="shared" si="15"/>
        <v>0</v>
      </c>
      <c r="AA46" s="1807">
        <f t="shared" si="3"/>
        <v>1</v>
      </c>
      <c r="AB46" s="1807">
        <f t="shared" si="4"/>
        <v>1</v>
      </c>
      <c r="AC46" s="1807">
        <f t="shared" si="5"/>
        <v>1</v>
      </c>
    </row>
    <row r="47" spans="1:29" ht="15">
      <c r="A47" s="479" t="s">
        <v>2565</v>
      </c>
      <c r="B47" s="480"/>
      <c r="C47" s="1403" t="s">
        <v>1</v>
      </c>
      <c r="D47" s="1404"/>
      <c r="E47" s="1405">
        <f>ROUND(1010/200*10000,0)</f>
        <v>50500</v>
      </c>
      <c r="F47" s="1406"/>
      <c r="G47" s="1407">
        <f>ROUND(1108/238*10000,0)</f>
        <v>46555</v>
      </c>
      <c r="H47" s="1408"/>
      <c r="I47" s="1407">
        <f>ROUND(702/140*10000,0)</f>
        <v>50143</v>
      </c>
      <c r="J47" s="1408"/>
      <c r="K47" s="781"/>
      <c r="L47" s="1139"/>
      <c r="M47" s="1140"/>
      <c r="N47" s="1127"/>
      <c r="O47" s="1140"/>
      <c r="P47" s="3265" t="str">
        <f>A47</f>
        <v>成交单价（元/平方米）</v>
      </c>
      <c r="Q47" s="3265"/>
      <c r="R47" s="3299">
        <f>E47</f>
        <v>50500</v>
      </c>
      <c r="S47" s="3299"/>
      <c r="T47" s="3299">
        <f>G47</f>
        <v>46555</v>
      </c>
      <c r="U47" s="3299"/>
      <c r="V47" s="3299">
        <f>I47</f>
        <v>50143</v>
      </c>
      <c r="W47" s="3299"/>
      <c r="X47" s="757"/>
      <c r="Y47" s="779"/>
      <c r="Z47" s="757"/>
      <c r="AA47" s="757"/>
      <c r="AB47" s="757"/>
      <c r="AC47" s="757"/>
    </row>
    <row r="48" spans="1:29" ht="15.75" thickBot="1">
      <c r="A48" s="486" t="s">
        <v>2656</v>
      </c>
      <c r="B48" s="487"/>
      <c r="C48" s="1409">
        <f>R49</f>
        <v>50173</v>
      </c>
      <c r="D48" s="1410"/>
      <c r="E48" s="1411">
        <f>R48</f>
        <v>50500</v>
      </c>
      <c r="F48" s="1411"/>
      <c r="G48" s="1409">
        <f>T48</f>
        <v>51584</v>
      </c>
      <c r="H48" s="1410"/>
      <c r="I48" s="1411">
        <f>V48</f>
        <v>48434</v>
      </c>
      <c r="J48" s="1410"/>
      <c r="K48" s="782"/>
      <c r="L48" s="1139"/>
      <c r="M48" s="1140"/>
      <c r="N48" s="1127"/>
      <c r="O48" s="1140"/>
      <c r="P48" s="3265" t="str">
        <f>A48</f>
        <v>比较价值（元/平方米）</v>
      </c>
      <c r="Q48" s="3265"/>
      <c r="R48" s="3266">
        <f>IF(F1="售价",ROUND(PRODUCT(R47,AA7:AA46),0),ROUND(PRODUCT(R47,AA7:AA46),1))</f>
        <v>50500</v>
      </c>
      <c r="S48" s="3266"/>
      <c r="T48" s="3266">
        <f>IF(F1="售价",ROUND(PRODUCT(T47,AB7:AB46),0),ROUND(PRODUCT(T47,AB7:AB46),1))</f>
        <v>51584</v>
      </c>
      <c r="U48" s="3266"/>
      <c r="V48" s="3266">
        <f>IF(F1="售价",ROUND(PRODUCT(V47,AC7:AC46),0),ROUND(PRODUCT(V47,AC7:AC46),1))</f>
        <v>48434</v>
      </c>
      <c r="W48" s="3266"/>
      <c r="X48" s="757"/>
      <c r="Y48" s="757"/>
      <c r="Z48" s="757"/>
      <c r="AA48" s="757"/>
      <c r="AB48" s="757"/>
      <c r="AC48" s="757"/>
    </row>
    <row r="49" spans="1:29" ht="15.75" thickBot="1">
      <c r="A49" s="492" t="s">
        <v>2657</v>
      </c>
      <c r="B49" s="493"/>
      <c r="C49" s="1413">
        <f>R49</f>
        <v>50173</v>
      </c>
      <c r="D49" s="1413"/>
      <c r="E49" s="1413"/>
      <c r="F49" s="1413"/>
      <c r="G49" s="1413"/>
      <c r="H49" s="1413"/>
      <c r="I49" s="1413"/>
      <c r="J49" s="1413"/>
      <c r="K49" s="783"/>
      <c r="L49" s="1139"/>
      <c r="M49" s="1140"/>
      <c r="N49" s="1127"/>
      <c r="O49" s="1140"/>
      <c r="P49" s="3317" t="str">
        <f>A49</f>
        <v>估价对象XX用房的比较价值（楼面单价，元/平方米）</v>
      </c>
      <c r="Q49" s="3318"/>
      <c r="R49" s="3319">
        <f>IF(F1="售价",ROUND(AVERAGE(R48:V48),0),ROUND(AVERAGE(R48:V48),1))</f>
        <v>50173</v>
      </c>
      <c r="S49" s="3319"/>
      <c r="T49" s="3319"/>
      <c r="U49" s="3319"/>
      <c r="V49" s="3319"/>
      <c r="W49" s="3319"/>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3"/>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3"/>
      <c r="Q51" s="757"/>
      <c r="R51" s="757"/>
      <c r="S51" s="757"/>
      <c r="T51" s="757"/>
      <c r="U51" s="757"/>
      <c r="V51" s="757"/>
      <c r="W51" s="757"/>
      <c r="X51" s="757"/>
      <c r="Y51" s="757"/>
      <c r="Z51" s="757"/>
      <c r="AA51" s="757"/>
      <c r="AB51" s="757"/>
      <c r="AC51" s="757"/>
    </row>
    <row r="52" spans="1:29" ht="13.5" customHeight="1">
      <c r="A52" s="1140"/>
      <c r="B52" s="1140"/>
      <c r="C52" s="497" t="s">
        <v>2658</v>
      </c>
      <c r="D52" s="498"/>
      <c r="E52" s="499">
        <f>IF(E47&lt;E48,E48/E47-1,E47/E48-1)</f>
        <v>0</v>
      </c>
      <c r="F52" s="500" t="str">
        <f>IF(OR(E52&gt;=0.3,E52&lt;=-0.3),"超过30%","")</f>
        <v/>
      </c>
      <c r="G52" s="499">
        <f>IF(G47&lt;G48,G48/G47-1,G47/G48-1)</f>
        <v>0.10802276876812367</v>
      </c>
      <c r="H52" s="500" t="str">
        <f>IF(OR(G52&gt;=0.3,G52&lt;=-0.3),"超过30%","")</f>
        <v/>
      </c>
      <c r="I52" s="499">
        <f>IF(I47&lt;I48,I48/I47-1,I47/I48-1)</f>
        <v>3.5285130280381605E-2</v>
      </c>
      <c r="J52" s="500" t="str">
        <f>IF(OR(I52&gt;=0.3,I52&lt;=-0.3),"超过30%","")</f>
        <v/>
      </c>
      <c r="K52" s="1101"/>
      <c r="L52" s="1102"/>
      <c r="M52" s="1140"/>
      <c r="N52" s="1140"/>
      <c r="O52" s="1140"/>
      <c r="P52" s="673"/>
      <c r="Q52" s="757"/>
      <c r="R52" s="757"/>
      <c r="S52" s="757"/>
      <c r="T52" s="757"/>
      <c r="U52" s="757"/>
      <c r="V52" s="757"/>
      <c r="W52" s="757"/>
      <c r="X52" s="757"/>
      <c r="Y52" s="757"/>
      <c r="Z52" s="757"/>
      <c r="AA52" s="757"/>
      <c r="AB52" s="757"/>
      <c r="AC52" s="757"/>
    </row>
    <row r="53" spans="1:29" ht="13.5" customHeight="1">
      <c r="A53" s="1140"/>
      <c r="B53" s="1140"/>
      <c r="C53" s="497" t="s">
        <v>2659</v>
      </c>
      <c r="D53" s="501"/>
      <c r="E53" s="499">
        <f>IF(E48&lt;G48,G48/E48-1,E48/G48-1)</f>
        <v>2.1465346534653484E-2</v>
      </c>
      <c r="F53" s="500" t="str">
        <f>IF(OR(E53&gt;=0.2,E53&lt;=-0.2),"超过20%","")</f>
        <v/>
      </c>
      <c r="G53" s="499">
        <f>IF(G48&lt;I48,I48/G48-1,G48/I48-1)</f>
        <v>6.5036957509187809E-2</v>
      </c>
      <c r="H53" s="500" t="str">
        <f>IF(OR(G53&gt;=0.2,G53&lt;=-0.2),"超过20%","")</f>
        <v/>
      </c>
      <c r="I53" s="499">
        <f>IF(I48&lt;E48,E48/I48-1,I48/E48-1)</f>
        <v>4.265598546475613E-2</v>
      </c>
      <c r="J53" s="500" t="str">
        <f>IF(OR(I53&gt;=0.2,I53&lt;=-0.2),"超过20%","")</f>
        <v/>
      </c>
      <c r="K53" s="1101"/>
      <c r="L53" s="1102"/>
      <c r="M53" s="1140"/>
      <c r="N53" s="1140"/>
      <c r="O53" s="1140"/>
      <c r="P53" s="673"/>
      <c r="Q53" s="757"/>
      <c r="R53" s="757"/>
      <c r="S53" s="757"/>
      <c r="T53" s="757"/>
      <c r="U53" s="757"/>
      <c r="V53" s="757"/>
      <c r="W53" s="757"/>
      <c r="X53" s="757"/>
      <c r="Y53" s="757"/>
      <c r="Z53" s="757"/>
      <c r="AA53" s="757"/>
      <c r="AB53" s="757"/>
      <c r="AC53" s="757"/>
    </row>
    <row r="54" spans="1:29" s="502" customFormat="1" ht="13.5" customHeight="1">
      <c r="A54" s="1141"/>
      <c r="B54" s="1141"/>
      <c r="C54" s="497" t="s">
        <v>2660</v>
      </c>
      <c r="D54" s="501"/>
      <c r="E54" s="499">
        <f>IF(E47&lt;G47,G47/E47-1,E47/G47-1)</f>
        <v>8.4738481366126051E-2</v>
      </c>
      <c r="F54" s="500" t="str">
        <f>IF(OR(E54&gt;=0.3,E54&lt;=-0.3),"超过30%","")</f>
        <v/>
      </c>
      <c r="G54" s="499">
        <f>IF(G47&lt;I47,I47/G47-1,G47/I47-1)</f>
        <v>7.7070132101815014E-2</v>
      </c>
      <c r="H54" s="500" t="str">
        <f>IF(OR(G54&gt;=0.3,G54&lt;=-0.3),"超过30%","")</f>
        <v/>
      </c>
      <c r="I54" s="499">
        <f>IF(I47&lt;E47,E47/I47-1,I47/E47-1)</f>
        <v>7.1196378357896162E-3</v>
      </c>
      <c r="J54" s="500" t="str">
        <f>IF(OR(I54&gt;=0.3,I54&lt;=-0.3),"超过30%","")</f>
        <v/>
      </c>
      <c r="K54" s="1144"/>
      <c r="L54" s="1145"/>
      <c r="M54" s="1141"/>
      <c r="N54" s="1141"/>
      <c r="O54" s="1141"/>
      <c r="P54" s="2661"/>
      <c r="Q54" s="758"/>
      <c r="R54" s="758"/>
      <c r="S54" s="758"/>
      <c r="T54" s="758"/>
      <c r="U54" s="758"/>
      <c r="V54" s="758"/>
      <c r="W54" s="758"/>
      <c r="X54" s="758"/>
      <c r="Y54" s="758"/>
      <c r="Z54" s="758"/>
      <c r="AA54" s="758"/>
      <c r="AB54" s="758"/>
      <c r="AC54" s="758"/>
    </row>
    <row r="55" spans="1:29" s="502" customFormat="1">
      <c r="A55" s="1141"/>
      <c r="B55" s="1142"/>
      <c r="C55" s="1146"/>
      <c r="D55" s="1141"/>
      <c r="E55" s="1141"/>
      <c r="F55" s="1141"/>
      <c r="G55" s="1141"/>
      <c r="H55" s="1141"/>
      <c r="I55" s="1141"/>
      <c r="J55" s="1141"/>
      <c r="K55" s="1144"/>
      <c r="L55" s="1145"/>
      <c r="M55" s="1141"/>
      <c r="N55" s="1141"/>
      <c r="O55" s="1141"/>
      <c r="P55" s="2661"/>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3"/>
      <c r="Q56" s="757"/>
      <c r="R56" s="757"/>
      <c r="S56" s="757"/>
      <c r="T56" s="757"/>
      <c r="U56" s="757"/>
      <c r="V56" s="757"/>
      <c r="W56" s="757"/>
      <c r="X56" s="757"/>
      <c r="Y56" s="757"/>
      <c r="Z56" s="757"/>
      <c r="AA56" s="757"/>
      <c r="AB56" s="757"/>
      <c r="AC56" s="757"/>
    </row>
    <row r="57" spans="1:29" ht="21.75" thickBot="1">
      <c r="A57" s="761" t="s">
        <v>2661</v>
      </c>
      <c r="B57" s="757"/>
      <c r="C57" s="762"/>
      <c r="D57" s="762"/>
      <c r="E57" s="762"/>
      <c r="F57" s="763"/>
      <c r="G57" s="763"/>
      <c r="H57" s="762"/>
      <c r="I57" s="762"/>
      <c r="J57" s="762"/>
      <c r="K57" s="764"/>
      <c r="L57" s="1157"/>
      <c r="M57" s="1155"/>
      <c r="N57" s="1155"/>
      <c r="O57" s="1155"/>
      <c r="P57" s="2662"/>
      <c r="Q57" s="2663"/>
      <c r="R57" s="757"/>
      <c r="S57" s="757"/>
      <c r="T57" s="757"/>
      <c r="U57" s="757"/>
      <c r="V57" s="757"/>
      <c r="W57" s="757"/>
      <c r="X57" s="757"/>
      <c r="Y57" s="757"/>
      <c r="Z57" s="757"/>
      <c r="AA57" s="757"/>
      <c r="AB57" s="757"/>
      <c r="AC57" s="757"/>
    </row>
    <row r="58" spans="1:29" s="508" customFormat="1" ht="15">
      <c r="A58" s="505" t="s">
        <v>2536</v>
      </c>
      <c r="B58" s="506"/>
      <c r="C58" s="1570" t="str">
        <f>YEAR(C7)&amp;"-"&amp;MONTH(C7)</f>
        <v>2018-3</v>
      </c>
      <c r="D58" s="1571">
        <f>EDATE(C58,-1)</f>
        <v>43132</v>
      </c>
      <c r="E58" s="1571">
        <f t="shared" ref="E58:N58" si="16">EDATE(D58,-1)</f>
        <v>43101</v>
      </c>
      <c r="F58" s="1571">
        <f t="shared" si="16"/>
        <v>43070</v>
      </c>
      <c r="G58" s="1571">
        <f t="shared" si="16"/>
        <v>43040</v>
      </c>
      <c r="H58" s="1571">
        <f t="shared" si="16"/>
        <v>43009</v>
      </c>
      <c r="I58" s="1571">
        <f t="shared" si="16"/>
        <v>42979</v>
      </c>
      <c r="J58" s="1571">
        <f t="shared" si="16"/>
        <v>42948</v>
      </c>
      <c r="K58" s="1571">
        <f t="shared" si="16"/>
        <v>42917</v>
      </c>
      <c r="L58" s="1571">
        <f t="shared" si="16"/>
        <v>42887</v>
      </c>
      <c r="M58" s="1571">
        <f t="shared" si="16"/>
        <v>42856</v>
      </c>
      <c r="N58" s="1571">
        <f t="shared" si="16"/>
        <v>42826</v>
      </c>
      <c r="O58" s="1571">
        <f>EDATE(N58,-1)</f>
        <v>42795</v>
      </c>
      <c r="P58" s="1566"/>
    </row>
    <row r="59" spans="1:29" s="117" customFormat="1" ht="15">
      <c r="A59" s="509"/>
      <c r="B59" s="510"/>
      <c r="C59" s="1569">
        <v>100</v>
      </c>
      <c r="D59" s="512"/>
      <c r="E59" s="512"/>
      <c r="F59" s="512"/>
      <c r="G59" s="512"/>
      <c r="H59" s="512"/>
      <c r="I59" s="512"/>
      <c r="J59" s="512"/>
      <c r="K59" s="512"/>
      <c r="L59" s="512"/>
      <c r="M59" s="513"/>
      <c r="N59" s="512"/>
      <c r="O59" s="513"/>
      <c r="P59" s="2623"/>
    </row>
    <row r="60" spans="1:29" s="117" customFormat="1" ht="15.75" thickBot="1">
      <c r="A60" s="515" t="s">
        <v>2573</v>
      </c>
      <c r="B60" s="516"/>
      <c r="C60" s="517"/>
      <c r="D60" s="518"/>
      <c r="E60" s="518"/>
      <c r="F60" s="518"/>
      <c r="G60" s="518"/>
      <c r="H60" s="518"/>
      <c r="I60" s="518"/>
      <c r="J60" s="518"/>
      <c r="K60" s="518"/>
      <c r="L60" s="518"/>
      <c r="M60" s="519"/>
      <c r="N60" s="518"/>
      <c r="O60" s="519"/>
      <c r="P60" s="2623"/>
      <c r="Q60" s="504"/>
    </row>
    <row r="61" spans="1:29" s="117" customFormat="1" ht="15">
      <c r="A61" s="521" t="s">
        <v>2538</v>
      </c>
      <c r="B61" s="510"/>
      <c r="C61" s="522" t="s">
        <v>2640</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2576</v>
      </c>
      <c r="B63" s="528" t="s">
        <v>2542</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8.5" thickTop="1">
      <c r="A65" s="534"/>
      <c r="B65" s="538" t="s">
        <v>2545</v>
      </c>
      <c r="C65" s="539" t="s">
        <v>2577</v>
      </c>
      <c r="D65" s="539" t="s">
        <v>2578</v>
      </c>
      <c r="E65" s="539" t="s">
        <v>2579</v>
      </c>
      <c r="F65" s="539" t="s">
        <v>2580</v>
      </c>
      <c r="G65" s="539" t="s">
        <v>2581</v>
      </c>
      <c r="H65" s="539" t="s">
        <v>2582</v>
      </c>
      <c r="I65" s="539" t="s">
        <v>2583</v>
      </c>
      <c r="J65" s="539"/>
      <c r="K65" s="540"/>
      <c r="L65" s="541"/>
      <c r="M65" s="542"/>
      <c r="N65" s="1148"/>
      <c r="O65" s="1148"/>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9"/>
      <c r="O66" s="1149"/>
      <c r="P66" s="2625"/>
      <c r="Q66" s="504"/>
    </row>
    <row r="67" spans="1:17" ht="15.75" thickTop="1">
      <c r="A67" s="534"/>
      <c r="B67" s="546" t="s">
        <v>2546</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5"/>
      <c r="Q67" s="504"/>
    </row>
    <row r="68" spans="1:17" ht="15">
      <c r="A68" s="534"/>
      <c r="B68" s="548"/>
      <c r="C68" s="549">
        <v>0</v>
      </c>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5"/>
      <c r="Q69" s="504"/>
    </row>
    <row r="70" spans="1:17" s="471" customFormat="1" ht="15.75" hidden="1" thickTop="1">
      <c r="A70" s="553"/>
      <c r="B70" s="538" t="str">
        <f>B12</f>
        <v>剩余年限</v>
      </c>
      <c r="C70" s="554"/>
      <c r="D70" s="554"/>
      <c r="E70" s="554"/>
      <c r="F70" s="554"/>
      <c r="G70" s="554"/>
      <c r="H70" s="555"/>
      <c r="I70" s="555"/>
      <c r="J70" s="555"/>
      <c r="K70" s="555"/>
      <c r="L70" s="556"/>
      <c r="M70" s="557"/>
      <c r="N70" s="1150"/>
      <c r="O70" s="1150"/>
      <c r="P70" s="2626"/>
      <c r="Q70" s="559"/>
    </row>
    <row r="71" spans="1:17" s="471" customFormat="1" ht="15.75" hidden="1" thickBot="1">
      <c r="A71" s="553"/>
      <c r="B71" s="543"/>
      <c r="C71" s="560"/>
      <c r="D71" s="536"/>
      <c r="E71" s="536"/>
      <c r="F71" s="536"/>
      <c r="G71" s="536"/>
      <c r="H71" s="536"/>
      <c r="I71" s="536"/>
      <c r="J71" s="536"/>
      <c r="K71" s="536"/>
      <c r="L71" s="536"/>
      <c r="M71" s="537"/>
      <c r="N71" s="1149"/>
      <c r="O71" s="1149"/>
      <c r="P71" s="2626"/>
      <c r="Q71" s="559"/>
    </row>
    <row r="72" spans="1:17" s="471" customFormat="1" ht="15.75" hidden="1" thickTop="1">
      <c r="A72" s="553"/>
      <c r="B72" s="538">
        <f>B13</f>
        <v>0</v>
      </c>
      <c r="C72" s="554"/>
      <c r="D72" s="554"/>
      <c r="E72" s="554"/>
      <c r="F72" s="554"/>
      <c r="G72" s="554"/>
      <c r="H72" s="555"/>
      <c r="I72" s="555"/>
      <c r="J72" s="555"/>
      <c r="K72" s="555"/>
      <c r="L72" s="556"/>
      <c r="M72" s="557"/>
      <c r="N72" s="1150"/>
      <c r="O72" s="1150"/>
      <c r="P72" s="2627"/>
      <c r="Q72" s="561"/>
    </row>
    <row r="73" spans="1:17" s="471" customFormat="1" ht="15.75" hidden="1" thickBot="1">
      <c r="A73" s="553"/>
      <c r="B73" s="543"/>
      <c r="C73" s="560"/>
      <c r="D73" s="536"/>
      <c r="E73" s="536"/>
      <c r="F73" s="536"/>
      <c r="G73" s="560"/>
      <c r="H73" s="562"/>
      <c r="I73" s="562"/>
      <c r="J73" s="562"/>
      <c r="K73" s="562"/>
      <c r="L73" s="562"/>
      <c r="M73" s="563"/>
      <c r="N73" s="1150"/>
      <c r="O73" s="1150"/>
      <c r="P73" s="2626"/>
      <c r="Q73" s="559"/>
    </row>
    <row r="74" spans="1:17" s="471" customFormat="1" ht="15.75" hidden="1" thickTop="1">
      <c r="A74" s="553"/>
      <c r="B74" s="546">
        <f>B14</f>
        <v>0</v>
      </c>
      <c r="C74" s="554"/>
      <c r="D74" s="554"/>
      <c r="E74" s="554"/>
      <c r="F74" s="554"/>
      <c r="G74" s="523"/>
      <c r="H74" s="564"/>
      <c r="I74" s="564"/>
      <c r="J74" s="564"/>
      <c r="K74" s="564"/>
      <c r="L74" s="565"/>
      <c r="M74" s="566"/>
      <c r="N74" s="1150"/>
      <c r="O74" s="1150"/>
      <c r="P74" s="2628"/>
      <c r="Q74" s="559"/>
    </row>
    <row r="75" spans="1:17" s="471" customFormat="1" ht="15.75" hidden="1" thickBot="1">
      <c r="A75" s="568"/>
      <c r="B75" s="569"/>
      <c r="C75" s="570"/>
      <c r="D75" s="570"/>
      <c r="E75" s="570"/>
      <c r="F75" s="570"/>
      <c r="G75" s="570"/>
      <c r="H75" s="571"/>
      <c r="I75" s="571"/>
      <c r="J75" s="571"/>
      <c r="K75" s="571"/>
      <c r="L75" s="571"/>
      <c r="M75" s="572"/>
      <c r="N75" s="1150"/>
      <c r="O75" s="1150"/>
      <c r="P75" s="2626"/>
      <c r="Q75" s="559"/>
    </row>
    <row r="76" spans="1:17" ht="15" thickTop="1">
      <c r="A76" s="527" t="s">
        <v>2547</v>
      </c>
      <c r="B76" s="528" t="s">
        <v>2584</v>
      </c>
      <c r="C76" s="573" t="s">
        <v>2585</v>
      </c>
      <c r="D76" s="573" t="s">
        <v>2586</v>
      </c>
      <c r="E76" s="573" t="s">
        <v>2587</v>
      </c>
      <c r="F76" s="573" t="s">
        <v>2588</v>
      </c>
      <c r="G76" s="573" t="s">
        <v>2589</v>
      </c>
      <c r="H76" s="529"/>
      <c r="I76" s="529"/>
      <c r="J76" s="529"/>
      <c r="K76" s="574"/>
      <c r="L76" s="575"/>
      <c r="M76" s="576"/>
      <c r="N76" s="1148"/>
      <c r="O76" s="1148"/>
      <c r="P76" s="2629"/>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49"/>
      <c r="O77" s="1149"/>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48"/>
      <c r="O78" s="1148"/>
      <c r="P78" s="2625"/>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49"/>
      <c r="O79" s="1149"/>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48"/>
      <c r="O80" s="1148"/>
      <c r="P80" s="2625"/>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49"/>
      <c r="O81" s="1149"/>
      <c r="P81" s="2625"/>
      <c r="Q81" s="504"/>
    </row>
    <row r="82" spans="1:17" ht="15.75" thickTop="1">
      <c r="A82" s="534"/>
      <c r="B82" s="546" t="s">
        <v>2643</v>
      </c>
      <c r="C82" s="658" t="s">
        <v>2662</v>
      </c>
      <c r="D82" s="658" t="s">
        <v>2663</v>
      </c>
      <c r="E82" s="658" t="s">
        <v>2664</v>
      </c>
      <c r="F82" s="658" t="s">
        <v>2665</v>
      </c>
      <c r="G82" s="658" t="s">
        <v>2666</v>
      </c>
      <c r="H82" s="539"/>
      <c r="I82" s="539"/>
      <c r="J82" s="539"/>
      <c r="K82" s="539"/>
      <c r="L82" s="539"/>
      <c r="M82" s="1378"/>
      <c r="N82" s="1149"/>
      <c r="O82" s="1149"/>
      <c r="P82" s="2625"/>
      <c r="Q82" s="504"/>
    </row>
    <row r="83" spans="1:17" ht="15.75" thickBot="1">
      <c r="A83" s="534"/>
      <c r="B83" s="546"/>
      <c r="C83" s="544">
        <v>100</v>
      </c>
      <c r="D83" s="544">
        <f>C83-$K21</f>
        <v>98</v>
      </c>
      <c r="E83" s="544">
        <f t="shared" ref="E83:G83" si="19">D83-$K21</f>
        <v>96</v>
      </c>
      <c r="F83" s="544">
        <f t="shared" si="19"/>
        <v>94</v>
      </c>
      <c r="G83" s="544">
        <f t="shared" si="19"/>
        <v>92</v>
      </c>
      <c r="H83" s="658"/>
      <c r="I83" s="658"/>
      <c r="J83" s="658"/>
      <c r="K83" s="658"/>
      <c r="L83" s="658"/>
      <c r="M83" s="450"/>
      <c r="N83" s="1149"/>
      <c r="O83" s="1149"/>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48"/>
      <c r="O84" s="1148"/>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9"/>
      <c r="O85" s="1149"/>
      <c r="P85" s="2625"/>
      <c r="Q85" s="504"/>
    </row>
    <row r="86" spans="1:17" s="117" customFormat="1" ht="15.75" thickTop="1">
      <c r="A86" s="579"/>
      <c r="B86" s="538" t="s">
        <v>2667</v>
      </c>
      <c r="C86" s="2950" t="s">
        <v>3672</v>
      </c>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49"/>
      <c r="O87" s="1149"/>
      <c r="P87" s="2625"/>
      <c r="Q87" s="504"/>
    </row>
    <row r="88" spans="1:17" s="117" customFormat="1" ht="15.75" thickTop="1">
      <c r="A88" s="579"/>
      <c r="B88" s="538" t="str">
        <f>B26</f>
        <v>平面位置/可视性</v>
      </c>
      <c r="C88" s="2950" t="s">
        <v>3659</v>
      </c>
      <c r="D88" s="2950" t="s">
        <v>3660</v>
      </c>
      <c r="E88" s="2950" t="s">
        <v>3661</v>
      </c>
      <c r="F88" s="2630"/>
      <c r="G88" s="554"/>
      <c r="H88" s="554"/>
      <c r="I88" s="554"/>
      <c r="J88" s="554"/>
      <c r="K88" s="554"/>
      <c r="L88" s="554"/>
      <c r="M88" s="581"/>
      <c r="N88" s="1147"/>
      <c r="O88" s="1147"/>
      <c r="P88" s="2625"/>
      <c r="Q88" s="504"/>
    </row>
    <row r="89" spans="1:17" s="117" customFormat="1" ht="15.75" thickBot="1">
      <c r="A89" s="579"/>
      <c r="B89" s="543"/>
      <c r="C89" s="560">
        <v>100</v>
      </c>
      <c r="D89" s="536">
        <v>97</v>
      </c>
      <c r="E89" s="536">
        <v>94</v>
      </c>
      <c r="F89" s="536"/>
      <c r="G89" s="536"/>
      <c r="H89" s="536"/>
      <c r="I89" s="536"/>
      <c r="J89" s="536"/>
      <c r="K89" s="536"/>
      <c r="L89" s="536"/>
      <c r="M89" s="536"/>
      <c r="N89" s="1149"/>
      <c r="O89" s="1149"/>
      <c r="P89" s="2625"/>
      <c r="Q89" s="504"/>
    </row>
    <row r="90" spans="1:17" s="471" customFormat="1" ht="15.75" thickTop="1">
      <c r="A90" s="553"/>
      <c r="B90" s="538" t="str">
        <f>B27</f>
        <v>人流量</v>
      </c>
      <c r="C90" s="2950" t="s">
        <v>3667</v>
      </c>
      <c r="D90" s="2950" t="s">
        <v>3660</v>
      </c>
      <c r="E90" s="2950" t="s">
        <v>3668</v>
      </c>
      <c r="F90" s="554"/>
      <c r="G90" s="554"/>
      <c r="H90" s="555"/>
      <c r="I90" s="555"/>
      <c r="J90" s="555"/>
      <c r="K90" s="555"/>
      <c r="L90" s="556"/>
      <c r="M90" s="557"/>
      <c r="N90" s="1150"/>
      <c r="O90" s="1150"/>
      <c r="P90" s="2626"/>
      <c r="Q90" s="559"/>
    </row>
    <row r="91" spans="1:17" s="471" customFormat="1" ht="15.75" thickBot="1">
      <c r="A91" s="553"/>
      <c r="B91" s="543"/>
      <c r="C91" s="582">
        <v>100</v>
      </c>
      <c r="D91" s="544">
        <f>C91-$K27</f>
        <v>97</v>
      </c>
      <c r="E91" s="544">
        <f t="shared" ref="E91:M91" si="21">D91-$K27</f>
        <v>94</v>
      </c>
      <c r="F91" s="544">
        <f t="shared" si="21"/>
        <v>91</v>
      </c>
      <c r="G91" s="544">
        <f t="shared" si="21"/>
        <v>88</v>
      </c>
      <c r="H91" s="544">
        <f t="shared" si="21"/>
        <v>85</v>
      </c>
      <c r="I91" s="544">
        <f t="shared" si="21"/>
        <v>82</v>
      </c>
      <c r="J91" s="544">
        <f t="shared" si="21"/>
        <v>79</v>
      </c>
      <c r="K91" s="544">
        <f t="shared" si="21"/>
        <v>76</v>
      </c>
      <c r="L91" s="544">
        <f t="shared" si="21"/>
        <v>73</v>
      </c>
      <c r="M91" s="544">
        <f t="shared" si="21"/>
        <v>70</v>
      </c>
      <c r="N91" s="1150"/>
      <c r="O91" s="1150"/>
      <c r="P91" s="2626"/>
      <c r="Q91" s="559"/>
    </row>
    <row r="92" spans="1:17" ht="15.75" thickTop="1">
      <c r="A92" s="534"/>
      <c r="B92" s="538" t="str">
        <f>B28</f>
        <v>楼层</v>
      </c>
      <c r="C92" s="554">
        <v>1</v>
      </c>
      <c r="D92" s="554">
        <v>2</v>
      </c>
      <c r="E92" s="2955" t="s">
        <v>3114</v>
      </c>
      <c r="F92" s="554"/>
      <c r="G92" s="554"/>
      <c r="H92" s="554"/>
      <c r="I92" s="554"/>
      <c r="J92" s="554"/>
      <c r="K92" s="554"/>
      <c r="L92" s="580"/>
      <c r="M92" s="581"/>
      <c r="N92" s="1148"/>
      <c r="O92" s="1148"/>
      <c r="P92" s="2625"/>
      <c r="Q92" s="504"/>
    </row>
    <row r="93" spans="1:17" ht="15.75" thickBot="1">
      <c r="A93" s="534"/>
      <c r="B93" s="543"/>
      <c r="C93" s="536">
        <v>100</v>
      </c>
      <c r="D93" s="536">
        <v>70</v>
      </c>
      <c r="E93" s="536">
        <f>(C93+D93)/2</f>
        <v>85</v>
      </c>
      <c r="F93" s="536"/>
      <c r="G93" s="536"/>
      <c r="H93" s="536"/>
      <c r="I93" s="536"/>
      <c r="J93" s="536"/>
      <c r="K93" s="536"/>
      <c r="L93" s="536"/>
      <c r="M93" s="537"/>
      <c r="N93" s="1149"/>
      <c r="O93" s="1149"/>
      <c r="P93" s="2625"/>
      <c r="Q93" s="504"/>
    </row>
    <row r="94" spans="1:17" ht="15.75" hidden="1" thickTop="1">
      <c r="A94" s="534"/>
      <c r="B94" s="538">
        <f>B29</f>
        <v>0</v>
      </c>
      <c r="C94" s="554"/>
      <c r="D94" s="554"/>
      <c r="E94" s="554"/>
      <c r="F94" s="554"/>
      <c r="G94" s="583"/>
      <c r="H94" s="583"/>
      <c r="I94" s="583"/>
      <c r="J94" s="583"/>
      <c r="K94" s="584"/>
      <c r="L94" s="585"/>
      <c r="M94" s="586"/>
      <c r="N94" s="1148"/>
      <c r="O94" s="1148"/>
      <c r="P94" s="2625"/>
      <c r="Q94" s="504"/>
    </row>
    <row r="95" spans="1:17" ht="15.75" hidden="1" thickBot="1">
      <c r="A95" s="534"/>
      <c r="B95" s="543"/>
      <c r="C95" s="560"/>
      <c r="D95" s="536"/>
      <c r="E95" s="536"/>
      <c r="F95" s="536"/>
      <c r="G95" s="536"/>
      <c r="H95" s="536"/>
      <c r="I95" s="536"/>
      <c r="J95" s="536"/>
      <c r="K95" s="536"/>
      <c r="L95" s="536"/>
      <c r="M95" s="537"/>
      <c r="N95" s="1149"/>
      <c r="O95" s="1149"/>
      <c r="P95" s="2625"/>
      <c r="Q95" s="504"/>
    </row>
    <row r="96" spans="1:17" ht="15.75" hidden="1" thickTop="1">
      <c r="A96" s="534"/>
      <c r="B96" s="538">
        <f>B30</f>
        <v>0</v>
      </c>
      <c r="C96" s="554"/>
      <c r="D96" s="554"/>
      <c r="E96" s="554"/>
      <c r="F96" s="554"/>
      <c r="G96" s="583"/>
      <c r="H96" s="583"/>
      <c r="I96" s="583"/>
      <c r="J96" s="583"/>
      <c r="K96" s="584"/>
      <c r="L96" s="585"/>
      <c r="M96" s="586"/>
      <c r="N96" s="1148"/>
      <c r="O96" s="1148"/>
      <c r="P96" s="2625"/>
      <c r="Q96" s="504"/>
    </row>
    <row r="97" spans="1:17" ht="15.75" hidden="1" thickBot="1">
      <c r="A97" s="534"/>
      <c r="B97" s="543"/>
      <c r="C97" s="560"/>
      <c r="D97" s="536"/>
      <c r="E97" s="536"/>
      <c r="F97" s="536"/>
      <c r="G97" s="536"/>
      <c r="H97" s="536"/>
      <c r="I97" s="536"/>
      <c r="J97" s="536"/>
      <c r="K97" s="536"/>
      <c r="L97" s="536"/>
      <c r="M97" s="537"/>
      <c r="N97" s="1149"/>
      <c r="O97" s="1149"/>
      <c r="P97" s="2625"/>
      <c r="Q97" s="504"/>
    </row>
    <row r="98" spans="1:17" ht="15.75" hidden="1" thickTop="1">
      <c r="A98" s="534"/>
      <c r="B98" s="546">
        <f>B31</f>
        <v>0</v>
      </c>
      <c r="C98" s="554"/>
      <c r="D98" s="554"/>
      <c r="E98" s="554"/>
      <c r="F98" s="554"/>
      <c r="G98" s="587"/>
      <c r="H98" s="587"/>
      <c r="I98" s="587"/>
      <c r="J98" s="587"/>
      <c r="K98" s="588"/>
      <c r="L98" s="589"/>
      <c r="M98" s="590"/>
      <c r="N98" s="1148"/>
      <c r="O98" s="1148"/>
      <c r="P98" s="2625"/>
      <c r="Q98" s="504"/>
    </row>
    <row r="99" spans="1:17" ht="15.75" hidden="1" thickBot="1">
      <c r="A99" s="2631"/>
      <c r="B99" s="569"/>
      <c r="C99" s="570"/>
      <c r="D99" s="570"/>
      <c r="E99" s="570"/>
      <c r="F99" s="570"/>
      <c r="G99" s="591"/>
      <c r="H99" s="591"/>
      <c r="I99" s="591"/>
      <c r="J99" s="591"/>
      <c r="K99" s="591"/>
      <c r="L99" s="591"/>
      <c r="M99" s="592"/>
      <c r="N99" s="1149"/>
      <c r="O99" s="1149"/>
      <c r="P99" s="2625"/>
      <c r="Q99" s="504"/>
    </row>
    <row r="100" spans="1:17" ht="27.75" thickTop="1">
      <c r="A100" s="527" t="s">
        <v>2551</v>
      </c>
      <c r="B100" s="528" t="s">
        <v>2668</v>
      </c>
      <c r="C100" s="2996" t="s">
        <v>3235</v>
      </c>
      <c r="D100" s="2996" t="s">
        <v>3237</v>
      </c>
      <c r="E100" s="2996" t="s">
        <v>3238</v>
      </c>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49"/>
      <c r="O101" s="1149"/>
      <c r="P101" s="2625"/>
      <c r="Q101" s="504"/>
    </row>
    <row r="102" spans="1:17" ht="15.75" thickTop="1">
      <c r="A102" s="534"/>
      <c r="B102" s="538" t="s">
        <v>2601</v>
      </c>
      <c r="C102" s="578" t="str">
        <f>C103&amp;"(含)"&amp;"-"&amp;D103</f>
        <v>0(含)-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0" t="str">
        <f>M103&amp;"(含)"&amp;"-"&amp;P103</f>
        <v>(含)-</v>
      </c>
      <c r="N102" s="1147"/>
      <c r="O102" s="1147"/>
      <c r="P102" s="2625"/>
      <c r="Q102" s="504"/>
    </row>
    <row r="103" spans="1:17" s="471" customFormat="1">
      <c r="A103" s="593"/>
      <c r="B103" s="594"/>
      <c r="C103" s="595">
        <v>0</v>
      </c>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7"/>
      <c r="N104" s="1149"/>
      <c r="O104" s="1149"/>
      <c r="P104" s="2626"/>
      <c r="Q104" s="559"/>
    </row>
    <row r="105" spans="1:17" ht="15" thickTop="1">
      <c r="A105" s="599"/>
      <c r="B105" s="538" t="s">
        <v>2602</v>
      </c>
      <c r="C105" s="2950" t="s">
        <v>3230</v>
      </c>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49"/>
      <c r="O106" s="1149"/>
      <c r="P106" s="2625"/>
      <c r="Q106" s="504"/>
    </row>
    <row r="107" spans="1:17" ht="15" thickTop="1">
      <c r="A107" s="599"/>
      <c r="B107" s="538" t="s">
        <v>2604</v>
      </c>
      <c r="C107" s="2950" t="s">
        <v>3229</v>
      </c>
      <c r="D107" s="554"/>
      <c r="E107" s="554"/>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49"/>
      <c r="O108" s="1149"/>
      <c r="P108" s="2625"/>
      <c r="Q108" s="504"/>
    </row>
    <row r="109" spans="1:17" ht="29.2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1"/>
      <c r="J110" s="621"/>
      <c r="K110" s="622"/>
      <c r="L110" s="623"/>
      <c r="M110" s="624"/>
      <c r="N110" s="1148"/>
      <c r="O110" s="1148"/>
      <c r="P110" s="2625"/>
      <c r="Q110" s="504"/>
    </row>
    <row r="111" spans="1:17" ht="15.75" thickBot="1">
      <c r="A111" s="534"/>
      <c r="B111" s="543"/>
      <c r="C111" s="582">
        <v>100</v>
      </c>
      <c r="D111" s="544">
        <f>C111+$K36</f>
        <v>105</v>
      </c>
      <c r="E111" s="544">
        <f t="shared" ref="E111:M111" si="26">D111+$K36</f>
        <v>110</v>
      </c>
      <c r="F111" s="544">
        <f t="shared" si="26"/>
        <v>115</v>
      </c>
      <c r="G111" s="544">
        <f t="shared" si="26"/>
        <v>120</v>
      </c>
      <c r="H111" s="544">
        <f t="shared" si="26"/>
        <v>125</v>
      </c>
      <c r="I111" s="544">
        <f t="shared" si="26"/>
        <v>130</v>
      </c>
      <c r="J111" s="544">
        <f t="shared" si="26"/>
        <v>135</v>
      </c>
      <c r="K111" s="544">
        <f t="shared" si="26"/>
        <v>140</v>
      </c>
      <c r="L111" s="544">
        <f t="shared" si="26"/>
        <v>145</v>
      </c>
      <c r="M111" s="544">
        <f t="shared" si="26"/>
        <v>150</v>
      </c>
      <c r="N111" s="1149"/>
      <c r="O111" s="1149"/>
      <c r="P111" s="2625"/>
      <c r="Q111" s="504"/>
    </row>
    <row r="112" spans="1:17" s="471" customFormat="1" ht="15" thickTop="1">
      <c r="A112" s="593"/>
      <c r="B112" s="538" t="s">
        <v>2606</v>
      </c>
      <c r="C112" s="2950" t="s">
        <v>3231</v>
      </c>
      <c r="D112" s="554"/>
      <c r="E112" s="554"/>
      <c r="F112" s="554"/>
      <c r="G112" s="554"/>
      <c r="H112" s="583"/>
      <c r="I112" s="583"/>
      <c r="J112" s="583"/>
      <c r="K112" s="584"/>
      <c r="L112" s="585"/>
      <c r="M112" s="586"/>
      <c r="N112" s="1150"/>
      <c r="O112" s="1150"/>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0"/>
      <c r="O113" s="1150"/>
      <c r="P113" s="2626"/>
      <c r="Q113" s="559"/>
    </row>
    <row r="114" spans="1:17" ht="15" thickTop="1">
      <c r="A114" s="599"/>
      <c r="B114" s="538" t="s">
        <v>2669</v>
      </c>
      <c r="C114" s="2950" t="s">
        <v>3232</v>
      </c>
      <c r="D114" s="2950" t="s">
        <v>3233</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49"/>
      <c r="O115" s="1149"/>
      <c r="P115" s="2625"/>
      <c r="Q115" s="504"/>
    </row>
    <row r="116" spans="1:17" ht="15" thickTop="1">
      <c r="A116" s="599"/>
      <c r="B116" s="538" t="s">
        <v>2670</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49"/>
      <c r="O117" s="1149"/>
      <c r="P117" s="2625"/>
      <c r="Q117" s="504"/>
    </row>
    <row r="118" spans="1:17" ht="15" thickTop="1">
      <c r="A118" s="599"/>
      <c r="B118" s="538" t="s">
        <v>2671</v>
      </c>
      <c r="C118" s="625"/>
      <c r="D118" s="625"/>
      <c r="E118" s="625"/>
      <c r="F118" s="625"/>
      <c r="G118" s="625"/>
      <c r="H118" s="555"/>
      <c r="I118" s="555"/>
      <c r="J118" s="555"/>
      <c r="K118" s="555"/>
      <c r="L118" s="556"/>
      <c r="M118" s="557"/>
      <c r="N118" s="1148"/>
      <c r="O118" s="1148"/>
      <c r="P118" s="2625"/>
      <c r="Q118" s="504"/>
    </row>
    <row r="119" spans="1:17" ht="15.75" thickBot="1">
      <c r="A119" s="534"/>
      <c r="B119" s="543"/>
      <c r="C119" s="560"/>
      <c r="D119" s="536"/>
      <c r="E119" s="536"/>
      <c r="F119" s="536"/>
      <c r="G119" s="536"/>
      <c r="H119" s="536"/>
      <c r="I119" s="536"/>
      <c r="J119" s="536"/>
      <c r="K119" s="536"/>
      <c r="L119" s="536"/>
      <c r="M119" s="537"/>
      <c r="N119" s="1149"/>
      <c r="O119" s="1149"/>
      <c r="P119" s="2625"/>
      <c r="Q119" s="504"/>
    </row>
    <row r="120" spans="1:17" s="471" customFormat="1" ht="15" thickTop="1">
      <c r="A120" s="593"/>
      <c r="B120" s="538" t="s">
        <v>2672</v>
      </c>
      <c r="C120" s="583"/>
      <c r="D120" s="583"/>
      <c r="E120" s="583"/>
      <c r="F120" s="583"/>
      <c r="G120" s="555"/>
      <c r="H120" s="555"/>
      <c r="I120" s="555"/>
      <c r="J120" s="555"/>
      <c r="K120" s="555"/>
      <c r="L120" s="556"/>
      <c r="M120" s="557"/>
      <c r="N120" s="1150"/>
      <c r="O120" s="1150"/>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0"/>
      <c r="O121" s="1150"/>
      <c r="P121" s="2626"/>
      <c r="Q121" s="559"/>
    </row>
    <row r="122" spans="1:17" ht="15" thickTop="1">
      <c r="A122" s="599"/>
      <c r="B122" s="538" t="s">
        <v>2608</v>
      </c>
      <c r="C122" s="2950" t="s">
        <v>3234</v>
      </c>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49"/>
      <c r="O123" s="1149"/>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48"/>
      <c r="O124" s="1148"/>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5"/>
      <c r="Q125" s="504"/>
    </row>
    <row r="126" spans="1:17" s="471" customFormat="1" ht="15" hidden="1" thickTop="1">
      <c r="A126" s="593"/>
      <c r="B126" s="538">
        <f>B44</f>
        <v>0</v>
      </c>
      <c r="C126" s="554"/>
      <c r="D126" s="554"/>
      <c r="E126" s="554"/>
      <c r="F126" s="554"/>
      <c r="G126" s="554"/>
      <c r="H126" s="555"/>
      <c r="I126" s="555"/>
      <c r="J126" s="555"/>
      <c r="K126" s="555"/>
      <c r="L126" s="556"/>
      <c r="M126" s="557"/>
      <c r="N126" s="1150"/>
      <c r="O126" s="1150"/>
      <c r="P126" s="2626"/>
      <c r="Q126" s="559"/>
    </row>
    <row r="127" spans="1:17" s="471" customFormat="1" ht="15.75" hidden="1" thickBot="1">
      <c r="A127" s="553"/>
      <c r="B127" s="543"/>
      <c r="C127" s="560"/>
      <c r="D127" s="536"/>
      <c r="E127" s="536"/>
      <c r="F127" s="536"/>
      <c r="G127" s="560"/>
      <c r="H127" s="562"/>
      <c r="I127" s="562"/>
      <c r="J127" s="562"/>
      <c r="K127" s="562"/>
      <c r="L127" s="562"/>
      <c r="M127" s="563"/>
      <c r="N127" s="1150"/>
      <c r="O127" s="1150"/>
      <c r="P127" s="2626"/>
      <c r="Q127" s="559"/>
    </row>
    <row r="128" spans="1:17" ht="15" hidden="1" thickTop="1">
      <c r="A128" s="599"/>
      <c r="B128" s="538">
        <f>B45</f>
        <v>0</v>
      </c>
      <c r="C128" s="554"/>
      <c r="D128" s="554"/>
      <c r="E128" s="554"/>
      <c r="F128" s="554"/>
      <c r="G128" s="583"/>
      <c r="H128" s="583"/>
      <c r="I128" s="583"/>
      <c r="J128" s="583"/>
      <c r="K128" s="584"/>
      <c r="L128" s="585"/>
      <c r="M128" s="586"/>
      <c r="N128" s="1148"/>
      <c r="O128" s="1148"/>
      <c r="P128" s="2625"/>
      <c r="Q128" s="504"/>
    </row>
    <row r="129" spans="1:17" ht="15.75" hidden="1" thickBot="1">
      <c r="A129" s="534"/>
      <c r="B129" s="543"/>
      <c r="C129" s="560"/>
      <c r="D129" s="536"/>
      <c r="E129" s="536"/>
      <c r="F129" s="536"/>
      <c r="G129" s="536"/>
      <c r="H129" s="536"/>
      <c r="I129" s="536"/>
      <c r="J129" s="536"/>
      <c r="K129" s="536"/>
      <c r="L129" s="536"/>
      <c r="M129" s="537"/>
      <c r="N129" s="1149"/>
      <c r="O129" s="1149"/>
      <c r="P129" s="2625"/>
      <c r="Q129" s="504"/>
    </row>
    <row r="130" spans="1:17" ht="15" hidden="1" thickTop="1">
      <c r="A130" s="599"/>
      <c r="B130" s="546">
        <f>B46</f>
        <v>0</v>
      </c>
      <c r="C130" s="554"/>
      <c r="D130" s="554"/>
      <c r="E130" s="554"/>
      <c r="F130" s="554"/>
      <c r="G130" s="587"/>
      <c r="H130" s="587"/>
      <c r="I130" s="587"/>
      <c r="J130" s="587"/>
      <c r="K130" s="523"/>
      <c r="L130" s="524"/>
      <c r="M130" s="590"/>
      <c r="N130" s="1148"/>
      <c r="O130" s="1148"/>
      <c r="P130" s="2625"/>
      <c r="Q130" s="504"/>
    </row>
    <row r="131" spans="1:17" ht="15.75" hidden="1" thickBot="1">
      <c r="A131" s="2631"/>
      <c r="B131" s="569"/>
      <c r="C131" s="570"/>
      <c r="D131" s="570"/>
      <c r="E131" s="570"/>
      <c r="F131" s="570"/>
      <c r="G131" s="591"/>
      <c r="H131" s="591"/>
      <c r="I131" s="591"/>
      <c r="J131" s="591"/>
      <c r="K131" s="591"/>
      <c r="L131" s="591"/>
      <c r="M131" s="592"/>
      <c r="N131" s="1149"/>
      <c r="O131" s="1149"/>
      <c r="P131" s="2625"/>
      <c r="Q131" s="504"/>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4"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K30" sqref="K30"/>
    </sheetView>
  </sheetViews>
  <sheetFormatPr defaultRowHeight="13.5"/>
  <sheetData/>
  <phoneticPr fontId="14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topLeftCell="A4" zoomScale="90" zoomScaleNormal="90" zoomScalePageLayoutView="90" workbookViewId="0">
      <selection activeCell="K29" sqref="K29"/>
    </sheetView>
  </sheetViews>
  <sheetFormatPr defaultColWidth="8.875" defaultRowHeight="14.25"/>
  <cols>
    <col min="1" max="1" width="9.125" style="403" customWidth="1"/>
    <col min="2" max="2" width="15.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625" style="11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2694</v>
      </c>
      <c r="B1" s="1615" t="s">
        <v>27</v>
      </c>
      <c r="C1" s="1616" t="s">
        <v>2518</v>
      </c>
      <c r="D1" s="1617" t="s">
        <v>3062</v>
      </c>
      <c r="E1" s="1618"/>
      <c r="F1" s="2579" t="s">
        <v>3055</v>
      </c>
      <c r="G1" s="1619" t="s">
        <v>2631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2315</v>
      </c>
      <c r="B2" s="1414">
        <f>IF(C2="——",IF(B37="元/平方米",ROUND(C39*D3/10000,0),ROUND(F3*C39/10000,0)),IF(B37="元/平方米",ROUND(C39*D3/10000,0),ROUND(F3*C39/10000,0))-D2)</f>
        <v>503</v>
      </c>
      <c r="C2" s="2581" t="s">
        <v>70</v>
      </c>
      <c r="D2" s="1120" t="e">
        <f ca="1">SUMIF(INDIRECT("'"&amp;F2&amp;"'"&amp;"!A:A"),"承租人权益价值",INDIRECT("'"&amp;F2&amp;"'"&amp;"!c:c"))</f>
        <v>#REF!</v>
      </c>
      <c r="E2" s="2582" t="s">
        <v>2316</v>
      </c>
      <c r="F2" s="2583"/>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8" customFormat="1" ht="28.5" customHeight="1" thickBot="1">
      <c r="A3" s="247" t="s">
        <v>2317</v>
      </c>
      <c r="B3" s="609">
        <f>IF(AND(C2="——",B37="元/平方米"),C39,ROUND(B2*10000/D3,0))</f>
        <v>5073</v>
      </c>
      <c r="C3" s="400" t="s">
        <v>2632</v>
      </c>
      <c r="D3" s="399">
        <f>SUMIF('数据-汇总表'!$C19:$C33,D1,'数据-汇总表'!$E19:$E33)</f>
        <v>991.5300000000002</v>
      </c>
      <c r="E3" s="400" t="s">
        <v>2695</v>
      </c>
      <c r="F3" s="399">
        <f>SUMIF('数据-取费表'!A5:A15,D1,'数据-取费表'!AH5:AH15)</f>
        <v>23</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401" t="s">
        <v>2633</v>
      </c>
      <c r="B4" s="402"/>
      <c r="C4" s="3282" t="s">
        <v>2634</v>
      </c>
      <c r="D4" s="3283"/>
      <c r="E4" s="3284" t="s">
        <v>2635</v>
      </c>
      <c r="F4" s="3285"/>
      <c r="G4" s="3282" t="s">
        <v>2636</v>
      </c>
      <c r="H4" s="3283"/>
      <c r="I4" s="3282" t="s">
        <v>2637</v>
      </c>
      <c r="J4" s="3283"/>
      <c r="K4" s="610" t="s">
        <v>2638</v>
      </c>
      <c r="L4" s="1126"/>
      <c r="M4" s="1127"/>
      <c r="N4" s="1127"/>
      <c r="O4" s="1127"/>
      <c r="P4" s="3323" t="s">
        <v>2639</v>
      </c>
      <c r="Q4" s="3324"/>
      <c r="R4" s="3327" t="s">
        <v>2635</v>
      </c>
      <c r="S4" s="3328"/>
      <c r="T4" s="3327" t="s">
        <v>2636</v>
      </c>
      <c r="U4" s="3328"/>
      <c r="V4" s="3299" t="s">
        <v>2637</v>
      </c>
      <c r="W4" s="3299"/>
      <c r="X4" s="1809"/>
      <c r="Y4" s="3327" t="s">
        <v>2639</v>
      </c>
      <c r="Z4" s="3328"/>
      <c r="AA4" s="3320" t="s">
        <v>2635</v>
      </c>
      <c r="AB4" s="3313" t="s">
        <v>2636</v>
      </c>
      <c r="AC4" s="3320" t="s">
        <v>2637</v>
      </c>
    </row>
    <row r="5" spans="1:29" ht="15">
      <c r="A5" s="404"/>
      <c r="B5" s="405"/>
      <c r="C5" s="3308" t="s">
        <v>2530</v>
      </c>
      <c r="D5" s="3303"/>
      <c r="E5" s="3315" t="s">
        <v>3244</v>
      </c>
      <c r="F5" s="3316"/>
      <c r="G5" s="3302" t="s">
        <v>3245</v>
      </c>
      <c r="H5" s="3303"/>
      <c r="I5" s="3302" t="s">
        <v>3245</v>
      </c>
      <c r="J5" s="3303"/>
      <c r="K5" s="610"/>
      <c r="L5" s="1126"/>
      <c r="M5" s="1127"/>
      <c r="N5" s="1127"/>
      <c r="O5" s="1127"/>
      <c r="P5" s="3325"/>
      <c r="Q5" s="3289"/>
      <c r="R5" s="3294"/>
      <c r="S5" s="3295"/>
      <c r="T5" s="3294"/>
      <c r="U5" s="3295"/>
      <c r="V5" s="3299"/>
      <c r="W5" s="3299"/>
      <c r="X5" s="1809"/>
      <c r="Y5" s="3294"/>
      <c r="Z5" s="3295"/>
      <c r="AA5" s="3313"/>
      <c r="AB5" s="3313"/>
      <c r="AC5" s="3313"/>
    </row>
    <row r="6" spans="1:29" ht="15.75" thickBot="1">
      <c r="A6" s="406"/>
      <c r="B6" s="407"/>
      <c r="C6" s="3309" t="s">
        <v>2534</v>
      </c>
      <c r="D6" s="3301"/>
      <c r="E6" s="3310" t="s">
        <v>3688</v>
      </c>
      <c r="F6" s="3311"/>
      <c r="G6" s="3300" t="s">
        <v>3688</v>
      </c>
      <c r="H6" s="3301"/>
      <c r="I6" s="3300" t="s">
        <v>3688</v>
      </c>
      <c r="J6" s="3301"/>
      <c r="K6" s="610" t="s">
        <v>2535</v>
      </c>
      <c r="L6" s="1126"/>
      <c r="M6" s="1127"/>
      <c r="N6" s="1127"/>
      <c r="O6" s="1127"/>
      <c r="P6" s="3326"/>
      <c r="Q6" s="3291"/>
      <c r="R6" s="3294"/>
      <c r="S6" s="3295"/>
      <c r="T6" s="3296"/>
      <c r="U6" s="3297"/>
      <c r="V6" s="3299"/>
      <c r="W6" s="3299"/>
      <c r="X6" s="1809"/>
      <c r="Y6" s="3296"/>
      <c r="Z6" s="3297"/>
      <c r="AA6" s="3314"/>
      <c r="AB6" s="3314"/>
      <c r="AC6" s="3314"/>
    </row>
    <row r="7" spans="1:29" s="117" customFormat="1" ht="15.75" thickBot="1">
      <c r="A7" s="408" t="s">
        <v>2536</v>
      </c>
      <c r="B7" s="409"/>
      <c r="C7" s="410">
        <f>'数据-取费表'!B2</f>
        <v>43185</v>
      </c>
      <c r="D7" s="411">
        <v>100</v>
      </c>
      <c r="E7" s="412">
        <v>43160</v>
      </c>
      <c r="F7" s="413">
        <f>SUMIF(48:48,YEAR(E7)&amp;"-"&amp;MONTH(E7),49:49)</f>
        <v>100</v>
      </c>
      <c r="G7" s="412">
        <f>E7</f>
        <v>43160</v>
      </c>
      <c r="H7" s="411">
        <f>SUMIF(48:48,YEAR(G7)&amp;"-"&amp;MONTH(G7),49:49)</f>
        <v>100</v>
      </c>
      <c r="I7" s="412">
        <f>E7</f>
        <v>43160</v>
      </c>
      <c r="J7" s="411">
        <f>SUMIF(48:48,YEAR(I7)&amp;"-"&amp;MONTH(I7),49:49)</f>
        <v>100</v>
      </c>
      <c r="K7" s="611"/>
      <c r="L7" s="1128"/>
      <c r="M7" s="1129"/>
      <c r="N7" s="1129"/>
      <c r="O7" s="1129"/>
      <c r="P7" s="3306" t="s">
        <v>2537</v>
      </c>
      <c r="Q7" s="3307"/>
      <c r="R7" s="768" t="s">
        <v>17</v>
      </c>
      <c r="S7" s="769">
        <f t="shared" ref="S7:S14" si="0">F7</f>
        <v>100</v>
      </c>
      <c r="T7" s="768" t="s">
        <v>17</v>
      </c>
      <c r="U7" s="769">
        <f t="shared" ref="U7:U14" si="1">H7</f>
        <v>100</v>
      </c>
      <c r="V7" s="768" t="s">
        <v>17</v>
      </c>
      <c r="W7" s="769">
        <f t="shared" ref="W7:W14" si="2">J7</f>
        <v>100</v>
      </c>
      <c r="X7" s="770"/>
      <c r="Y7" s="3306" t="s">
        <v>2537</v>
      </c>
      <c r="Z7" s="3305"/>
      <c r="AA7" s="771">
        <f>D7/F7</f>
        <v>1</v>
      </c>
      <c r="AB7" s="771">
        <f>D7/H7</f>
        <v>1</v>
      </c>
      <c r="AC7" s="771">
        <f>D7/J7</f>
        <v>1</v>
      </c>
    </row>
    <row r="8" spans="1:29" s="117" customFormat="1" ht="15.75" thickBot="1">
      <c r="A8" s="408" t="s">
        <v>2538</v>
      </c>
      <c r="B8" s="409"/>
      <c r="C8" s="414" t="s">
        <v>2640</v>
      </c>
      <c r="D8" s="411">
        <v>100</v>
      </c>
      <c r="E8" s="414" t="s">
        <v>3093</v>
      </c>
      <c r="F8" s="413">
        <f>SUMIF(51:51,E8,52:52)-SUMIF(51:51,C8,52:52)+100</f>
        <v>100</v>
      </c>
      <c r="G8" s="414" t="s">
        <v>3093</v>
      </c>
      <c r="H8" s="411">
        <f>SUMIF(51:51,G8,52:52)-SUMIF(51:51,C8,52:52)+100</f>
        <v>100</v>
      </c>
      <c r="I8" s="414" t="s">
        <v>3093</v>
      </c>
      <c r="J8" s="411">
        <f>SUMIF(51:51,I8,52:52)-SUMIF(51:51,C8,52:52)+100</f>
        <v>100</v>
      </c>
      <c r="K8" s="611"/>
      <c r="L8" s="1128"/>
      <c r="M8" s="1129"/>
      <c r="N8" s="1129"/>
      <c r="O8" s="1129"/>
      <c r="P8" s="3306" t="s">
        <v>2540</v>
      </c>
      <c r="Q8" s="3305"/>
      <c r="R8" s="768" t="s">
        <v>17</v>
      </c>
      <c r="S8" s="769">
        <f t="shared" si="0"/>
        <v>100</v>
      </c>
      <c r="T8" s="768" t="s">
        <v>17</v>
      </c>
      <c r="U8" s="769">
        <f t="shared" si="1"/>
        <v>100</v>
      </c>
      <c r="V8" s="768" t="s">
        <v>17</v>
      </c>
      <c r="W8" s="769">
        <f t="shared" si="2"/>
        <v>100</v>
      </c>
      <c r="X8" s="770"/>
      <c r="Y8" s="3306" t="s">
        <v>2540</v>
      </c>
      <c r="Z8" s="3305"/>
      <c r="AA8" s="771">
        <f t="shared" ref="AA8:AA36" si="3">D8/F8</f>
        <v>1</v>
      </c>
      <c r="AB8" s="771">
        <f t="shared" ref="AB8:AB36" si="4">D8/H8</f>
        <v>1</v>
      </c>
      <c r="AC8" s="771">
        <f t="shared" ref="AC8:AC36" si="5">D8/J8</f>
        <v>1</v>
      </c>
    </row>
    <row r="9" spans="1:29" s="117" customFormat="1">
      <c r="A9" s="68" t="s">
        <v>2541</v>
      </c>
      <c r="B9" s="638" t="s">
        <v>2542</v>
      </c>
      <c r="C9" s="2951" t="s">
        <v>3239</v>
      </c>
      <c r="D9" s="135">
        <v>100</v>
      </c>
      <c r="E9" s="419" t="s">
        <v>3053</v>
      </c>
      <c r="F9" s="135">
        <f>SUMIF(53:53,E9,54:54)-SUMIF(53:53,C9,54:54)+100</f>
        <v>100</v>
      </c>
      <c r="G9" s="419" t="s">
        <v>3053</v>
      </c>
      <c r="H9" s="135">
        <f>SUMIF(53:53,G9,54:54)-SUMIF(53:53,C9,54:54)+100</f>
        <v>100</v>
      </c>
      <c r="I9" s="419" t="s">
        <v>3053</v>
      </c>
      <c r="J9" s="135">
        <f>SUMIF(53:53,I9,54:54)-SUMIF(53:53,C9,54:54)+100</f>
        <v>100</v>
      </c>
      <c r="K9" s="611"/>
      <c r="L9" s="1128"/>
      <c r="M9" s="1129"/>
      <c r="N9" s="1129"/>
      <c r="O9" s="1129"/>
      <c r="P9" s="3265" t="s">
        <v>2543</v>
      </c>
      <c r="Q9" s="1791" t="str">
        <f t="shared" ref="Q9:Q14" si="6">B9</f>
        <v>用途</v>
      </c>
      <c r="R9" s="768" t="s">
        <v>17</v>
      </c>
      <c r="S9" s="769">
        <f t="shared" si="0"/>
        <v>100</v>
      </c>
      <c r="T9" s="768" t="s">
        <v>17</v>
      </c>
      <c r="U9" s="769">
        <f t="shared" si="1"/>
        <v>100</v>
      </c>
      <c r="V9" s="768" t="s">
        <v>17</v>
      </c>
      <c r="W9" s="769">
        <f t="shared" si="2"/>
        <v>100</v>
      </c>
      <c r="X9" s="770"/>
      <c r="Y9" s="3106" t="s">
        <v>2544</v>
      </c>
      <c r="Z9" s="55" t="str">
        <f t="shared" ref="Z9:Z14" si="7">Q9</f>
        <v>用途</v>
      </c>
      <c r="AA9" s="771">
        <f t="shared" si="3"/>
        <v>1</v>
      </c>
      <c r="AB9" s="771">
        <f t="shared" si="4"/>
        <v>1</v>
      </c>
      <c r="AC9" s="771">
        <f t="shared" si="5"/>
        <v>1</v>
      </c>
    </row>
    <row r="10" spans="1:29" s="427" customFormat="1" ht="27.75" thickBot="1">
      <c r="A10" s="639"/>
      <c r="B10" s="640" t="s">
        <v>2545</v>
      </c>
      <c r="C10" s="423" t="s">
        <v>3091</v>
      </c>
      <c r="D10" s="136">
        <v>100</v>
      </c>
      <c r="E10" s="423" t="s">
        <v>3098</v>
      </c>
      <c r="F10" s="136">
        <f>SUMIF(55:55,E10,56:56)-SUMIF(55:55,C10,56:56)+100</f>
        <v>99</v>
      </c>
      <c r="G10" s="423" t="s">
        <v>3098</v>
      </c>
      <c r="H10" s="136">
        <f>SUMIF(55:55,G10,56:56)-SUMIF(55:55,C10,56:56)+100</f>
        <v>99</v>
      </c>
      <c r="I10" s="423" t="s">
        <v>3098</v>
      </c>
      <c r="J10" s="136">
        <f>SUMIF(55:55,I10,56:56)-SUMIF(55:55,C10,56:56)+100</f>
        <v>99</v>
      </c>
      <c r="K10" s="612">
        <v>1</v>
      </c>
      <c r="L10" s="1131"/>
      <c r="M10" s="1132"/>
      <c r="N10" s="1132"/>
      <c r="O10" s="1132"/>
      <c r="P10" s="3265"/>
      <c r="Q10" s="1791" t="str">
        <f t="shared" si="6"/>
        <v>土地使用年限（年）</v>
      </c>
      <c r="R10" s="768" t="s">
        <v>17</v>
      </c>
      <c r="S10" s="769">
        <f t="shared" si="0"/>
        <v>99</v>
      </c>
      <c r="T10" s="768" t="s">
        <v>17</v>
      </c>
      <c r="U10" s="769">
        <f t="shared" si="1"/>
        <v>99</v>
      </c>
      <c r="V10" s="768" t="s">
        <v>17</v>
      </c>
      <c r="W10" s="769">
        <f t="shared" si="2"/>
        <v>99</v>
      </c>
      <c r="X10" s="770"/>
      <c r="Y10" s="3106"/>
      <c r="Z10" s="55" t="str">
        <f t="shared" si="7"/>
        <v>土地使用年限（年）</v>
      </c>
      <c r="AA10" s="771">
        <f t="shared" si="3"/>
        <v>1.0101010101010102</v>
      </c>
      <c r="AB10" s="771">
        <f t="shared" si="4"/>
        <v>1.0101010101010102</v>
      </c>
      <c r="AC10" s="771">
        <f t="shared" si="5"/>
        <v>1.0101010101010102</v>
      </c>
    </row>
    <row r="11" spans="1:29" ht="15" hidden="1">
      <c r="A11" s="641"/>
      <c r="B11" s="642"/>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65"/>
      <c r="Q11" s="1791">
        <f t="shared" si="6"/>
        <v>0</v>
      </c>
      <c r="R11" s="768" t="s">
        <v>17</v>
      </c>
      <c r="S11" s="769">
        <f t="shared" si="0"/>
        <v>100</v>
      </c>
      <c r="T11" s="768" t="s">
        <v>17</v>
      </c>
      <c r="U11" s="769">
        <f t="shared" si="1"/>
        <v>100</v>
      </c>
      <c r="V11" s="768" t="s">
        <v>17</v>
      </c>
      <c r="W11" s="769">
        <f t="shared" si="2"/>
        <v>100</v>
      </c>
      <c r="X11" s="770"/>
      <c r="Y11" s="3106"/>
      <c r="Z11" s="55">
        <f t="shared" si="7"/>
        <v>0</v>
      </c>
      <c r="AA11" s="771">
        <f t="shared" si="3"/>
        <v>1</v>
      </c>
      <c r="AB11" s="771">
        <f t="shared" si="4"/>
        <v>1</v>
      </c>
      <c r="AC11" s="771">
        <f t="shared" si="5"/>
        <v>1</v>
      </c>
    </row>
    <row r="12" spans="1:29" s="117" customFormat="1" ht="15" hidden="1">
      <c r="A12" s="643"/>
      <c r="B12" s="642"/>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65"/>
      <c r="Q12" s="1791">
        <f t="shared" si="6"/>
        <v>0</v>
      </c>
      <c r="R12" s="768" t="s">
        <v>17</v>
      </c>
      <c r="S12" s="769">
        <f t="shared" si="0"/>
        <v>100</v>
      </c>
      <c r="T12" s="768" t="s">
        <v>17</v>
      </c>
      <c r="U12" s="769">
        <f t="shared" si="1"/>
        <v>100</v>
      </c>
      <c r="V12" s="768" t="s">
        <v>17</v>
      </c>
      <c r="W12" s="769">
        <f t="shared" si="2"/>
        <v>100</v>
      </c>
      <c r="X12" s="770"/>
      <c r="Y12" s="3106"/>
      <c r="Z12" s="55">
        <f t="shared" si="7"/>
        <v>0</v>
      </c>
      <c r="AA12" s="771">
        <f>D12/F12</f>
        <v>1</v>
      </c>
      <c r="AB12" s="771">
        <f>D12/H12</f>
        <v>1</v>
      </c>
      <c r="AC12" s="771">
        <f>D12/J12</f>
        <v>1</v>
      </c>
    </row>
    <row r="13" spans="1:29" ht="15.75" hidden="1" thickBot="1">
      <c r="A13" s="644"/>
      <c r="B13" s="642"/>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65"/>
      <c r="Q13" s="1791">
        <f t="shared" si="6"/>
        <v>0</v>
      </c>
      <c r="R13" s="768" t="s">
        <v>17</v>
      </c>
      <c r="S13" s="769">
        <f t="shared" si="0"/>
        <v>100</v>
      </c>
      <c r="T13" s="768" t="s">
        <v>17</v>
      </c>
      <c r="U13" s="769">
        <f t="shared" si="1"/>
        <v>100</v>
      </c>
      <c r="V13" s="768" t="s">
        <v>17</v>
      </c>
      <c r="W13" s="769">
        <f t="shared" si="2"/>
        <v>100</v>
      </c>
      <c r="X13" s="770"/>
      <c r="Y13" s="3106"/>
      <c r="Z13" s="55">
        <f t="shared" si="7"/>
        <v>0</v>
      </c>
      <c r="AA13" s="771">
        <f t="shared" si="3"/>
        <v>1</v>
      </c>
      <c r="AB13" s="771">
        <f t="shared" si="4"/>
        <v>1</v>
      </c>
      <c r="AC13" s="771">
        <f t="shared" si="5"/>
        <v>1</v>
      </c>
    </row>
    <row r="14" spans="1:29" ht="71.25">
      <c r="A14" s="401" t="s">
        <v>2547</v>
      </c>
      <c r="B14" s="627" t="s">
        <v>2696</v>
      </c>
      <c r="C14" s="2688" t="str">
        <f>IF(B1="工业",估价对象房地状况!G4,估价对象房地状况!C6)</f>
        <v>周边道路状况、公共交通通达情况、停车便捷程度（快速路西四环北路 六号线海淀五路居站 五路桥公交站  61路 79路 121路 地上停车位）</v>
      </c>
      <c r="D14" s="441">
        <v>100</v>
      </c>
      <c r="E14" s="442"/>
      <c r="F14" s="443">
        <f>SUMIF(63:63,E15,64:64)-SUMIF(63:63,C15,64:64)+100</f>
        <v>100</v>
      </c>
      <c r="G14" s="444"/>
      <c r="H14" s="441">
        <f>SUMIF(63:63,G15,64:64)-SUMIF(63:63,C15,64:64)+100</f>
        <v>100</v>
      </c>
      <c r="I14" s="442"/>
      <c r="J14" s="441">
        <f>SUMIF(63:63,I15,64:64)-SUMIF(63:63,C15,64:64)+100</f>
        <v>100</v>
      </c>
      <c r="K14" s="614">
        <v>3</v>
      </c>
      <c r="L14" s="1136"/>
      <c r="M14" s="1127"/>
      <c r="N14" s="1127"/>
      <c r="O14" s="1127"/>
      <c r="P14" s="3272" t="s">
        <v>2548</v>
      </c>
      <c r="Q14" s="1806" t="str">
        <f t="shared" si="6"/>
        <v>交通便捷度</v>
      </c>
      <c r="R14" s="772" t="s">
        <v>17</v>
      </c>
      <c r="S14" s="773">
        <f t="shared" si="0"/>
        <v>100</v>
      </c>
      <c r="T14" s="772" t="s">
        <v>17</v>
      </c>
      <c r="U14" s="773">
        <f t="shared" si="1"/>
        <v>100</v>
      </c>
      <c r="V14" s="772" t="s">
        <v>17</v>
      </c>
      <c r="W14" s="773">
        <f t="shared" si="2"/>
        <v>100</v>
      </c>
      <c r="X14" s="1809"/>
      <c r="Y14" s="3272" t="s">
        <v>2548</v>
      </c>
      <c r="Z14" s="1810" t="str">
        <f t="shared" si="7"/>
        <v>交通便捷度</v>
      </c>
      <c r="AA14" s="1807">
        <f t="shared" si="3"/>
        <v>1</v>
      </c>
      <c r="AB14" s="1807">
        <f t="shared" si="4"/>
        <v>1</v>
      </c>
      <c r="AC14" s="1807">
        <f t="shared" si="5"/>
        <v>1</v>
      </c>
    </row>
    <row r="15" spans="1:29" ht="15">
      <c r="A15" s="404"/>
      <c r="B15" s="645"/>
      <c r="C15" s="447" t="s">
        <v>3657</v>
      </c>
      <c r="D15" s="448"/>
      <c r="E15" s="447" t="s">
        <v>3657</v>
      </c>
      <c r="F15" s="449"/>
      <c r="G15" s="447" t="s">
        <v>3657</v>
      </c>
      <c r="H15" s="450"/>
      <c r="I15" s="447" t="s">
        <v>3657</v>
      </c>
      <c r="J15" s="448"/>
      <c r="K15" s="615"/>
      <c r="L15" s="1136"/>
      <c r="M15" s="1127"/>
      <c r="N15" s="1127"/>
      <c r="O15" s="1127"/>
      <c r="P15" s="3273"/>
      <c r="Q15" s="1806"/>
      <c r="R15" s="772"/>
      <c r="S15" s="773"/>
      <c r="T15" s="772"/>
      <c r="U15" s="773"/>
      <c r="V15" s="772"/>
      <c r="W15" s="773"/>
      <c r="X15" s="1809"/>
      <c r="Y15" s="3273"/>
      <c r="Z15" s="1810"/>
      <c r="AA15" s="1807">
        <v>1</v>
      </c>
      <c r="AB15" s="1807">
        <v>1</v>
      </c>
      <c r="AC15" s="1807">
        <v>1</v>
      </c>
    </row>
    <row r="16" spans="1:29" ht="114">
      <c r="A16" s="404"/>
      <c r="B16" s="629" t="s">
        <v>2675</v>
      </c>
      <c r="C16" s="2602"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5">
        <v>100</v>
      </c>
      <c r="E16" s="457"/>
      <c r="F16" s="458">
        <f>SUMIF(65:65,E17,66:66)-SUMIF(65:65,C17,66:66)+100</f>
        <v>100</v>
      </c>
      <c r="G16" s="459"/>
      <c r="H16" s="455">
        <f>SUMIF(65:65,G17,66:66)-SUMIF(65:65,C17,66:66)+100</f>
        <v>100</v>
      </c>
      <c r="I16" s="457"/>
      <c r="J16" s="455">
        <f>SUMIF(65:65,I17,66:66)-SUMIF(65:65,C17,66:66)+100</f>
        <v>100</v>
      </c>
      <c r="K16" s="614">
        <v>3</v>
      </c>
      <c r="L16" s="1136"/>
      <c r="M16" s="1127"/>
      <c r="N16" s="1127"/>
      <c r="O16" s="1127"/>
      <c r="P16" s="3273"/>
      <c r="Q16" s="1806" t="str">
        <f>B16</f>
        <v>公共配套设施</v>
      </c>
      <c r="R16" s="772" t="s">
        <v>17</v>
      </c>
      <c r="S16" s="773">
        <f>F16</f>
        <v>100</v>
      </c>
      <c r="T16" s="772" t="s">
        <v>17</v>
      </c>
      <c r="U16" s="773">
        <f>H16</f>
        <v>100</v>
      </c>
      <c r="V16" s="772" t="s">
        <v>17</v>
      </c>
      <c r="W16" s="773">
        <f>J16</f>
        <v>100</v>
      </c>
      <c r="X16" s="1809"/>
      <c r="Y16" s="3273"/>
      <c r="Z16" s="1810" t="str">
        <f>Q16</f>
        <v>公共配套设施</v>
      </c>
      <c r="AA16" s="1807">
        <f t="shared" si="3"/>
        <v>1</v>
      </c>
      <c r="AB16" s="1807">
        <f t="shared" si="4"/>
        <v>1</v>
      </c>
      <c r="AC16" s="1807">
        <f t="shared" si="5"/>
        <v>1</v>
      </c>
    </row>
    <row r="17" spans="1:29" ht="15">
      <c r="A17" s="404"/>
      <c r="B17" s="630"/>
      <c r="C17" s="2603" t="s">
        <v>3096</v>
      </c>
      <c r="D17" s="448"/>
      <c r="E17" s="447" t="s">
        <v>3096</v>
      </c>
      <c r="F17" s="449"/>
      <c r="G17" s="447" t="s">
        <v>3096</v>
      </c>
      <c r="H17" s="448"/>
      <c r="I17" s="447" t="s">
        <v>3096</v>
      </c>
      <c r="J17" s="448"/>
      <c r="K17" s="615"/>
      <c r="L17" s="1136"/>
      <c r="M17" s="1127"/>
      <c r="N17" s="1127"/>
      <c r="O17" s="1127"/>
      <c r="P17" s="3273"/>
      <c r="Q17" s="1806"/>
      <c r="R17" s="772"/>
      <c r="S17" s="773"/>
      <c r="T17" s="772"/>
      <c r="U17" s="773"/>
      <c r="V17" s="772"/>
      <c r="W17" s="773"/>
      <c r="X17" s="1809"/>
      <c r="Y17" s="3273"/>
      <c r="Z17" s="1810"/>
      <c r="AA17" s="1807">
        <v>1</v>
      </c>
      <c r="AB17" s="1807">
        <v>1</v>
      </c>
      <c r="AC17" s="1807">
        <v>1</v>
      </c>
    </row>
    <row r="18" spans="1:29" ht="15">
      <c r="A18" s="404"/>
      <c r="B18" s="631" t="s">
        <v>2676</v>
      </c>
      <c r="C18" s="2602">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v>2</v>
      </c>
      <c r="L18" s="1136"/>
      <c r="M18" s="1127"/>
      <c r="N18" s="1127"/>
      <c r="O18" s="1127"/>
      <c r="P18" s="3273"/>
      <c r="Q18" s="1806" t="str">
        <f>B18</f>
        <v>基础设施水平</v>
      </c>
      <c r="R18" s="772" t="s">
        <v>17</v>
      </c>
      <c r="S18" s="773">
        <f>F18</f>
        <v>100</v>
      </c>
      <c r="T18" s="772" t="s">
        <v>17</v>
      </c>
      <c r="U18" s="773">
        <f>H18</f>
        <v>100</v>
      </c>
      <c r="V18" s="772" t="s">
        <v>17</v>
      </c>
      <c r="W18" s="773">
        <f>J18</f>
        <v>100</v>
      </c>
      <c r="X18" s="1809"/>
      <c r="Y18" s="3273"/>
      <c r="Z18" s="1810" t="str">
        <f>Q18</f>
        <v>基础设施水平</v>
      </c>
      <c r="AA18" s="1807">
        <f t="shared" ref="AA18" si="8">D18/F18</f>
        <v>1</v>
      </c>
      <c r="AB18" s="1807">
        <f t="shared" ref="AB18" si="9">D18/H18</f>
        <v>1</v>
      </c>
      <c r="AC18" s="1807">
        <f t="shared" ref="AC18" si="10">D18/J18</f>
        <v>1</v>
      </c>
    </row>
    <row r="19" spans="1:29" ht="15">
      <c r="A19" s="404"/>
      <c r="B19" s="631"/>
      <c r="C19" s="2603" t="s">
        <v>3094</v>
      </c>
      <c r="D19" s="450"/>
      <c r="E19" s="2603" t="s">
        <v>3094</v>
      </c>
      <c r="F19" s="453"/>
      <c r="G19" s="2603" t="s">
        <v>3094</v>
      </c>
      <c r="H19" s="448"/>
      <c r="I19" s="2603" t="s">
        <v>3094</v>
      </c>
      <c r="J19" s="448"/>
      <c r="K19" s="1379"/>
      <c r="L19" s="1136"/>
      <c r="M19" s="1127"/>
      <c r="N19" s="1127"/>
      <c r="O19" s="1127"/>
      <c r="P19" s="3273"/>
      <c r="Q19" s="1806"/>
      <c r="R19" s="772"/>
      <c r="S19" s="773"/>
      <c r="T19" s="772"/>
      <c r="U19" s="773"/>
      <c r="V19" s="772"/>
      <c r="W19" s="773"/>
      <c r="X19" s="1809"/>
      <c r="Y19" s="3273"/>
      <c r="Z19" s="1810"/>
      <c r="AA19" s="1807">
        <v>1</v>
      </c>
      <c r="AB19" s="1807">
        <v>1</v>
      </c>
      <c r="AC19" s="1807">
        <v>1</v>
      </c>
    </row>
    <row r="20" spans="1:29" ht="15">
      <c r="A20" s="404"/>
      <c r="B20" s="629" t="s">
        <v>2697</v>
      </c>
      <c r="C20" s="2602">
        <f>IF(B1="工业",估价对象房地状况!G7,估价对象房地状况!C9)</f>
        <v>0</v>
      </c>
      <c r="D20" s="455">
        <v>100</v>
      </c>
      <c r="E20" s="457"/>
      <c r="F20" s="458">
        <f>SUMIF(69:69,E21,70:70)-SUMIF(69:69,C21,70:70)+100</f>
        <v>100</v>
      </c>
      <c r="G20" s="459"/>
      <c r="H20" s="450">
        <f>SUMIF(69:69,G21,70:70)-SUMIF(69:69,C21,70:70)+100</f>
        <v>100</v>
      </c>
      <c r="I20" s="457"/>
      <c r="J20" s="450">
        <f>SUMIF(69:69,I21,70:70)-SUMIF(69:69,C21,70:70)+100</f>
        <v>100</v>
      </c>
      <c r="K20" s="614">
        <v>2</v>
      </c>
      <c r="L20" s="1136"/>
      <c r="M20" s="1127"/>
      <c r="N20" s="1127"/>
      <c r="O20" s="1127"/>
      <c r="P20" s="3273"/>
      <c r="Q20" s="1806" t="str">
        <f>B20</f>
        <v>自然及人文环境</v>
      </c>
      <c r="R20" s="772" t="s">
        <v>17</v>
      </c>
      <c r="S20" s="773">
        <f>F20</f>
        <v>100</v>
      </c>
      <c r="T20" s="772" t="s">
        <v>17</v>
      </c>
      <c r="U20" s="773">
        <f>H20</f>
        <v>100</v>
      </c>
      <c r="V20" s="772" t="s">
        <v>17</v>
      </c>
      <c r="W20" s="773">
        <f>J20</f>
        <v>100</v>
      </c>
      <c r="X20" s="1809"/>
      <c r="Y20" s="3273"/>
      <c r="Z20" s="1810" t="str">
        <f>Q20</f>
        <v>自然及人文环境</v>
      </c>
      <c r="AA20" s="1807">
        <f t="shared" si="3"/>
        <v>1</v>
      </c>
      <c r="AB20" s="1807">
        <f t="shared" si="4"/>
        <v>1</v>
      </c>
      <c r="AC20" s="1807">
        <f t="shared" si="5"/>
        <v>1</v>
      </c>
    </row>
    <row r="21" spans="1:29" ht="15.75" thickBot="1">
      <c r="A21" s="404"/>
      <c r="B21" s="630"/>
      <c r="C21" s="447" t="s">
        <v>3095</v>
      </c>
      <c r="D21" s="448"/>
      <c r="E21" s="447" t="s">
        <v>3095</v>
      </c>
      <c r="F21" s="449"/>
      <c r="G21" s="3059" t="s">
        <v>3095</v>
      </c>
      <c r="H21" s="3060"/>
      <c r="I21" s="447" t="s">
        <v>3095</v>
      </c>
      <c r="J21" s="448"/>
      <c r="K21" s="615"/>
      <c r="L21" s="1136"/>
      <c r="M21" s="1127"/>
      <c r="N21" s="1127"/>
      <c r="O21" s="1127"/>
      <c r="P21" s="3273"/>
      <c r="Q21" s="1806"/>
      <c r="R21" s="772"/>
      <c r="S21" s="773"/>
      <c r="T21" s="772"/>
      <c r="U21" s="773"/>
      <c r="V21" s="772"/>
      <c r="W21" s="773"/>
      <c r="X21" s="1809"/>
      <c r="Y21" s="3273"/>
      <c r="Z21" s="1810"/>
      <c r="AA21" s="1807">
        <v>1</v>
      </c>
      <c r="AB21" s="1807">
        <v>1</v>
      </c>
      <c r="AC21" s="1807">
        <v>1</v>
      </c>
    </row>
    <row r="22" spans="1:29" ht="15.75" hidden="1" thickBot="1">
      <c r="A22" s="404"/>
      <c r="B22" s="629" t="s">
        <v>2698</v>
      </c>
      <c r="C22" s="616"/>
      <c r="D22" s="450">
        <v>100</v>
      </c>
      <c r="E22" s="616"/>
      <c r="F22" s="461">
        <f>SUMIF(71:71,E22,72:72)-SUMIF(71:71,C22,72:72)+100</f>
        <v>100</v>
      </c>
      <c r="G22" s="3058"/>
      <c r="H22" s="448">
        <f>SUMIF(71:71,G22,72:72)-SUMIF(71:71,C22,72:72)+100</f>
        <v>100</v>
      </c>
      <c r="I22" s="616"/>
      <c r="J22" s="435">
        <f>SUMIF(71:71,I22,72:72)-SUMIF(71:71,C22,72:72)+100</f>
        <v>100</v>
      </c>
      <c r="K22" s="612"/>
      <c r="L22" s="1136"/>
      <c r="M22" s="1127"/>
      <c r="N22" s="1127"/>
      <c r="O22" s="1127"/>
      <c r="P22" s="3273"/>
      <c r="Q22" s="1806" t="str">
        <f>B22</f>
        <v>楼层</v>
      </c>
      <c r="R22" s="772" t="s">
        <v>17</v>
      </c>
      <c r="S22" s="773">
        <f>F22</f>
        <v>100</v>
      </c>
      <c r="T22" s="772" t="s">
        <v>17</v>
      </c>
      <c r="U22" s="773">
        <f>H22</f>
        <v>100</v>
      </c>
      <c r="V22" s="772" t="s">
        <v>17</v>
      </c>
      <c r="W22" s="773">
        <f>J22</f>
        <v>100</v>
      </c>
      <c r="X22" s="1809"/>
      <c r="Y22" s="3273"/>
      <c r="Z22" s="1810" t="str">
        <f>Q22</f>
        <v>楼层</v>
      </c>
      <c r="AA22" s="1807">
        <f t="shared" si="3"/>
        <v>1</v>
      </c>
      <c r="AB22" s="1807">
        <f t="shared" si="4"/>
        <v>1</v>
      </c>
      <c r="AC22" s="1807">
        <f t="shared" si="5"/>
        <v>1</v>
      </c>
    </row>
    <row r="23" spans="1:29" ht="15" hidden="1">
      <c r="A23" s="404"/>
      <c r="B23" s="646"/>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73"/>
      <c r="Q23" s="1806">
        <f>B23</f>
        <v>0</v>
      </c>
      <c r="R23" s="772" t="s">
        <v>17</v>
      </c>
      <c r="S23" s="773">
        <f>F23</f>
        <v>100</v>
      </c>
      <c r="T23" s="772" t="s">
        <v>17</v>
      </c>
      <c r="U23" s="773">
        <f>H23</f>
        <v>100</v>
      </c>
      <c r="V23" s="772" t="s">
        <v>17</v>
      </c>
      <c r="W23" s="773">
        <f>J23</f>
        <v>100</v>
      </c>
      <c r="X23" s="1809"/>
      <c r="Y23" s="3273"/>
      <c r="Z23" s="1810">
        <f>Q23</f>
        <v>0</v>
      </c>
      <c r="AA23" s="1807">
        <f t="shared" si="3"/>
        <v>1</v>
      </c>
      <c r="AB23" s="1807">
        <f t="shared" si="4"/>
        <v>1</v>
      </c>
      <c r="AC23" s="1807">
        <f t="shared" si="5"/>
        <v>1</v>
      </c>
    </row>
    <row r="24" spans="1:29" ht="15" hidden="1">
      <c r="A24" s="404"/>
      <c r="B24" s="646"/>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73"/>
      <c r="Q24" s="1806">
        <f t="shared" ref="Q24:Q36" si="11">B24</f>
        <v>0</v>
      </c>
      <c r="R24" s="772" t="s">
        <v>17</v>
      </c>
      <c r="S24" s="773">
        <f>F24</f>
        <v>100</v>
      </c>
      <c r="T24" s="772" t="s">
        <v>17</v>
      </c>
      <c r="U24" s="773">
        <f>H24</f>
        <v>100</v>
      </c>
      <c r="V24" s="772" t="s">
        <v>17</v>
      </c>
      <c r="W24" s="773">
        <f>J24</f>
        <v>100</v>
      </c>
      <c r="X24" s="1809"/>
      <c r="Y24" s="3273"/>
      <c r="Z24" s="1810">
        <f>Q24</f>
        <v>0</v>
      </c>
      <c r="AA24" s="1807">
        <f t="shared" si="3"/>
        <v>1</v>
      </c>
      <c r="AB24" s="1807">
        <f t="shared" si="4"/>
        <v>1</v>
      </c>
      <c r="AC24" s="1807">
        <f t="shared" si="5"/>
        <v>1</v>
      </c>
    </row>
    <row r="25" spans="1:29" s="117" customFormat="1" ht="15.75" hidden="1" thickBot="1">
      <c r="A25" s="647"/>
      <c r="B25" s="633"/>
      <c r="C25" s="437"/>
      <c r="D25" s="648">
        <v>100</v>
      </c>
      <c r="E25" s="626"/>
      <c r="F25" s="649">
        <f>SUMIF(77:77,E25,78:78)-SUMIF(77:77,C25,78:78)+100</f>
        <v>100</v>
      </c>
      <c r="G25" s="626"/>
      <c r="H25" s="648">
        <f>SUMIF(77:77,G25,78:78)-SUMIF(77:77,C25,78:78)+100</f>
        <v>100</v>
      </c>
      <c r="I25" s="626"/>
      <c r="J25" s="648">
        <f>SUMIF(77:77,I25,78:78)-SUMIF(77:77,C25,78:78)+100</f>
        <v>100</v>
      </c>
      <c r="K25" s="613"/>
      <c r="L25" s="1128"/>
      <c r="M25" s="1129"/>
      <c r="N25" s="1129"/>
      <c r="O25" s="1129"/>
      <c r="P25" s="3273"/>
      <c r="Q25" s="1791">
        <f t="shared" si="11"/>
        <v>0</v>
      </c>
      <c r="R25" s="768" t="s">
        <v>17</v>
      </c>
      <c r="S25" s="769">
        <f>F25</f>
        <v>100</v>
      </c>
      <c r="T25" s="768" t="s">
        <v>17</v>
      </c>
      <c r="U25" s="769">
        <f>H25</f>
        <v>100</v>
      </c>
      <c r="V25" s="768" t="s">
        <v>17</v>
      </c>
      <c r="W25" s="769">
        <f>J25</f>
        <v>100</v>
      </c>
      <c r="X25" s="770"/>
      <c r="Y25" s="3273"/>
      <c r="Z25" s="55">
        <f>Q25</f>
        <v>0</v>
      </c>
      <c r="AA25" s="1807">
        <f>D25/F25</f>
        <v>1</v>
      </c>
      <c r="AB25" s="1807">
        <f>D25/H25</f>
        <v>1</v>
      </c>
      <c r="AC25" s="1807">
        <f>D25/J25</f>
        <v>1</v>
      </c>
    </row>
    <row r="26" spans="1:29" ht="28.5">
      <c r="A26" s="650" t="s">
        <v>2551</v>
      </c>
      <c r="B26" s="70" t="s">
        <v>2699</v>
      </c>
      <c r="C26" s="2689" t="str">
        <f>B1</f>
        <v>办公</v>
      </c>
      <c r="D26" s="448">
        <v>100</v>
      </c>
      <c r="E26" s="447" t="s">
        <v>27</v>
      </c>
      <c r="F26" s="449">
        <f>SUMIF(79:79,E26,80:80)-SUMIF(79:79,C26,80:80)+100</f>
        <v>100</v>
      </c>
      <c r="G26" s="447" t="s">
        <v>27</v>
      </c>
      <c r="H26" s="448">
        <f>SUMIF(79:79,G26,80:80)-SUMIF(79:79,C26,80:80)+100</f>
        <v>100</v>
      </c>
      <c r="I26" s="447" t="s">
        <v>27</v>
      </c>
      <c r="J26" s="448">
        <f>SUMIF(79:79,I26,80:80)-SUMIF(79:79,C26,80:80)+100</f>
        <v>100</v>
      </c>
      <c r="K26" s="612"/>
      <c r="L26" s="1136"/>
      <c r="M26" s="1127"/>
      <c r="N26" s="1127"/>
      <c r="O26" s="1127"/>
      <c r="P26" s="3332" t="s">
        <v>2553</v>
      </c>
      <c r="Q26" s="1806" t="str">
        <f t="shared" si="11"/>
        <v>配套类型</v>
      </c>
      <c r="R26" s="772" t="s">
        <v>17</v>
      </c>
      <c r="S26" s="773">
        <f t="shared" ref="S26:S36" si="12">F26</f>
        <v>100</v>
      </c>
      <c r="T26" s="772" t="s">
        <v>17</v>
      </c>
      <c r="U26" s="773">
        <f t="shared" ref="U26:U36" si="13">H26</f>
        <v>100</v>
      </c>
      <c r="V26" s="772" t="s">
        <v>17</v>
      </c>
      <c r="W26" s="773">
        <f t="shared" ref="W26:W36" si="14">J26</f>
        <v>100</v>
      </c>
      <c r="X26" s="1809"/>
      <c r="Y26" s="3277" t="s">
        <v>2553</v>
      </c>
      <c r="Z26" s="1810" t="str">
        <f t="shared" ref="Z26:Z36" si="15">Q26</f>
        <v>配套类型</v>
      </c>
      <c r="AA26" s="1807">
        <f t="shared" si="3"/>
        <v>1</v>
      </c>
      <c r="AB26" s="1807">
        <f t="shared" si="4"/>
        <v>1</v>
      </c>
      <c r="AC26" s="1807">
        <f t="shared" si="5"/>
        <v>1</v>
      </c>
    </row>
    <row r="27" spans="1:29" s="471" customFormat="1" ht="15">
      <c r="A27" s="651"/>
      <c r="B27" s="652" t="s">
        <v>2700</v>
      </c>
      <c r="C27" s="653"/>
      <c r="D27" s="136">
        <v>100</v>
      </c>
      <c r="E27" s="653"/>
      <c r="F27" s="461">
        <f>SUMIF(81:81,E27,82:82)-SUMIF(81:81,C27,82:82)+100</f>
        <v>100</v>
      </c>
      <c r="G27" s="653"/>
      <c r="H27" s="435">
        <f>SUMIF(81:81,G27,82:82)-SUMIF(81:81,C27,82:82)+100</f>
        <v>100</v>
      </c>
      <c r="I27" s="653"/>
      <c r="J27" s="435">
        <f>SUMIF(81:81,I27,82:82)-SUMIF(81:81,C27,82:82)+100</f>
        <v>100</v>
      </c>
      <c r="K27" s="613"/>
      <c r="L27" s="1134"/>
      <c r="M27" s="1137"/>
      <c r="N27" s="1137"/>
      <c r="O27" s="1137"/>
      <c r="P27" s="3277"/>
      <c r="Q27" s="774" t="str">
        <f t="shared" si="11"/>
        <v>项目停车位配比</v>
      </c>
      <c r="R27" s="775" t="s">
        <v>17</v>
      </c>
      <c r="S27" s="776">
        <f t="shared" si="12"/>
        <v>100</v>
      </c>
      <c r="T27" s="775" t="s">
        <v>17</v>
      </c>
      <c r="U27" s="776">
        <f t="shared" si="13"/>
        <v>100</v>
      </c>
      <c r="V27" s="775" t="s">
        <v>17</v>
      </c>
      <c r="W27" s="776">
        <f t="shared" si="14"/>
        <v>100</v>
      </c>
      <c r="X27" s="777"/>
      <c r="Y27" s="3277"/>
      <c r="Z27" s="778" t="str">
        <f t="shared" si="15"/>
        <v>项目停车位配比</v>
      </c>
      <c r="AA27" s="1807">
        <f t="shared" si="3"/>
        <v>1</v>
      </c>
      <c r="AB27" s="1807">
        <f t="shared" si="4"/>
        <v>1</v>
      </c>
      <c r="AC27" s="1807">
        <f t="shared" si="5"/>
        <v>1</v>
      </c>
    </row>
    <row r="28" spans="1:29" ht="15">
      <c r="A28" s="654"/>
      <c r="B28" s="652" t="s">
        <v>2701</v>
      </c>
      <c r="C28" s="460" t="s">
        <v>3084</v>
      </c>
      <c r="D28" s="435">
        <v>100</v>
      </c>
      <c r="E28" s="460" t="s">
        <v>3084</v>
      </c>
      <c r="F28" s="461">
        <f>SUMIF(83:83,E28,84:84)-SUMIF(83:83,C28,84:84)+100</f>
        <v>100</v>
      </c>
      <c r="G28" s="460" t="s">
        <v>3084</v>
      </c>
      <c r="H28" s="435">
        <f>SUMIF(83:83,G28,84:84)-SUMIF(83:83,C28,84:84)+100</f>
        <v>100</v>
      </c>
      <c r="I28" s="460" t="s">
        <v>3084</v>
      </c>
      <c r="J28" s="435">
        <f>SUMIF(83:83,I28,84:84)-SUMIF(83:83,C28,84:84)+100</f>
        <v>100</v>
      </c>
      <c r="K28" s="612">
        <v>2</v>
      </c>
      <c r="L28" s="1136"/>
      <c r="M28" s="1127"/>
      <c r="N28" s="1127"/>
      <c r="O28" s="1127"/>
      <c r="P28" s="3277"/>
      <c r="Q28" s="1806" t="str">
        <f t="shared" si="11"/>
        <v>公共部分装修</v>
      </c>
      <c r="R28" s="772" t="s">
        <v>17</v>
      </c>
      <c r="S28" s="773">
        <f t="shared" si="12"/>
        <v>100</v>
      </c>
      <c r="T28" s="772" t="s">
        <v>17</v>
      </c>
      <c r="U28" s="773">
        <f t="shared" si="13"/>
        <v>100</v>
      </c>
      <c r="V28" s="772" t="s">
        <v>17</v>
      </c>
      <c r="W28" s="773">
        <f t="shared" si="14"/>
        <v>100</v>
      </c>
      <c r="X28" s="1809"/>
      <c r="Y28" s="3277"/>
      <c r="Z28" s="1810" t="str">
        <f t="shared" si="15"/>
        <v>公共部分装修</v>
      </c>
      <c r="AA28" s="1807">
        <f t="shared" si="3"/>
        <v>1</v>
      </c>
      <c r="AB28" s="1807">
        <f t="shared" si="4"/>
        <v>1</v>
      </c>
      <c r="AC28" s="1807">
        <f t="shared" si="5"/>
        <v>1</v>
      </c>
    </row>
    <row r="29" spans="1:29" ht="15">
      <c r="A29" s="654"/>
      <c r="B29" s="652" t="s">
        <v>2702</v>
      </c>
      <c r="C29" s="474">
        <v>0.9</v>
      </c>
      <c r="D29" s="435">
        <v>100</v>
      </c>
      <c r="E29" s="474">
        <f>ROUND(1-(1-0%)*(2018-E40)/60,2)</f>
        <v>0.82</v>
      </c>
      <c r="F29" s="461">
        <f>LOOKUP(E29,86:86,87:87)-LOOKUP(C29,86:86,87:87)+100</f>
        <v>97</v>
      </c>
      <c r="G29" s="474">
        <f>E29</f>
        <v>0.82</v>
      </c>
      <c r="H29" s="461">
        <f>LOOKUP(G29,86:86,87:87)-LOOKUP(C29,86:86,87:87)+100</f>
        <v>97</v>
      </c>
      <c r="I29" s="474">
        <f>E29</f>
        <v>0.82</v>
      </c>
      <c r="J29" s="435">
        <f>LOOKUP(I29,86:86,87:87)-LOOKUP(C29,86:86,87:87)+100</f>
        <v>97</v>
      </c>
      <c r="K29" s="612">
        <v>3</v>
      </c>
      <c r="L29" s="1136"/>
      <c r="M29" s="1127"/>
      <c r="N29" s="1127"/>
      <c r="O29" s="1127"/>
      <c r="P29" s="3277"/>
      <c r="Q29" s="1806" t="str">
        <f t="shared" si="11"/>
        <v>成新率</v>
      </c>
      <c r="R29" s="772" t="s">
        <v>17</v>
      </c>
      <c r="S29" s="773">
        <f t="shared" si="12"/>
        <v>97</v>
      </c>
      <c r="T29" s="772" t="s">
        <v>17</v>
      </c>
      <c r="U29" s="773">
        <f t="shared" si="13"/>
        <v>97</v>
      </c>
      <c r="V29" s="772" t="s">
        <v>17</v>
      </c>
      <c r="W29" s="773">
        <f t="shared" si="14"/>
        <v>97</v>
      </c>
      <c r="X29" s="1809"/>
      <c r="Y29" s="3277"/>
      <c r="Z29" s="1810" t="str">
        <f t="shared" si="15"/>
        <v>成新率</v>
      </c>
      <c r="AA29" s="1807">
        <f t="shared" si="3"/>
        <v>1.0309278350515463</v>
      </c>
      <c r="AB29" s="1807">
        <f t="shared" si="4"/>
        <v>1.0309278350515463</v>
      </c>
      <c r="AC29" s="1807">
        <f t="shared" si="5"/>
        <v>1.0309278350515463</v>
      </c>
    </row>
    <row r="30" spans="1:29" ht="15">
      <c r="A30" s="654"/>
      <c r="B30" s="652" t="s">
        <v>2703</v>
      </c>
      <c r="C30" s="655" t="s">
        <v>3082</v>
      </c>
      <c r="D30" s="435">
        <v>100</v>
      </c>
      <c r="E30" s="655" t="s">
        <v>3082</v>
      </c>
      <c r="F30" s="461">
        <f>SUMIF(88:88,E30,89:89)-SUMIF(88:88,C30,89:89)+100</f>
        <v>100</v>
      </c>
      <c r="G30" s="655" t="s">
        <v>3082</v>
      </c>
      <c r="H30" s="435">
        <f>SUMIF(88:88,E30,89:89)-SUMIF(88:88,C30,89:89)+100</f>
        <v>100</v>
      </c>
      <c r="I30" s="655" t="s">
        <v>3082</v>
      </c>
      <c r="J30" s="435">
        <f>SUMIF(88:88,E30,89:89)-SUMIF(88:88,C30,89:89)+100</f>
        <v>100</v>
      </c>
      <c r="K30" s="612">
        <v>2</v>
      </c>
      <c r="L30" s="1136"/>
      <c r="M30" s="1127"/>
      <c r="N30" s="1127"/>
      <c r="O30" s="1127"/>
      <c r="P30" s="3277"/>
      <c r="Q30" s="1806" t="str">
        <f t="shared" si="11"/>
        <v>物业等级</v>
      </c>
      <c r="R30" s="772" t="s">
        <v>17</v>
      </c>
      <c r="S30" s="773">
        <f t="shared" si="12"/>
        <v>100</v>
      </c>
      <c r="T30" s="772" t="s">
        <v>17</v>
      </c>
      <c r="U30" s="773">
        <f t="shared" si="13"/>
        <v>100</v>
      </c>
      <c r="V30" s="772" t="s">
        <v>17</v>
      </c>
      <c r="W30" s="773">
        <f t="shared" si="14"/>
        <v>100</v>
      </c>
      <c r="X30" s="1809"/>
      <c r="Y30" s="3277"/>
      <c r="Z30" s="1810" t="str">
        <f t="shared" si="15"/>
        <v>物业等级</v>
      </c>
      <c r="AA30" s="1807">
        <f t="shared" si="3"/>
        <v>1</v>
      </c>
      <c r="AB30" s="1807">
        <f t="shared" si="4"/>
        <v>1</v>
      </c>
      <c r="AC30" s="1807">
        <f t="shared" si="5"/>
        <v>1</v>
      </c>
    </row>
    <row r="31" spans="1:29" s="117" customFormat="1" ht="15">
      <c r="A31" s="656"/>
      <c r="B31" s="652" t="s">
        <v>2704</v>
      </c>
      <c r="C31" s="469"/>
      <c r="D31" s="136">
        <v>100</v>
      </c>
      <c r="E31" s="469">
        <v>55</v>
      </c>
      <c r="F31" s="461">
        <f>LOOKUP(E31,91:91,92:92)-LOOKUP(C31,91:91,92:92)+100</f>
        <v>100</v>
      </c>
      <c r="G31" s="469">
        <v>55</v>
      </c>
      <c r="H31" s="435">
        <f>LOOKUP(G31,91:91,92:92)-LOOKUP(C31,91:91,92:92)+100</f>
        <v>100</v>
      </c>
      <c r="I31" s="469">
        <v>55</v>
      </c>
      <c r="J31" s="435">
        <f>LOOKUP(I31,91:91,92:92)-LOOKUP(C31,91:91,92:92)+100</f>
        <v>100</v>
      </c>
      <c r="K31" s="612"/>
      <c r="L31" s="1128"/>
      <c r="M31" s="1129"/>
      <c r="N31" s="1129"/>
      <c r="O31" s="1129"/>
      <c r="P31" s="3277"/>
      <c r="Q31" s="1791" t="str">
        <f t="shared" si="11"/>
        <v>停车位面积</v>
      </c>
      <c r="R31" s="768" t="s">
        <v>17</v>
      </c>
      <c r="S31" s="769">
        <f t="shared" si="12"/>
        <v>100</v>
      </c>
      <c r="T31" s="768" t="s">
        <v>17</v>
      </c>
      <c r="U31" s="769">
        <f t="shared" si="13"/>
        <v>100</v>
      </c>
      <c r="V31" s="768" t="s">
        <v>17</v>
      </c>
      <c r="W31" s="769">
        <f t="shared" si="14"/>
        <v>100</v>
      </c>
      <c r="X31" s="770"/>
      <c r="Y31" s="3277"/>
      <c r="Z31" s="55" t="str">
        <f t="shared" si="15"/>
        <v>停车位面积</v>
      </c>
      <c r="AA31" s="771">
        <f t="shared" si="3"/>
        <v>1</v>
      </c>
      <c r="AB31" s="771">
        <f t="shared" si="4"/>
        <v>1</v>
      </c>
      <c r="AC31" s="771">
        <f t="shared" si="5"/>
        <v>1</v>
      </c>
    </row>
    <row r="32" spans="1:29" ht="15">
      <c r="A32" s="654"/>
      <c r="B32" s="652" t="s">
        <v>2705</v>
      </c>
      <c r="C32" s="460" t="s">
        <v>3242</v>
      </c>
      <c r="D32" s="435">
        <v>100</v>
      </c>
      <c r="E32" s="460" t="s">
        <v>3242</v>
      </c>
      <c r="F32" s="461">
        <f>SUMIF(93:93,E32,94:94)-SUMIF(93:93,C32,94:94)+100</f>
        <v>100</v>
      </c>
      <c r="G32" s="460" t="s">
        <v>3242</v>
      </c>
      <c r="H32" s="435">
        <f>SUMIF(93:93,G32,94:94)-SUMIF(93:93,C32,94:94)+100</f>
        <v>100</v>
      </c>
      <c r="I32" s="460" t="s">
        <v>3242</v>
      </c>
      <c r="J32" s="435">
        <f>SUMIF(93:93,I32,94:94)-SUMIF(93:93,C32,94:94)+100</f>
        <v>100</v>
      </c>
      <c r="K32" s="612">
        <v>2</v>
      </c>
      <c r="L32" s="1136"/>
      <c r="M32" s="1127"/>
      <c r="N32" s="1127"/>
      <c r="O32" s="1127"/>
      <c r="P32" s="3277" t="s">
        <v>2553</v>
      </c>
      <c r="Q32" s="1806" t="str">
        <f t="shared" si="11"/>
        <v>车位类型</v>
      </c>
      <c r="R32" s="772" t="s">
        <v>17</v>
      </c>
      <c r="S32" s="773">
        <f t="shared" si="12"/>
        <v>100</v>
      </c>
      <c r="T32" s="772" t="s">
        <v>17</v>
      </c>
      <c r="U32" s="773">
        <f t="shared" si="13"/>
        <v>100</v>
      </c>
      <c r="V32" s="772" t="s">
        <v>17</v>
      </c>
      <c r="W32" s="773">
        <f t="shared" si="14"/>
        <v>100</v>
      </c>
      <c r="X32" s="1809"/>
      <c r="Y32" s="3277" t="s">
        <v>2553</v>
      </c>
      <c r="Z32" s="1810" t="str">
        <f t="shared" si="15"/>
        <v>车位类型</v>
      </c>
      <c r="AA32" s="1807">
        <f t="shared" si="3"/>
        <v>1</v>
      </c>
      <c r="AB32" s="1807">
        <f t="shared" si="4"/>
        <v>1</v>
      </c>
      <c r="AC32" s="1807">
        <f t="shared" si="5"/>
        <v>1</v>
      </c>
    </row>
    <row r="33" spans="1:29" ht="15.75" thickBot="1">
      <c r="A33" s="654"/>
      <c r="B33" s="652" t="s">
        <v>2706</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77"/>
      <c r="Q33" s="1806" t="str">
        <f t="shared" si="11"/>
        <v>是否直接入户</v>
      </c>
      <c r="R33" s="772" t="s">
        <v>17</v>
      </c>
      <c r="S33" s="773">
        <f t="shared" si="12"/>
        <v>100</v>
      </c>
      <c r="T33" s="772" t="s">
        <v>17</v>
      </c>
      <c r="U33" s="773">
        <f t="shared" si="13"/>
        <v>100</v>
      </c>
      <c r="V33" s="772" t="s">
        <v>17</v>
      </c>
      <c r="W33" s="773">
        <f t="shared" si="14"/>
        <v>100</v>
      </c>
      <c r="X33" s="1809"/>
      <c r="Y33" s="3277"/>
      <c r="Z33" s="1810" t="str">
        <f t="shared" si="15"/>
        <v>是否直接入户</v>
      </c>
      <c r="AA33" s="1807">
        <f t="shared" si="3"/>
        <v>1</v>
      </c>
      <c r="AB33" s="1807">
        <f t="shared" si="4"/>
        <v>1</v>
      </c>
      <c r="AC33" s="1807">
        <f t="shared" si="5"/>
        <v>1</v>
      </c>
    </row>
    <row r="34" spans="1:29" ht="15" hidden="1">
      <c r="A34" s="654"/>
      <c r="B34" s="646"/>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77"/>
      <c r="Q34" s="1806">
        <f t="shared" si="11"/>
        <v>0</v>
      </c>
      <c r="R34" s="772" t="s">
        <v>17</v>
      </c>
      <c r="S34" s="773">
        <f t="shared" si="12"/>
        <v>100</v>
      </c>
      <c r="T34" s="772" t="s">
        <v>17</v>
      </c>
      <c r="U34" s="773">
        <f t="shared" si="13"/>
        <v>100</v>
      </c>
      <c r="V34" s="772" t="s">
        <v>17</v>
      </c>
      <c r="W34" s="773">
        <f t="shared" si="14"/>
        <v>100</v>
      </c>
      <c r="X34" s="1809"/>
      <c r="Y34" s="3277"/>
      <c r="Z34" s="1810">
        <f t="shared" si="15"/>
        <v>0</v>
      </c>
      <c r="AA34" s="1807">
        <f t="shared" si="3"/>
        <v>1</v>
      </c>
      <c r="AB34" s="1807">
        <f t="shared" si="4"/>
        <v>1</v>
      </c>
      <c r="AC34" s="1807">
        <f t="shared" si="5"/>
        <v>1</v>
      </c>
    </row>
    <row r="35" spans="1:29" s="471" customFormat="1" ht="15" hidden="1">
      <c r="A35" s="651"/>
      <c r="B35" s="646"/>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77"/>
      <c r="Q35" s="774">
        <f t="shared" si="11"/>
        <v>0</v>
      </c>
      <c r="R35" s="775" t="s">
        <v>17</v>
      </c>
      <c r="S35" s="776">
        <f t="shared" si="12"/>
        <v>100</v>
      </c>
      <c r="T35" s="775" t="s">
        <v>17</v>
      </c>
      <c r="U35" s="776">
        <f t="shared" si="13"/>
        <v>100</v>
      </c>
      <c r="V35" s="775" t="s">
        <v>17</v>
      </c>
      <c r="W35" s="776">
        <f t="shared" si="14"/>
        <v>100</v>
      </c>
      <c r="X35" s="777"/>
      <c r="Y35" s="3277"/>
      <c r="Z35" s="778">
        <f t="shared" si="15"/>
        <v>0</v>
      </c>
      <c r="AA35" s="1807">
        <f t="shared" si="3"/>
        <v>1</v>
      </c>
      <c r="AB35" s="1807">
        <f t="shared" si="4"/>
        <v>1</v>
      </c>
      <c r="AC35" s="1807">
        <f t="shared" si="5"/>
        <v>1</v>
      </c>
    </row>
    <row r="36" spans="1:29" ht="15.75" hidden="1" thickBot="1">
      <c r="A36" s="657"/>
      <c r="B36" s="633"/>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77"/>
      <c r="Q36" s="1806">
        <f t="shared" si="11"/>
        <v>0</v>
      </c>
      <c r="R36" s="772" t="s">
        <v>17</v>
      </c>
      <c r="S36" s="773">
        <f t="shared" si="12"/>
        <v>100</v>
      </c>
      <c r="T36" s="772" t="s">
        <v>17</v>
      </c>
      <c r="U36" s="773">
        <f t="shared" si="13"/>
        <v>100</v>
      </c>
      <c r="V36" s="772" t="s">
        <v>17</v>
      </c>
      <c r="W36" s="773">
        <f t="shared" si="14"/>
        <v>100</v>
      </c>
      <c r="X36" s="1809"/>
      <c r="Y36" s="3277"/>
      <c r="Z36" s="1810">
        <f t="shared" si="15"/>
        <v>0</v>
      </c>
      <c r="AA36" s="1807">
        <f t="shared" si="3"/>
        <v>1</v>
      </c>
      <c r="AB36" s="1807">
        <f t="shared" si="4"/>
        <v>1</v>
      </c>
      <c r="AC36" s="1807">
        <f t="shared" si="5"/>
        <v>1</v>
      </c>
    </row>
    <row r="37" spans="1:29" ht="15">
      <c r="A37" s="479" t="s">
        <v>2707</v>
      </c>
      <c r="B37" s="2690" t="s">
        <v>3105</v>
      </c>
      <c r="C37" s="1403" t="s">
        <v>1</v>
      </c>
      <c r="D37" s="1404"/>
      <c r="E37" s="1405">
        <v>210000</v>
      </c>
      <c r="F37" s="1406"/>
      <c r="G37" s="1407">
        <v>210000</v>
      </c>
      <c r="H37" s="1408"/>
      <c r="I37" s="1405">
        <v>210000</v>
      </c>
      <c r="J37" s="1408"/>
      <c r="K37" s="617"/>
      <c r="L37" s="1139"/>
      <c r="M37" s="1140"/>
      <c r="N37" s="1127"/>
      <c r="O37" s="1140"/>
      <c r="P37" s="3265" t="str">
        <f>A37</f>
        <v>成交单价</v>
      </c>
      <c r="Q37" s="3265"/>
      <c r="R37" s="3266">
        <f>E37</f>
        <v>210000</v>
      </c>
      <c r="S37" s="3266"/>
      <c r="T37" s="3266">
        <f>G37</f>
        <v>210000</v>
      </c>
      <c r="U37" s="3266"/>
      <c r="V37" s="3266">
        <f>I37</f>
        <v>210000</v>
      </c>
      <c r="W37" s="3266"/>
      <c r="X37" s="757"/>
      <c r="Y37" s="779"/>
      <c r="Z37" s="757"/>
      <c r="AA37" s="757"/>
      <c r="AB37" s="757"/>
      <c r="AC37" s="757"/>
    </row>
    <row r="38" spans="1:29" ht="15.75" thickBot="1">
      <c r="A38" s="486" t="s">
        <v>2708</v>
      </c>
      <c r="B38" s="487" t="str">
        <f>B37</f>
        <v>元/车位</v>
      </c>
      <c r="C38" s="1409">
        <f>R39</f>
        <v>218682</v>
      </c>
      <c r="D38" s="1410"/>
      <c r="E38" s="1411">
        <f>R38</f>
        <v>218682</v>
      </c>
      <c r="F38" s="1411"/>
      <c r="G38" s="1409">
        <f>T38</f>
        <v>218682</v>
      </c>
      <c r="H38" s="1410"/>
      <c r="I38" s="1411">
        <f>V38</f>
        <v>218682</v>
      </c>
      <c r="J38" s="1410"/>
      <c r="K38" s="618"/>
      <c r="L38" s="1139"/>
      <c r="M38" s="1140"/>
      <c r="N38" s="1140"/>
      <c r="O38" s="1140"/>
      <c r="P38" s="3265" t="str">
        <f>A38</f>
        <v>比较价值（元/平方米）</v>
      </c>
      <c r="Q38" s="3265"/>
      <c r="R38" s="3266">
        <f>IF(F1="售价",ROUND(PRODUCT(R37,AA7:AA36),0),ROUND(PRODUCT(R37,AA7:AA36),1))</f>
        <v>218682</v>
      </c>
      <c r="S38" s="3266"/>
      <c r="T38" s="3266">
        <f>IF(F1="售价",ROUND(PRODUCT(T37,AB7:AB36),0),ROUND(PRODUCT(T37,AB7:AB36),1))</f>
        <v>218682</v>
      </c>
      <c r="U38" s="3266"/>
      <c r="V38" s="3266">
        <f>IF(F1="售价",ROUND(PRODUCT(V37,AC7:AC36),0),ROUND(PRODUCT(V37,AC7:AC36),1))</f>
        <v>218682</v>
      </c>
      <c r="W38" s="3266"/>
      <c r="X38" s="757"/>
      <c r="Y38" s="757"/>
      <c r="Z38" s="757"/>
      <c r="AA38" s="757"/>
      <c r="AB38" s="757"/>
      <c r="AC38" s="757"/>
    </row>
    <row r="39" spans="1:29" ht="15.75" thickBot="1">
      <c r="A39" s="492" t="s">
        <v>2709</v>
      </c>
      <c r="B39" s="493"/>
      <c r="C39" s="1413">
        <f>R39</f>
        <v>218682</v>
      </c>
      <c r="D39" s="1413"/>
      <c r="E39" s="1413"/>
      <c r="F39" s="1413"/>
      <c r="G39" s="1413"/>
      <c r="H39" s="1413"/>
      <c r="I39" s="1413"/>
      <c r="J39" s="1413"/>
      <c r="K39" s="619"/>
      <c r="L39" s="1139"/>
      <c r="M39" s="1140"/>
      <c r="N39" s="1140"/>
      <c r="O39" s="1140"/>
      <c r="P39" s="3317" t="str">
        <f>A39</f>
        <v>估价对象XX用房的比较价值（楼面单价，元/平方米）</v>
      </c>
      <c r="Q39" s="3318"/>
      <c r="R39" s="3319">
        <f>IF(F1="售价",ROUND(AVERAGE(R38:V38),0),ROUND(AVERAGE(R38:V38),1))</f>
        <v>218682</v>
      </c>
      <c r="S39" s="3319"/>
      <c r="T39" s="3319"/>
      <c r="U39" s="3319"/>
      <c r="V39" s="3319"/>
      <c r="W39" s="3319"/>
      <c r="X39" s="757"/>
      <c r="Y39" s="757"/>
      <c r="Z39" s="757"/>
      <c r="AA39" s="757"/>
      <c r="AB39" s="757"/>
      <c r="AC39" s="757"/>
    </row>
    <row r="40" spans="1:29">
      <c r="A40" s="1140"/>
      <c r="B40" s="1140"/>
      <c r="C40" s="1140"/>
      <c r="D40" s="1140"/>
      <c r="E40" s="1140">
        <v>2007</v>
      </c>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2710</v>
      </c>
      <c r="D42" s="498"/>
      <c r="E42" s="499">
        <f>IF(E37&lt;E38,E38/E37-1,E37/E38-1)</f>
        <v>4.1342857142857126E-2</v>
      </c>
      <c r="F42" s="500" t="str">
        <f>IF(OR(E42&gt;=0.3,E42&lt;=-0.3),"超过30%","")</f>
        <v/>
      </c>
      <c r="G42" s="499">
        <f>IF(G37&lt;G38,G38/G37-1,G37/G38-1)</f>
        <v>4.1342857142857126E-2</v>
      </c>
      <c r="H42" s="500" t="str">
        <f>IF(OR(G42&gt;=0.3,G42&lt;=-0.3),"超过30%","")</f>
        <v/>
      </c>
      <c r="I42" s="499">
        <f>IF(I37&lt;I38,I38/I37-1,I37/I38-1)</f>
        <v>4.1342857142857126E-2</v>
      </c>
      <c r="J42" s="500"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2711</v>
      </c>
      <c r="D43" s="501"/>
      <c r="E43" s="499">
        <f>IF(E38&lt;G38,G38/E38-1,E38/G38-1)</f>
        <v>0</v>
      </c>
      <c r="F43" s="500" t="str">
        <f>IF(OR(E43&gt;=0.2,E43&lt;=-0.2),"超过20%","")</f>
        <v/>
      </c>
      <c r="G43" s="499">
        <f>IF(G38&lt;I38,I38/G38-1,G38/I38-1)</f>
        <v>0</v>
      </c>
      <c r="H43" s="500" t="str">
        <f>IF(OR(G43&gt;=0.2,G43&lt;=-0.2),"超过20%","")</f>
        <v/>
      </c>
      <c r="I43" s="499">
        <f>IF(I38&lt;E38,E38/I38-1,I38/E38-1)</f>
        <v>0</v>
      </c>
      <c r="J43" s="500"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2712</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2713</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2714</v>
      </c>
      <c r="B48" s="506"/>
      <c r="C48" s="1570" t="str">
        <f>YEAR(C7)&amp;"-"&amp;MONTH(C7)</f>
        <v>2018-3</v>
      </c>
      <c r="D48" s="1571">
        <f>EDATE(C48,-1)</f>
        <v>43132</v>
      </c>
      <c r="E48" s="1571">
        <f t="shared" ref="E48:O48" si="16">EDATE(D48,-1)</f>
        <v>43101</v>
      </c>
      <c r="F48" s="1571">
        <f t="shared" si="16"/>
        <v>43070</v>
      </c>
      <c r="G48" s="1571">
        <f t="shared" si="16"/>
        <v>43040</v>
      </c>
      <c r="H48" s="1571">
        <f t="shared" si="16"/>
        <v>43009</v>
      </c>
      <c r="I48" s="1571">
        <f t="shared" si="16"/>
        <v>42979</v>
      </c>
      <c r="J48" s="1571">
        <f t="shared" si="16"/>
        <v>42948</v>
      </c>
      <c r="K48" s="1571">
        <f t="shared" si="16"/>
        <v>42917</v>
      </c>
      <c r="L48" s="1571">
        <f t="shared" si="16"/>
        <v>42887</v>
      </c>
      <c r="M48" s="1571">
        <f t="shared" si="16"/>
        <v>42856</v>
      </c>
      <c r="N48" s="1571">
        <f t="shared" si="16"/>
        <v>42826</v>
      </c>
      <c r="O48" s="1571">
        <f t="shared" si="16"/>
        <v>42795</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2573</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2538</v>
      </c>
      <c r="B51" s="510"/>
      <c r="C51" s="522" t="s">
        <v>2640</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7">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2576</v>
      </c>
      <c r="B53" s="528" t="s">
        <v>2542</v>
      </c>
      <c r="C53" s="529" t="str">
        <f>C9</f>
        <v>车库</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8.5" thickTop="1">
      <c r="A55" s="534"/>
      <c r="B55" s="538" t="s">
        <v>2545</v>
      </c>
      <c r="C55" s="539" t="s">
        <v>2577</v>
      </c>
      <c r="D55" s="539" t="s">
        <v>2578</v>
      </c>
      <c r="E55" s="539" t="s">
        <v>2579</v>
      </c>
      <c r="F55" s="539" t="s">
        <v>2580</v>
      </c>
      <c r="G55" s="539" t="s">
        <v>2581</v>
      </c>
      <c r="H55" s="539" t="s">
        <v>2582</v>
      </c>
      <c r="I55" s="539" t="s">
        <v>2583</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58">
        <f>B11</f>
        <v>0</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0</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0</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97</v>
      </c>
      <c r="E64" s="544">
        <f>D64-$K14</f>
        <v>94</v>
      </c>
      <c r="F64" s="544">
        <f>E64-$K14</f>
        <v>91</v>
      </c>
      <c r="G64" s="544">
        <f>F64-$K14</f>
        <v>88</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2591</v>
      </c>
      <c r="C65" s="578" t="s">
        <v>2585</v>
      </c>
      <c r="D65" s="578" t="s">
        <v>2586</v>
      </c>
      <c r="E65" s="578" t="s">
        <v>2587</v>
      </c>
      <c r="F65" s="578" t="s">
        <v>2588</v>
      </c>
      <c r="G65" s="578" t="s">
        <v>2589</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97</v>
      </c>
      <c r="E66" s="544">
        <f>D66-$K16</f>
        <v>94</v>
      </c>
      <c r="F66" s="544">
        <f>E66-$K16</f>
        <v>91</v>
      </c>
      <c r="G66" s="544">
        <f>F66-$K16</f>
        <v>88</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2676</v>
      </c>
      <c r="C67" s="658" t="s">
        <v>2662</v>
      </c>
      <c r="D67" s="658" t="s">
        <v>2663</v>
      </c>
      <c r="E67" s="658" t="s">
        <v>2664</v>
      </c>
      <c r="F67" s="658" t="s">
        <v>2665</v>
      </c>
      <c r="G67" s="658" t="s">
        <v>2666</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98</v>
      </c>
      <c r="E68" s="544">
        <f>D68-$K18</f>
        <v>96</v>
      </c>
      <c r="F68" s="544">
        <f>E68-$K18</f>
        <v>94</v>
      </c>
      <c r="G68" s="544">
        <f>F68-$K18</f>
        <v>92</v>
      </c>
      <c r="H68" s="658"/>
      <c r="I68" s="658"/>
      <c r="J68" s="658"/>
      <c r="K68" s="658"/>
      <c r="L68" s="658"/>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2597</v>
      </c>
      <c r="C69" s="578" t="s">
        <v>2585</v>
      </c>
      <c r="D69" s="578" t="s">
        <v>2586</v>
      </c>
      <c r="E69" s="578" t="s">
        <v>2587</v>
      </c>
      <c r="F69" s="578" t="s">
        <v>2588</v>
      </c>
      <c r="G69" s="578" t="s">
        <v>2589</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98</v>
      </c>
      <c r="E70" s="544">
        <f>D70-$K20</f>
        <v>96</v>
      </c>
      <c r="F70" s="544">
        <f>E70-$K20</f>
        <v>94</v>
      </c>
      <c r="G70" s="544">
        <f>F70-$K20</f>
        <v>92</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2715</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0</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0</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0</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2551</v>
      </c>
      <c r="B79" s="528" t="s">
        <v>2716</v>
      </c>
      <c r="C79" s="529" t="str">
        <f>C26</f>
        <v>办公</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2717</v>
      </c>
      <c r="C81" s="659"/>
      <c r="D81" s="659"/>
      <c r="E81" s="659"/>
      <c r="F81" s="659"/>
      <c r="G81" s="659"/>
      <c r="H81" s="659"/>
      <c r="I81" s="659"/>
      <c r="J81" s="659"/>
      <c r="K81" s="660"/>
      <c r="L81" s="661"/>
      <c r="M81" s="662"/>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2604</v>
      </c>
      <c r="C83" s="2950" t="s">
        <v>3240</v>
      </c>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49"/>
      <c r="O84" s="1149"/>
      <c r="P84" s="1425"/>
      <c r="Q84" s="1419"/>
      <c r="R84" s="1140"/>
      <c r="S84" s="1140"/>
      <c r="T84" s="1140"/>
      <c r="U84" s="1140"/>
      <c r="V84" s="1140"/>
      <c r="W84" s="1140"/>
      <c r="X84" s="1140"/>
      <c r="Y84" s="1140"/>
      <c r="Z84" s="1140"/>
      <c r="AA84" s="1140"/>
      <c r="AB84" s="1140"/>
      <c r="AC84" s="1140"/>
    </row>
    <row r="85" spans="1:29" ht="29.2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1"/>
      <c r="J86" s="621"/>
      <c r="K86" s="622"/>
      <c r="L86" s="623"/>
      <c r="M86" s="624"/>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103</v>
      </c>
      <c r="E87" s="544">
        <f t="shared" ref="E87:M87" si="19">D87+$K$29</f>
        <v>106</v>
      </c>
      <c r="F87" s="544">
        <f t="shared" si="19"/>
        <v>109</v>
      </c>
      <c r="G87" s="544">
        <f t="shared" si="19"/>
        <v>112</v>
      </c>
      <c r="H87" s="544">
        <f t="shared" si="19"/>
        <v>115</v>
      </c>
      <c r="I87" s="544">
        <f t="shared" si="19"/>
        <v>118</v>
      </c>
      <c r="J87" s="544">
        <f t="shared" si="19"/>
        <v>121</v>
      </c>
      <c r="K87" s="544">
        <f t="shared" si="19"/>
        <v>124</v>
      </c>
      <c r="L87" s="544">
        <f t="shared" si="19"/>
        <v>127</v>
      </c>
      <c r="M87" s="544">
        <f t="shared" si="19"/>
        <v>130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2719</v>
      </c>
      <c r="C88" s="2996" t="s">
        <v>3687</v>
      </c>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2720</v>
      </c>
      <c r="C90" s="578" t="str">
        <f>C91&amp;"(含)"&amp;"-"&amp;D91</f>
        <v>0(含)-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v>0</v>
      </c>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2721</v>
      </c>
      <c r="C93" s="2950" t="s">
        <v>3241</v>
      </c>
      <c r="D93" s="2950" t="s">
        <v>3243</v>
      </c>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2722</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4">
        <f>B34</f>
        <v>0</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0</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0</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5" type="noConversion"/>
  <conditionalFormatting sqref="F42 H42 J42">
    <cfRule type="containsText" dxfId="122" priority="14" stopIfTrue="1" operator="containsText" text="超过">
      <formula>NOT(ISERROR(SEARCH("超过",F42)))</formula>
    </cfRule>
  </conditionalFormatting>
  <conditionalFormatting sqref="J44">
    <cfRule type="containsText" dxfId="121" priority="13" stopIfTrue="1" operator="containsText" text="超过">
      <formula>NOT(ISERROR(SEARCH("超过",J44)))</formula>
    </cfRule>
  </conditionalFormatting>
  <conditionalFormatting sqref="H44">
    <cfRule type="containsText" dxfId="120" priority="12" stopIfTrue="1" operator="containsText" text="超过">
      <formula>NOT(ISERROR(SEARCH("超过",H44)))</formula>
    </cfRule>
  </conditionalFormatting>
  <conditionalFormatting sqref="F44">
    <cfRule type="containsText" dxfId="119" priority="11" stopIfTrue="1" operator="containsText" text="超过">
      <formula>NOT(ISERROR(SEARCH("超过",F44)))</formula>
    </cfRule>
  </conditionalFormatting>
  <conditionalFormatting sqref="F43 H43 J43">
    <cfRule type="containsText" dxfId="118" priority="10" stopIfTrue="1" operator="containsText" text="超过">
      <formula>NOT(ISERROR(SEARCH("超过",F43)))</formula>
    </cfRule>
  </conditionalFormatting>
  <conditionalFormatting sqref="E42">
    <cfRule type="expression" dxfId="117" priority="9" stopIfTrue="1">
      <formula>$F$42="超过30%"</formula>
    </cfRule>
  </conditionalFormatting>
  <conditionalFormatting sqref="G44">
    <cfRule type="expression" dxfId="116" priority="8" stopIfTrue="1">
      <formula>$H$54+$H$44="超过30%"</formula>
    </cfRule>
  </conditionalFormatting>
  <conditionalFormatting sqref="E43">
    <cfRule type="expression" dxfId="115" priority="7" stopIfTrue="1">
      <formula>$F$43="超过20%"</formula>
    </cfRule>
  </conditionalFormatting>
  <conditionalFormatting sqref="E44">
    <cfRule type="expression" dxfId="114" priority="6" stopIfTrue="1">
      <formula>$F$44="超过30%"</formula>
    </cfRule>
  </conditionalFormatting>
  <conditionalFormatting sqref="G42">
    <cfRule type="expression" dxfId="113" priority="5" stopIfTrue="1">
      <formula>$H$52+$H$42="超过30%"</formula>
    </cfRule>
  </conditionalFormatting>
  <conditionalFormatting sqref="G43">
    <cfRule type="expression" dxfId="112" priority="4" stopIfTrue="1">
      <formula>$H$43="超过20%"</formula>
    </cfRule>
  </conditionalFormatting>
  <conditionalFormatting sqref="I42">
    <cfRule type="expression" dxfId="111" priority="3" stopIfTrue="1">
      <formula>$J$52+$J$42="超过30%"</formula>
    </cfRule>
  </conditionalFormatting>
  <conditionalFormatting sqref="I43">
    <cfRule type="expression" dxfId="110" priority="2" stopIfTrue="1">
      <formula>$J$53+$J$43="超过20%"</formula>
    </cfRule>
  </conditionalFormatting>
  <conditionalFormatting sqref="I44">
    <cfRule type="expression" dxfId="10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A4" sqref="A4"/>
    </sheetView>
  </sheetViews>
  <sheetFormatPr defaultColWidth="8.875" defaultRowHeight="14.25"/>
  <cols>
    <col min="1" max="1" width="23.625" style="1941" customWidth="1"/>
    <col min="2" max="2" width="12" style="1941" customWidth="1"/>
    <col min="3" max="3" width="8.875" style="1941"/>
    <col min="4" max="4" width="14.125" style="1941" customWidth="1"/>
    <col min="5" max="5" width="8.875" style="1941"/>
    <col min="6" max="6" width="12.875" style="1941" customWidth="1"/>
    <col min="7" max="16384" width="8.875" style="1941"/>
  </cols>
  <sheetData>
    <row r="1" spans="1:6" ht="21">
      <c r="A1" s="2556" t="s">
        <v>2514</v>
      </c>
      <c r="B1" s="2557"/>
      <c r="C1" s="2557"/>
      <c r="D1" s="2557"/>
      <c r="E1" s="2558"/>
    </row>
    <row r="2" spans="1:6" ht="15.75">
      <c r="A2" s="2559" t="s">
        <v>2315</v>
      </c>
      <c r="B2" s="2560">
        <f ca="1">SUMIF(B6:B13,"&lt;&gt;#ref!",B6:B13)</f>
        <v>46006</v>
      </c>
      <c r="C2" s="2561" t="s">
        <v>2507</v>
      </c>
      <c r="D2" s="2562" t="s">
        <v>2508</v>
      </c>
      <c r="E2" s="2563">
        <f>SUM(E6:E13)</f>
        <v>11628.210000000001</v>
      </c>
    </row>
    <row r="3" spans="1:6" ht="15.75">
      <c r="A3" s="2559" t="s">
        <v>1395</v>
      </c>
      <c r="B3" s="2560">
        <f ca="1">ROUND(B2*10000/E2,0)</f>
        <v>39564</v>
      </c>
      <c r="C3" s="2561" t="s">
        <v>2515</v>
      </c>
      <c r="D3" s="2564"/>
      <c r="E3" s="2565"/>
    </row>
    <row r="4" spans="1:6" ht="15.75">
      <c r="A4" s="2566"/>
      <c r="B4" s="2564"/>
      <c r="C4" s="2564"/>
      <c r="D4" s="2564"/>
      <c r="E4" s="2565"/>
    </row>
    <row r="5" spans="1:6" ht="15">
      <c r="A5" s="2567" t="s">
        <v>2509</v>
      </c>
      <c r="B5" s="3333" t="s">
        <v>2510</v>
      </c>
      <c r="C5" s="3333"/>
      <c r="D5" s="2568"/>
      <c r="E5" s="2569" t="s">
        <v>2511</v>
      </c>
      <c r="F5" s="2570" t="s">
        <v>2512</v>
      </c>
    </row>
    <row r="6" spans="1:6">
      <c r="A6" s="2571" t="str">
        <f>'数据-取费表'!AN6</f>
        <v>收益法（办公）</v>
      </c>
      <c r="B6" s="2570">
        <f ca="1">IF(F6="是",'数据-取费表'!AO6,0)</f>
        <v>35845</v>
      </c>
      <c r="C6" s="2561" t="s">
        <v>2507</v>
      </c>
      <c r="D6" s="2564"/>
      <c r="E6" s="2572">
        <f>IF(OR(A6=0,F6="否"),0,'数据-取费表'!K6+'数据-取费表'!S6)</f>
        <v>8532.39</v>
      </c>
      <c r="F6" s="2573" t="s">
        <v>2513</v>
      </c>
    </row>
    <row r="7" spans="1:6">
      <c r="A7" s="2571" t="str">
        <f>'数据-取费表'!AN7</f>
        <v>收益法（商业）</v>
      </c>
      <c r="B7" s="2570">
        <f ca="1">IF(F7="是",'数据-取费表'!AO7,0)</f>
        <v>9800</v>
      </c>
      <c r="C7" s="2561" t="s">
        <v>2507</v>
      </c>
      <c r="D7" s="2564"/>
      <c r="E7" s="2572">
        <f>IF(OR(A7=0,F7="否"),0,'数据-取费表'!K7+'数据-取费表'!S7)</f>
        <v>2104.29</v>
      </c>
      <c r="F7" s="2573" t="s">
        <v>2513</v>
      </c>
    </row>
    <row r="8" spans="1:6">
      <c r="A8" s="2571" t="str">
        <f>'数据-取费表'!AN8</f>
        <v>收益法（车位）</v>
      </c>
      <c r="B8" s="2570">
        <f ca="1">IF(F8="是",'数据-取费表'!AO8,0)</f>
        <v>361</v>
      </c>
      <c r="C8" s="2561" t="s">
        <v>2507</v>
      </c>
      <c r="D8" s="2564"/>
      <c r="E8" s="2572">
        <f>IF(OR(A8=0,F8="否"),0,'数据-取费表'!K8+'数据-取费表'!S8)</f>
        <v>991.5300000000002</v>
      </c>
      <c r="F8" s="2573" t="s">
        <v>2513</v>
      </c>
    </row>
    <row r="9" spans="1:6">
      <c r="A9" s="2571">
        <f>'数据-取费表'!AN9</f>
        <v>0</v>
      </c>
      <c r="B9" s="2570" t="e">
        <f ca="1">IF(F9="是",'数据-取费表'!AO9,0)</f>
        <v>#REF!</v>
      </c>
      <c r="C9" s="2561" t="s">
        <v>2507</v>
      </c>
      <c r="D9" s="2564"/>
      <c r="E9" s="2572">
        <f>IF(OR(A9=0,F9="否"),0,'数据-取费表'!K9+'数据-取费表'!S9)</f>
        <v>0</v>
      </c>
      <c r="F9" s="2573" t="s">
        <v>2513</v>
      </c>
    </row>
    <row r="10" spans="1:6">
      <c r="A10" s="2571">
        <f>'数据-取费表'!AN10</f>
        <v>0</v>
      </c>
      <c r="B10" s="2570" t="e">
        <f ca="1">IF(F10="是",'数据-取费表'!AO10,0)</f>
        <v>#REF!</v>
      </c>
      <c r="C10" s="2561" t="s">
        <v>2507</v>
      </c>
      <c r="D10" s="2564"/>
      <c r="E10" s="2572">
        <f>IF(OR(A10=0,F10="否"),0,'数据-取费表'!K10+'数据-取费表'!S10)</f>
        <v>0</v>
      </c>
      <c r="F10" s="2573" t="s">
        <v>2513</v>
      </c>
    </row>
    <row r="11" spans="1:6">
      <c r="A11" s="2571">
        <f>'数据-取费表'!AN11</f>
        <v>0</v>
      </c>
      <c r="B11" s="2570" t="e">
        <f ca="1">IF(F11="是",'数据-取费表'!AO11,0)</f>
        <v>#REF!</v>
      </c>
      <c r="C11" s="2561" t="s">
        <v>2507</v>
      </c>
      <c r="D11" s="2564"/>
      <c r="E11" s="2572">
        <f>IF(OR(A11=0,F11="否"),0,'数据-取费表'!K11+'数据-取费表'!S11)</f>
        <v>0</v>
      </c>
      <c r="F11" s="2573" t="s">
        <v>2513</v>
      </c>
    </row>
    <row r="12" spans="1:6">
      <c r="A12" s="2571">
        <f>'数据-取费表'!AN12</f>
        <v>0</v>
      </c>
      <c r="B12" s="2570" t="e">
        <f ca="1">IF(F12="是",'数据-取费表'!AO12,0)</f>
        <v>#REF!</v>
      </c>
      <c r="C12" s="2561" t="s">
        <v>2507</v>
      </c>
      <c r="D12" s="2564"/>
      <c r="E12" s="2572">
        <f>IF(OR(A12=0,F12="否"),0,'数据-取费表'!K12+'数据-取费表'!S12)</f>
        <v>0</v>
      </c>
      <c r="F12" s="2573" t="s">
        <v>2513</v>
      </c>
    </row>
    <row r="13" spans="1:6" ht="15" thickBot="1">
      <c r="A13" s="2574">
        <f>'数据-取费表'!AN13</f>
        <v>0</v>
      </c>
      <c r="B13" s="2570" t="e">
        <f ca="1">IF(F13="是",'数据-取费表'!AO13,0)</f>
        <v>#REF!</v>
      </c>
      <c r="C13" s="2575" t="s">
        <v>2507</v>
      </c>
      <c r="D13" s="2576"/>
      <c r="E13" s="2572">
        <f>IF(OR(A13=0,F13="否"),0,'数据-取费表'!K13+'数据-取费表'!S13)</f>
        <v>0</v>
      </c>
      <c r="F13" s="2573" t="s">
        <v>2513</v>
      </c>
    </row>
  </sheetData>
  <sheetProtection password="C66D" sheet="1" objects="1" scenarios="1" formatCells="0"/>
  <mergeCells count="1">
    <mergeCell ref="B5:C5"/>
  </mergeCells>
  <phoneticPr fontId="146"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8.875" defaultRowHeight="14.25"/>
  <cols>
    <col min="1" max="1" width="84" style="1941" customWidth="1"/>
    <col min="2" max="16384" width="8.875" style="1941"/>
  </cols>
  <sheetData>
    <row r="1" spans="1:1" ht="23.25">
      <c r="A1" s="1940" t="s">
        <v>1612</v>
      </c>
    </row>
    <row r="2" spans="1:1">
      <c r="A2" s="1942"/>
    </row>
    <row r="3" spans="1:1" ht="18">
      <c r="A3" s="1943" t="str">
        <f>项目基本情况!B5&amp;"："</f>
        <v>昆仑信托有限责任公司：</v>
      </c>
    </row>
    <row r="4" spans="1:1" ht="36">
      <c r="A4" s="1944" t="str">
        <f>"受贵公司委托，我公司对"&amp;项目基本情况!S1&amp;"进行了预评估。"</f>
        <v>受贵公司委托，我公司对北京市海淀区西四环北路160号房地产抵押价值进行了预评估。</v>
      </c>
    </row>
    <row r="5" spans="1:1" ht="18.75">
      <c r="A5" s="1945" t="s">
        <v>1613</v>
      </c>
    </row>
    <row r="6" spans="1:1" ht="18.75">
      <c r="A6" s="1946" t="s">
        <v>1614</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四环北路160号房地产，为北京碧生源物业管理有限公司所有。根据，估价对象（分摊）出让国有建设用地使用权面积为966.97平方米。根据《不动产权证书》[]、《抵押物清单》，估价对象建筑面积为11628.21平方米。</v>
      </c>
    </row>
    <row r="8" spans="1:1" ht="57.75">
      <c r="A8" s="1947" t="s">
        <v>1615</v>
      </c>
    </row>
    <row r="9" spans="1:1" ht="18.75">
      <c r="A9" s="1946" t="s">
        <v>1616</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四环北路160号房地产,属北京碧生源物业管理有限公司开发建设的办公项目，该项目尚在开发建设中。根据，估价对象（分摊）出让国有建设用地使用权面积为966.97平方米。根据《不动产权证书》[]、《抵押物清单》，估价对象规划建筑面积为11628.21平方米。</v>
      </c>
    </row>
    <row r="11" spans="1:1" ht="76.5">
      <c r="A11" s="1947" t="s">
        <v>1617</v>
      </c>
    </row>
    <row r="12" spans="1:1" ht="18.75">
      <c r="A12" s="1945" t="s">
        <v>1618</v>
      </c>
    </row>
    <row r="13" spans="1:1" ht="38.25" customHeight="1">
      <c r="A13" s="1948" t="str">
        <f>IF(项目基本情况!B8="抵押",IF(项目基本情况!B5=项目基本情况!B6,定义!C51,定义!B51),定义!D51)</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49" t="s">
        <v>1619</v>
      </c>
    </row>
    <row r="15" spans="1:1" ht="18">
      <c r="A15" s="1950" t="str">
        <f>TEXT(项目基本情况!D3,"yyyy年m月d日;;")&amp;IF(项目基本情况!D3=项目基本情况!B3,"（评估专业人员实地查勘之日）","")</f>
        <v>2018年3月26日（评估专业人员实地查勘之日）</v>
      </c>
    </row>
    <row r="16" spans="1:1" ht="18.75">
      <c r="A16" s="1949" t="s">
        <v>1620</v>
      </c>
    </row>
    <row r="17" spans="1:1" ht="75">
      <c r="A17" s="1944" t="s">
        <v>1621</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1610</v>
      </c>
    </row>
    <row r="24" spans="1:1" ht="18">
      <c r="A24" s="1951" t="str">
        <f>"本次评估采用的主估价方法为"&amp;结果表!K4&amp;"和"&amp;结果表!L4&amp;"。"</f>
        <v>本次评估采用的主估价方法为比较法和收益法。</v>
      </c>
    </row>
    <row r="25" spans="1:1" ht="18">
      <c r="A25" s="1951"/>
    </row>
    <row r="26" spans="1:1" ht="18.75">
      <c r="A26" s="1952" t="s">
        <v>1611</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90"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zoomScale="90" zoomScaleNormal="90" zoomScaleSheetLayoutView="90" zoomScalePageLayoutView="90" workbookViewId="0">
      <selection activeCell="D17" sqref="D17"/>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t="s">
        <v>27</v>
      </c>
      <c r="D1" s="1816" t="s">
        <v>70</v>
      </c>
      <c r="E1" s="1817" t="s">
        <v>1387</v>
      </c>
      <c r="F1" s="1279">
        <f ca="1">J53</f>
        <v>41.23</v>
      </c>
      <c r="G1" s="1832">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1516</v>
      </c>
      <c r="B2" s="1840">
        <f ca="1">C40+J29+L46</f>
        <v>35845</v>
      </c>
      <c r="C2" s="1841" t="s">
        <v>1517</v>
      </c>
      <c r="D2" s="1841"/>
      <c r="E2" s="1842"/>
      <c r="F2" s="1843"/>
      <c r="G2" s="1844"/>
      <c r="H2" s="1836"/>
      <c r="I2" s="1836"/>
      <c r="J2" s="1836"/>
      <c r="K2" s="1837"/>
      <c r="L2" s="1836"/>
      <c r="M2" s="1836"/>
    </row>
    <row r="3" spans="1:37" ht="18" customHeight="1" thickBot="1">
      <c r="A3" s="1845" t="s">
        <v>1518</v>
      </c>
      <c r="B3" s="1846">
        <f ca="1">IF(ISERROR(B2*10000/F43),0,ROUND(B2*10000/F43,0))</f>
        <v>42011</v>
      </c>
      <c r="C3" s="1841" t="s">
        <v>1519</v>
      </c>
      <c r="D3" s="1841"/>
      <c r="E3" s="1842"/>
      <c r="F3" s="1843"/>
      <c r="G3" s="1844"/>
      <c r="H3" s="742" t="s">
        <v>1589</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1684</v>
      </c>
      <c r="D5" s="1818" t="s">
        <v>1402</v>
      </c>
      <c r="E5" s="1289"/>
      <c r="F5" s="1290"/>
      <c r="G5" s="1847"/>
      <c r="H5" s="344">
        <v>1</v>
      </c>
      <c r="I5" s="345" t="s">
        <v>1401</v>
      </c>
      <c r="J5" s="1288">
        <f ca="1">J6+J10+J12</f>
        <v>0</v>
      </c>
      <c r="K5" s="1818" t="s">
        <v>1402</v>
      </c>
      <c r="L5" s="1289"/>
      <c r="M5" s="1290"/>
    </row>
    <row r="6" spans="1:37" ht="18" customHeight="1">
      <c r="A6" s="1287" t="s">
        <v>1035</v>
      </c>
      <c r="B6" s="3336" t="s">
        <v>1403</v>
      </c>
      <c r="C6" s="1292">
        <f ca="1">ROUND(F6*F8*F7*(1-F9)/10000,0)</f>
        <v>1682</v>
      </c>
      <c r="D6" s="164" t="s">
        <v>3022</v>
      </c>
      <c r="E6" s="347" t="s">
        <v>1405</v>
      </c>
      <c r="F6" s="348">
        <f ca="1">INDIRECT("'数据-取费表'!u"&amp;$G$1)</f>
        <v>6</v>
      </c>
      <c r="G6" s="1847"/>
      <c r="H6" s="1287" t="s">
        <v>1035</v>
      </c>
      <c r="I6" s="3336" t="s">
        <v>1403</v>
      </c>
      <c r="J6" s="346">
        <f ca="1">ROUND(M6*M8*M7*(1-M9)/10000,0)</f>
        <v>0</v>
      </c>
      <c r="K6" s="164" t="s">
        <v>3021</v>
      </c>
      <c r="L6" s="347" t="s">
        <v>1405</v>
      </c>
      <c r="M6" s="348">
        <f ca="1">INDIRECT("'数据-取费表'!z"&amp;$G$1)</f>
        <v>0</v>
      </c>
    </row>
    <row r="7" spans="1:37" ht="18" customHeight="1">
      <c r="A7" s="1291"/>
      <c r="B7" s="3337"/>
      <c r="C7" s="1293"/>
      <c r="D7" s="352"/>
      <c r="E7" s="1294" t="s">
        <v>1406</v>
      </c>
      <c r="F7" s="348">
        <f ca="1">IF(INDIRECT("'数据-取费表'!ah"&amp;$G$1)="",INDIRECT("'数据-取费表'!k"&amp;$G$1),INDIRECT("'数据-取费表'!ah"&amp;$G$1))</f>
        <v>8532.39</v>
      </c>
      <c r="G7" s="1847"/>
      <c r="H7" s="349"/>
      <c r="I7" s="3337"/>
      <c r="J7" s="351"/>
      <c r="K7" s="352"/>
      <c r="L7" s="347" t="s">
        <v>1406</v>
      </c>
      <c r="M7" s="348">
        <f ca="1">F7</f>
        <v>8532.39</v>
      </c>
    </row>
    <row r="8" spans="1:37" ht="18" customHeight="1">
      <c r="A8" s="349"/>
      <c r="B8" s="3337"/>
      <c r="C8" s="351"/>
      <c r="D8" s="352"/>
      <c r="E8" s="347" t="s">
        <v>1407</v>
      </c>
      <c r="F8" s="348">
        <f ca="1">INDIRECT("'数据-取费表'!ai"&amp;$G$1)</f>
        <v>365</v>
      </c>
      <c r="G8" s="1847"/>
      <c r="H8" s="349"/>
      <c r="I8" s="3337"/>
      <c r="J8" s="351"/>
      <c r="K8" s="352"/>
      <c r="L8" s="347" t="s">
        <v>1407</v>
      </c>
      <c r="M8" s="348">
        <f ca="1">INDIRECT("'数据-取费表'!ai"&amp;$G$1)</f>
        <v>365</v>
      </c>
    </row>
    <row r="9" spans="1:37" ht="18" customHeight="1">
      <c r="A9" s="349"/>
      <c r="B9" s="3338"/>
      <c r="C9" s="351"/>
      <c r="D9" s="352"/>
      <c r="E9" s="347" t="s">
        <v>1408</v>
      </c>
      <c r="F9" s="357">
        <f ca="1">INDIRECT("'数据-取费表'!w"&amp;$G$1)</f>
        <v>0.1</v>
      </c>
      <c r="G9" s="1847"/>
      <c r="H9" s="349"/>
      <c r="I9" s="3338"/>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ROUND(IF(F10="押一",F6*F8*F7/12*F11,IF(F10="押二",F6*F8*F7/12*2*F11,IF(F10="押三",F6*F8*F7/12*3*F11,C11*F11)))/10000,0)</f>
        <v>2</v>
      </c>
      <c r="D10" s="1820" t="s">
        <v>3023</v>
      </c>
      <c r="E10" s="358" t="s">
        <v>1411</v>
      </c>
      <c r="F10" s="1362" t="s">
        <v>3068</v>
      </c>
      <c r="G10" s="1847"/>
      <c r="H10" s="1287" t="s">
        <v>1039</v>
      </c>
      <c r="I10" s="1819" t="s">
        <v>1409</v>
      </c>
      <c r="J10" s="346">
        <f ca="1">ROUND(IF(M10="押一",M6*M8*M7/12*M11,IF(M10="押二",M6*M8*M7/12*2*M11,IF(M10="押三",M6*M8*M7/12*3*M11,J11*M11)))/10000,0)</f>
        <v>0</v>
      </c>
      <c r="K10" s="1820" t="s">
        <v>3024</v>
      </c>
      <c r="L10" s="358" t="s">
        <v>1411</v>
      </c>
      <c r="M10" s="1362" t="s">
        <v>1412</v>
      </c>
    </row>
    <row r="11" spans="1:37" ht="18" customHeight="1">
      <c r="A11" s="353"/>
      <c r="B11" s="1821" t="s">
        <v>1388</v>
      </c>
      <c r="C11" s="1174"/>
      <c r="D11" s="1822"/>
      <c r="E11" s="358" t="s">
        <v>1413</v>
      </c>
      <c r="F11" s="359">
        <f ca="1">'数据-取费表'!B39</f>
        <v>1.4999999999999999E-2</v>
      </c>
      <c r="G11" s="1847"/>
      <c r="H11" s="1295"/>
      <c r="I11" s="1821" t="s">
        <v>1388</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3434</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INDIRECT("'数据-取费表'!m"&amp;$G$1)+INDIRECT("'数据-取费表'!t"&amp;$G$1)</f>
        <v>2560</v>
      </c>
      <c r="D14" s="1796" t="s">
        <v>1419</v>
      </c>
      <c r="E14" s="1790"/>
      <c r="F14" s="364"/>
      <c r="G14" s="1847"/>
      <c r="H14" s="1197" t="s">
        <v>1035</v>
      </c>
      <c r="I14" s="347" t="s">
        <v>1420</v>
      </c>
      <c r="J14" s="24">
        <f ca="1">C29</f>
        <v>3816</v>
      </c>
      <c r="K14" s="15"/>
      <c r="L14" s="975"/>
      <c r="M14" s="976"/>
    </row>
    <row r="15" spans="1:37" s="1854" customFormat="1" ht="18" customHeight="1" thickBot="1">
      <c r="A15" s="1197" t="s">
        <v>1036</v>
      </c>
      <c r="B15" s="347" t="s">
        <v>1421</v>
      </c>
      <c r="C15" s="24">
        <f ca="1">ROUND(C14*F15,0)</f>
        <v>77</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ROUND(INDIRECT("'数据-取费表'!m"&amp;$G$1)*F16,0)</f>
        <v>0</v>
      </c>
      <c r="D16" s="347" t="s">
        <v>1422</v>
      </c>
      <c r="E16" s="347" t="s">
        <v>1423</v>
      </c>
      <c r="F16" s="367">
        <f ca="1">IF(INDIRECT("'数据-取费表'!c"&amp;$G$1)="住宅",'数据-取费表'!B34,0)</f>
        <v>0</v>
      </c>
      <c r="G16" s="1847"/>
      <c r="H16" s="1325" t="s">
        <v>1030</v>
      </c>
      <c r="I16" s="1326" t="s">
        <v>1425</v>
      </c>
      <c r="J16" s="355">
        <f ca="1">ROUND(J17+J22+J23+J24,0)</f>
        <v>91</v>
      </c>
      <c r="K16" s="1333" t="s">
        <v>1426</v>
      </c>
      <c r="L16" s="1334"/>
      <c r="M16" s="1290"/>
    </row>
    <row r="17" spans="1:37" s="1854" customFormat="1" ht="18" customHeight="1">
      <c r="A17" s="1197" t="s">
        <v>1390</v>
      </c>
      <c r="B17" s="347" t="s">
        <v>1427</v>
      </c>
      <c r="C17" s="24">
        <f ca="1">ROUND(F17*(F43+INDIRECT("'数据-取费表'!S"&amp;$G$1))/10000,0)</f>
        <v>171</v>
      </c>
      <c r="D17" s="347" t="s">
        <v>1428</v>
      </c>
      <c r="E17" s="347" t="s">
        <v>1429</v>
      </c>
      <c r="F17" s="26">
        <f>'数据-取费表'!B35</f>
        <v>200</v>
      </c>
      <c r="G17" s="1850"/>
      <c r="H17" s="1197" t="s">
        <v>1035</v>
      </c>
      <c r="I17" s="347" t="s">
        <v>1430</v>
      </c>
      <c r="J17" s="24">
        <f ca="1">ROUND(IF(项目基本情况!B11="自然人",J5*M17,J18+J19+J20),1)</f>
        <v>33.299999999999997</v>
      </c>
      <c r="K17" s="1796" t="s">
        <v>1431</v>
      </c>
      <c r="L17" s="1794"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38</v>
      </c>
      <c r="D18" s="347" t="s">
        <v>1422</v>
      </c>
      <c r="E18" s="347" t="s">
        <v>1423</v>
      </c>
      <c r="F18" s="367">
        <f>'数据-取费表'!B36</f>
        <v>1.4999999999999999E-2</v>
      </c>
      <c r="G18" s="1850"/>
      <c r="H18" s="1197" t="s">
        <v>1034</v>
      </c>
      <c r="I18" s="347" t="s">
        <v>1434</v>
      </c>
      <c r="J18" s="24">
        <f ca="1">ROUND(J5*M18/(1+'数据-取费表'!C42),2)</f>
        <v>0</v>
      </c>
      <c r="K18" s="1794"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2846</v>
      </c>
      <c r="D19" s="140" t="s">
        <v>1437</v>
      </c>
      <c r="E19" s="1814"/>
      <c r="F19" s="26"/>
      <c r="G19" s="1847"/>
      <c r="H19" s="1197" t="s">
        <v>1036</v>
      </c>
      <c r="I19" s="347" t="s">
        <v>1438</v>
      </c>
      <c r="J19" s="24">
        <f ca="1">IF(K19="按租金收入计税",ROUND(J5*M19,2),ROUND(C29*M19*0.7,2))</f>
        <v>32.049999999999997</v>
      </c>
      <c r="K19" s="1824" t="s">
        <v>1439</v>
      </c>
      <c r="L19" s="347" t="s">
        <v>1423</v>
      </c>
      <c r="M19" s="367">
        <f>IF(K19="按租金收入计税",'数据-取费表'!B51,'数据-取费表'!B50)</f>
        <v>1.2E-2</v>
      </c>
    </row>
    <row r="20" spans="1:37" s="1854" customFormat="1" ht="18" customHeight="1">
      <c r="A20" s="1197" t="s">
        <v>1039</v>
      </c>
      <c r="B20" s="347" t="s">
        <v>1440</v>
      </c>
      <c r="C20" s="24">
        <f ca="1">ROUND(C19*F20,0)</f>
        <v>57</v>
      </c>
      <c r="D20" s="369" t="s">
        <v>1441</v>
      </c>
      <c r="E20" s="347" t="s">
        <v>1423</v>
      </c>
      <c r="F20" s="367">
        <f>'数据-取费表'!B37</f>
        <v>0.02</v>
      </c>
      <c r="G20" s="1850"/>
      <c r="H20" s="1197" t="s">
        <v>1389</v>
      </c>
      <c r="I20" s="164" t="s">
        <v>1442</v>
      </c>
      <c r="J20" s="25">
        <f ca="1">ROUND(M20*M21/10000,2)</f>
        <v>1.28</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18</v>
      </c>
      <c r="D21" s="369" t="s">
        <v>1446</v>
      </c>
      <c r="E21" s="347" t="s">
        <v>1447</v>
      </c>
      <c r="F21" s="367">
        <f>'数据-取费表'!B38</f>
        <v>0.03</v>
      </c>
      <c r="G21" s="1850"/>
      <c r="H21" s="372"/>
      <c r="I21" s="356"/>
      <c r="J21" s="29"/>
      <c r="K21" s="373"/>
      <c r="L21" s="347" t="s">
        <v>1448</v>
      </c>
      <c r="M21" s="348">
        <f ca="1">INDIRECT("'数据-取费表'!r"&amp;$G$1)</f>
        <v>709.53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1814"/>
      <c r="F22" s="26"/>
      <c r="G22" s="1847"/>
      <c r="H22" s="1197" t="s">
        <v>1039</v>
      </c>
      <c r="I22" s="347" t="s">
        <v>1450</v>
      </c>
      <c r="J22" s="24">
        <f ca="1">ROUND(J14*M22,1)</f>
        <v>57.2</v>
      </c>
      <c r="K22" s="1794" t="s">
        <v>1451</v>
      </c>
      <c r="L22" s="347" t="s">
        <v>1423</v>
      </c>
      <c r="M22" s="374">
        <f ca="1">INDIRECT("'数据-取费表'!Ak"&amp;$G$1)</f>
        <v>1.4999999999999999E-2</v>
      </c>
    </row>
    <row r="23" spans="1:37" s="1854" customFormat="1" ht="18" customHeight="1">
      <c r="A23" s="1197" t="s">
        <v>1034</v>
      </c>
      <c r="B23" s="347" t="s">
        <v>1452</v>
      </c>
      <c r="C23" s="24">
        <f ca="1">IF('数据-取费表'!B22&lt;=1,ROUND(C19*F24*F23/2,0)+ROUND(C20*F24*F23/2,0),ROUND(C19*(POWER((1+F24),F23/2)-1),0)+ROUND(C20*(POWER((1+F24),F23/2)-1),0))</f>
        <v>138</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ROUND(J13*M23,1)</f>
        <v>0</v>
      </c>
      <c r="K23" s="1794" t="s">
        <v>1455</v>
      </c>
      <c r="L23" s="347" t="s">
        <v>1456</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1393</v>
      </c>
      <c r="I24" s="1336" t="s">
        <v>1440</v>
      </c>
      <c r="J24" s="1337">
        <f ca="1">ROUND(J5*M24,1)</f>
        <v>0</v>
      </c>
      <c r="K24" s="1338" t="s">
        <v>1460</v>
      </c>
      <c r="L24" s="1336" t="s">
        <v>1456</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7" t="s">
        <v>1462</v>
      </c>
      <c r="C25" s="24"/>
      <c r="D25" s="140" t="s">
        <v>1463</v>
      </c>
      <c r="E25" s="1814"/>
      <c r="F25" s="26"/>
      <c r="G25" s="1847"/>
      <c r="H25" s="1325" t="s">
        <v>1031</v>
      </c>
      <c r="I25" s="1340" t="s">
        <v>1464</v>
      </c>
      <c r="J25" s="355">
        <f ca="1">J5-J16</f>
        <v>-91</v>
      </c>
      <c r="K25" s="1341" t="s">
        <v>1465</v>
      </c>
      <c r="L25" s="1342"/>
      <c r="M25" s="1343"/>
    </row>
    <row r="26" spans="1:37">
      <c r="A26" s="1197" t="s">
        <v>1034</v>
      </c>
      <c r="B26" s="347" t="s">
        <v>1466</v>
      </c>
      <c r="C26" s="24">
        <f ca="1">ROUND((C19+C20)*F26,0)</f>
        <v>435</v>
      </c>
      <c r="D26" s="369" t="s">
        <v>1467</v>
      </c>
      <c r="E26" s="358" t="s">
        <v>1468</v>
      </c>
      <c r="F26" s="357">
        <f ca="1">INDIRECT("'数据-取费表'!q"&amp;$G$1)</f>
        <v>0.15</v>
      </c>
      <c r="G26" s="1847"/>
      <c r="H26" s="344" t="s">
        <v>1032</v>
      </c>
      <c r="I26" s="345" t="s">
        <v>1469</v>
      </c>
      <c r="J26" s="346">
        <f ca="1">IF(J5&lt;&gt;0,ROUND(J25*(1-((1+M28)/(1+M26))^M27)/(M26-M28),0),0)</f>
        <v>0</v>
      </c>
      <c r="K26" s="370" t="s">
        <v>1470</v>
      </c>
      <c r="L26" s="347" t="s">
        <v>1471</v>
      </c>
      <c r="M26" s="357">
        <f ca="1">INDIRECT("'数据-取费表'!I"&amp;$G$1)</f>
        <v>5.5E-2</v>
      </c>
    </row>
    <row r="27" spans="1:37" ht="18" customHeight="1">
      <c r="A27" s="1197" t="s">
        <v>1036</v>
      </c>
      <c r="B27" s="347" t="s">
        <v>1472</v>
      </c>
      <c r="C27" s="24">
        <f ca="1">ROUND(F21*F26,4)</f>
        <v>4.4999999999999997E-3</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3816</v>
      </c>
      <c r="D29" s="1338"/>
      <c r="E29" s="1336"/>
      <c r="F29" s="1339"/>
      <c r="G29" s="1850"/>
      <c r="H29" s="380" t="s">
        <v>1033</v>
      </c>
      <c r="I29" s="381" t="s">
        <v>1480</v>
      </c>
      <c r="J29" s="382">
        <f ca="1">ROUND(J26/(1+F40)^F41,0)</f>
        <v>0</v>
      </c>
      <c r="K29" s="383" t="s">
        <v>1481</v>
      </c>
      <c r="L29" s="384"/>
      <c r="M29" s="385">
        <f ca="1">INDIRECT("'数据-取费表'!k"&amp;$G$1)</f>
        <v>8532.39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372</v>
      </c>
      <c r="D30" s="1333" t="s">
        <v>1426</v>
      </c>
      <c r="E30" s="1334"/>
      <c r="F30" s="1290"/>
      <c r="G30" s="1847"/>
      <c r="H30" s="743"/>
      <c r="I30" s="744"/>
      <c r="J30" s="745"/>
      <c r="K30" s="746"/>
      <c r="L30" s="747"/>
      <c r="M30" s="748"/>
    </row>
    <row r="31" spans="1:37" ht="18" customHeight="1">
      <c r="A31" s="1197" t="s">
        <v>1035</v>
      </c>
      <c r="B31" s="347" t="s">
        <v>1430</v>
      </c>
      <c r="C31" s="24">
        <f ca="1">ROUND(IF(项目基本情况!B11="自然人",C5*F31,C32+C33+C34),1)</f>
        <v>293.2</v>
      </c>
      <c r="D31" s="1796" t="s">
        <v>1431</v>
      </c>
      <c r="E31" s="1794"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IF(项目基本情况!B11="自然人","——",ROUND(C5*F32/(1+'数据-取费表'!C42),2))</f>
        <v>89.81</v>
      </c>
      <c r="D32" s="1794"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IF(项目基本情况!B11="自然人","——",IF(D33="按租金收入计税",ROUND(C5*F33,2),IF(D33="按房产原值计税",ROUND(C29*F33*0.7,2),INDIRECT("'数据-取费表'!Aj"&amp;$G$1))))</f>
        <v>202.08</v>
      </c>
      <c r="D33" s="1824" t="s">
        <v>3100</v>
      </c>
      <c r="E33" s="347" t="s">
        <v>1423</v>
      </c>
      <c r="F33" s="367">
        <f>IF(D33="按票据","——",IF(D33="按租金收入计税",'数据-取费表'!B51,'数据-取费表'!B50))</f>
        <v>0.12</v>
      </c>
      <c r="G33" s="1847"/>
      <c r="H33" s="1855"/>
      <c r="I33" s="1856"/>
      <c r="J33" s="1857"/>
      <c r="K33" s="1858"/>
      <c r="L33" s="1855"/>
      <c r="M33" s="1855"/>
    </row>
    <row r="34" spans="1:18" ht="18" customHeight="1">
      <c r="A34" s="1287" t="s">
        <v>1389</v>
      </c>
      <c r="B34" s="164" t="s">
        <v>1442</v>
      </c>
      <c r="C34" s="25">
        <f ca="1">IF(项目基本情况!B11="自然人","——",ROUND(F34*F35/10000,2))</f>
        <v>1.28</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709.53</v>
      </c>
      <c r="G35" s="1847"/>
      <c r="H35" s="743"/>
      <c r="I35" s="1856"/>
      <c r="J35" s="1857"/>
      <c r="K35" s="1858"/>
      <c r="L35" s="1855"/>
      <c r="M35" s="1855"/>
    </row>
    <row r="36" spans="1:18" ht="18" customHeight="1">
      <c r="A36" s="1348" t="s">
        <v>1039</v>
      </c>
      <c r="B36" s="347" t="s">
        <v>1450</v>
      </c>
      <c r="C36" s="24">
        <f ca="1">ROUND(C29*F36,1)</f>
        <v>57.2</v>
      </c>
      <c r="D36" s="1794" t="s">
        <v>1483</v>
      </c>
      <c r="E36" s="347" t="s">
        <v>1423</v>
      </c>
      <c r="F36" s="374">
        <f ca="1">INDIRECT("'数据-取费表'!Ak"&amp;$G$1)</f>
        <v>1.4999999999999999E-2</v>
      </c>
      <c r="G36" s="1847"/>
      <c r="H36" s="1855"/>
      <c r="I36" s="1856"/>
      <c r="J36" s="1857"/>
      <c r="K36" s="749"/>
      <c r="L36" s="1855"/>
      <c r="M36" s="1855"/>
    </row>
    <row r="37" spans="1:18" ht="18" customHeight="1">
      <c r="A37" s="1197" t="s">
        <v>1075</v>
      </c>
      <c r="B37" s="347" t="s">
        <v>1454</v>
      </c>
      <c r="C37" s="24">
        <f ca="1">ROUND(C13*F37,1)</f>
        <v>5.2</v>
      </c>
      <c r="D37" s="1794" t="s">
        <v>1455</v>
      </c>
      <c r="E37" s="347" t="s">
        <v>1456</v>
      </c>
      <c r="F37" s="376">
        <f ca="1">INDIRECT("'数据-取费表'!Al"&amp;$G$1)</f>
        <v>1.5E-3</v>
      </c>
      <c r="G37" s="1847"/>
      <c r="H37" s="1855"/>
      <c r="I37" s="1856"/>
      <c r="J37" s="1857"/>
      <c r="K37" s="749"/>
      <c r="L37" s="1855"/>
      <c r="M37" s="1855"/>
    </row>
    <row r="38" spans="1:18" ht="18" customHeight="1" thickBot="1">
      <c r="A38" s="1335" t="s">
        <v>1393</v>
      </c>
      <c r="B38" s="1336" t="s">
        <v>1440</v>
      </c>
      <c r="C38" s="1337">
        <f ca="1">ROUND(C5*F38,1)</f>
        <v>16.8</v>
      </c>
      <c r="D38" s="1338" t="s">
        <v>1460</v>
      </c>
      <c r="E38" s="1336" t="s">
        <v>1456</v>
      </c>
      <c r="F38" s="1332">
        <f ca="1">INDIRECT("'数据-取费表'!Am"&amp;$G$1)</f>
        <v>0.01</v>
      </c>
      <c r="G38" s="1847"/>
      <c r="H38" s="1855"/>
      <c r="I38" s="1856"/>
      <c r="J38" s="1857"/>
      <c r="K38" s="1861"/>
      <c r="L38" s="1855"/>
      <c r="M38" s="1855"/>
    </row>
    <row r="39" spans="1:18" ht="24.6" customHeight="1" thickTop="1">
      <c r="A39" s="1325" t="s">
        <v>1031</v>
      </c>
      <c r="B39" s="1340" t="s">
        <v>1484</v>
      </c>
      <c r="C39" s="355">
        <f ca="1">C5-C30</f>
        <v>1312</v>
      </c>
      <c r="D39" s="1341" t="s">
        <v>1485</v>
      </c>
      <c r="E39" s="1342"/>
      <c r="F39" s="1343"/>
      <c r="G39" s="1847"/>
      <c r="H39" s="1855"/>
      <c r="I39" s="1856"/>
      <c r="J39" s="1857"/>
      <c r="K39" s="1861"/>
      <c r="L39" s="1855"/>
      <c r="M39" s="1855"/>
    </row>
    <row r="40" spans="1:18" ht="18" customHeight="1">
      <c r="A40" s="344" t="s">
        <v>1032</v>
      </c>
      <c r="B40" s="345" t="s">
        <v>1486</v>
      </c>
      <c r="C40" s="346">
        <f ca="1">ROUND(C39*(1-((1+F42)/(1+F40))^F41)/(F40-F42),0)</f>
        <v>35801</v>
      </c>
      <c r="D40" s="370" t="s">
        <v>1470</v>
      </c>
      <c r="E40" s="347" t="s">
        <v>1471</v>
      </c>
      <c r="F40" s="357">
        <f ca="1">INDIRECT("'数据-取费表'!I"&amp;$G$1)</f>
        <v>5.5E-2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41.23</v>
      </c>
      <c r="G41" s="1847"/>
      <c r="H41" s="730"/>
      <c r="I41" s="1856"/>
      <c r="J41" s="1857"/>
      <c r="K41" s="749"/>
      <c r="L41" s="730"/>
      <c r="M41" s="730"/>
    </row>
    <row r="42" spans="1:18" ht="18" customHeight="1">
      <c r="A42" s="353"/>
      <c r="B42" s="354"/>
      <c r="C42" s="355"/>
      <c r="D42" s="373"/>
      <c r="E42" s="347" t="s">
        <v>1478</v>
      </c>
      <c r="F42" s="357">
        <f ca="1">INDIRECT("'数据-取费表'!v"&amp;$G$1)</f>
        <v>3.5000000000000003E-2</v>
      </c>
      <c r="G42" s="1847"/>
      <c r="H42" s="730"/>
      <c r="I42" s="1856"/>
      <c r="J42" s="1857"/>
      <c r="K42" s="749"/>
      <c r="L42" s="730"/>
      <c r="M42" s="730"/>
    </row>
    <row r="43" spans="1:18" ht="18" customHeight="1" thickBot="1">
      <c r="A43" s="380" t="s">
        <v>1033</v>
      </c>
      <c r="B43" s="381" t="s">
        <v>1488</v>
      </c>
      <c r="C43" s="382">
        <f ca="1">ROUND(C40*10000/F43,0)</f>
        <v>41959</v>
      </c>
      <c r="D43" s="383" t="s">
        <v>1489</v>
      </c>
      <c r="E43" s="384" t="s">
        <v>1490</v>
      </c>
      <c r="F43" s="385">
        <f ca="1">INDIRECT("'数据-取费表'!k"&amp;$G$1)</f>
        <v>8532.39</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1520</v>
      </c>
      <c r="P45" s="1835"/>
      <c r="Q45" s="1835"/>
      <c r="R45" s="1835"/>
    </row>
    <row r="46" spans="1:18" s="1838" customFormat="1" ht="13.5" thickBot="1">
      <c r="A46" s="1866" t="s">
        <v>1521</v>
      </c>
      <c r="C46" s="1867">
        <f ca="1">C68-C40</f>
        <v>-42015</v>
      </c>
      <c r="D46" s="1868" t="str">
        <f>C2</f>
        <v>万元</v>
      </c>
      <c r="E46" s="1862"/>
      <c r="F46" s="1862"/>
      <c r="I46" s="1869" t="s">
        <v>1522</v>
      </c>
      <c r="J46" s="1870"/>
      <c r="K46" s="1871"/>
      <c r="L46" s="1872">
        <f ca="1">IF(M47="住宅",0,IF(L48&gt;J51,L60,J60))</f>
        <v>44</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0"/>
      <c r="I47" s="1876" t="s">
        <v>1527</v>
      </c>
      <c r="J47" s="1877" t="s">
        <v>3064</v>
      </c>
      <c r="K47" s="1878" t="s">
        <v>1528</v>
      </c>
      <c r="L47" s="1879">
        <f ca="1">INDIRECT("'数据-取费表'!d"&amp;$G$1)</f>
        <v>50</v>
      </c>
      <c r="M47" s="1834" t="str">
        <f>IF(ISNUMBER(FIND("住宅",C1)),"住宅","非住宅")</f>
        <v>非住宅</v>
      </c>
      <c r="O47" s="1880" t="s">
        <v>1040</v>
      </c>
      <c r="P47" s="1881" t="s">
        <v>1529</v>
      </c>
      <c r="Q47" s="1882">
        <f ca="1">C40+J29</f>
        <v>35801</v>
      </c>
      <c r="R47" s="1882" t="s">
        <v>1530</v>
      </c>
    </row>
    <row r="48" spans="1:18" s="1838" customFormat="1" ht="28.5" thickBot="1">
      <c r="A48" s="1356" t="s">
        <v>1135</v>
      </c>
      <c r="B48" s="345" t="s">
        <v>1401</v>
      </c>
      <c r="C48" s="1813">
        <f ca="1">C49+C53+C55</f>
        <v>0</v>
      </c>
      <c r="D48" s="1358"/>
      <c r="E48" s="1359"/>
      <c r="F48" s="1177"/>
      <c r="G48" s="790"/>
      <c r="H48" s="791"/>
      <c r="I48" s="1883" t="s">
        <v>1531</v>
      </c>
      <c r="J48" s="1884" t="s">
        <v>3065</v>
      </c>
      <c r="K48" s="1885" t="s">
        <v>1532</v>
      </c>
      <c r="L48" s="1886">
        <f ca="1">INDIRECT("'数据-取费表'!f"&amp;$G$1)</f>
        <v>41.23</v>
      </c>
      <c r="O48" s="1880" t="s">
        <v>1041</v>
      </c>
      <c r="P48" s="1881" t="s">
        <v>1533</v>
      </c>
      <c r="Q48" s="1882">
        <f ca="1">J60</f>
        <v>44</v>
      </c>
      <c r="R48" s="1882" t="s">
        <v>1534</v>
      </c>
    </row>
    <row r="49" spans="1:18" s="1838" customFormat="1" ht="13.5" thickBot="1">
      <c r="A49" s="1190" t="s">
        <v>1136</v>
      </c>
      <c r="B49" s="1825" t="s">
        <v>1491</v>
      </c>
      <c r="C49" s="1360">
        <f ca="1">ROUND(F49*F51*F50*(1-F52)/10000,0)</f>
        <v>0</v>
      </c>
      <c r="D49" s="1272" t="s">
        <v>3025</v>
      </c>
      <c r="E49" s="1826" t="s">
        <v>1492</v>
      </c>
      <c r="F49" s="1277"/>
      <c r="G49" s="1887"/>
      <c r="H49" s="791"/>
      <c r="I49" s="1883" t="s">
        <v>1535</v>
      </c>
      <c r="J49" s="1888">
        <v>2012</v>
      </c>
      <c r="K49" s="1885" t="s">
        <v>1536</v>
      </c>
      <c r="L49" s="1889"/>
      <c r="O49" s="1890" t="s">
        <v>1042</v>
      </c>
      <c r="P49" s="1881" t="s">
        <v>1537</v>
      </c>
      <c r="Q49" s="1882">
        <f ca="1">C29</f>
        <v>3816</v>
      </c>
      <c r="R49" s="1882" t="s">
        <v>1530</v>
      </c>
    </row>
    <row r="50" spans="1:18" s="1838" customFormat="1" ht="13.5" thickBot="1">
      <c r="A50" s="1191"/>
      <c r="B50" s="1194"/>
      <c r="C50" s="1364"/>
      <c r="D50" s="1168"/>
      <c r="E50" s="1273" t="s">
        <v>1406</v>
      </c>
      <c r="F50" s="1274">
        <f ca="1">F7</f>
        <v>8532.39</v>
      </c>
      <c r="H50" s="791"/>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8">
        <f ca="1">F8</f>
        <v>365</v>
      </c>
      <c r="I51" s="1894" t="s">
        <v>1541</v>
      </c>
      <c r="J51" s="1895">
        <f>IF(J49="",J50,J49+J50-YEAR('数据-取费表'!B2))</f>
        <v>54</v>
      </c>
      <c r="K51" s="1896" t="s">
        <v>1542</v>
      </c>
      <c r="L51" s="1897">
        <f ca="1">ROUND(-PV(INDIRECT("'数据-取费表'!h"&amp;$G$1),L48,(C39-C13*C76),0),0)</f>
        <v>17673</v>
      </c>
      <c r="M51" s="1898"/>
      <c r="O51" s="1890" t="s">
        <v>1044</v>
      </c>
      <c r="P51" s="1881" t="s">
        <v>1543</v>
      </c>
      <c r="Q51" s="1893">
        <f>J52</f>
        <v>0.09</v>
      </c>
      <c r="R51" s="1882"/>
    </row>
    <row r="52" spans="1:18" s="1838" customFormat="1" ht="13.5" thickBot="1">
      <c r="A52" s="1192"/>
      <c r="B52" s="1194"/>
      <c r="C52" s="1195"/>
      <c r="D52" s="1168"/>
      <c r="E52" s="1196" t="s">
        <v>1408</v>
      </c>
      <c r="F52" s="1271"/>
      <c r="I52" s="1899" t="s">
        <v>1544</v>
      </c>
      <c r="J52" s="1900">
        <v>0.09</v>
      </c>
      <c r="K52" s="1899" t="s">
        <v>1545</v>
      </c>
      <c r="L52" s="1900"/>
      <c r="O52" s="1890" t="s">
        <v>1045</v>
      </c>
      <c r="P52" s="1881" t="s">
        <v>1546</v>
      </c>
      <c r="Q52" s="1882">
        <f ca="1">J53</f>
        <v>41.23</v>
      </c>
      <c r="R52" s="1882" t="s">
        <v>1547</v>
      </c>
    </row>
    <row r="53" spans="1:18" s="1838" customFormat="1" ht="24.75" thickBot="1">
      <c r="A53" s="1401" t="s">
        <v>1137</v>
      </c>
      <c r="B53" s="1827" t="s">
        <v>1409</v>
      </c>
      <c r="C53" s="361">
        <f ca="1">ROUND(IF(F53="押一",F49*F51*F50/12*F11,IF(F53="押二",F49*F51*F50/12*2*F11,IF(F53="押三",F49*F51*F50/12*3*F11,C54*F11)))/10000,0)</f>
        <v>0</v>
      </c>
      <c r="D53" s="1820" t="s">
        <v>3023</v>
      </c>
      <c r="E53" s="358" t="s">
        <v>1411</v>
      </c>
      <c r="F53" s="1362"/>
      <c r="I53" s="1901" t="s">
        <v>1548</v>
      </c>
      <c r="J53" s="1902">
        <f ca="1">IF(M47="住宅",J51,IF(D1="——",MIN(J51,L48),IF(D1="在建（套用方法）",MIN(J51,L48-'数据-取费表'!B24),IF(D1="土地（套用方法）",MIN(J51,L48-'数据-取费表'!B20)))))</f>
        <v>41.23</v>
      </c>
      <c r="K53" s="3334" t="s">
        <v>1549</v>
      </c>
      <c r="L53" s="3335"/>
      <c r="O53" s="1880" t="s">
        <v>1046</v>
      </c>
      <c r="P53" s="1881" t="s">
        <v>1550</v>
      </c>
      <c r="Q53" s="1882">
        <f ca="1">Q47+Q48</f>
        <v>35845</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f ca="1">ROUND(IF(J47="钢混",J57/J50,1-(1-2%)*(J50-J57)/J50),3)</f>
        <v>0.21299999999999999</v>
      </c>
      <c r="K55" s="1908" t="s">
        <v>1553</v>
      </c>
      <c r="L55" s="1909" t="s">
        <v>1554</v>
      </c>
      <c r="O55" s="1873" t="s">
        <v>1523</v>
      </c>
      <c r="P55" s="1874" t="s">
        <v>1524</v>
      </c>
      <c r="Q55" s="1875" t="s">
        <v>1525</v>
      </c>
      <c r="R55" s="1875" t="s">
        <v>1526</v>
      </c>
    </row>
    <row r="56" spans="1:18" s="1838" customFormat="1" ht="25.5" thickTop="1" thickBot="1">
      <c r="A56" s="1172">
        <v>2</v>
      </c>
      <c r="B56" s="1173" t="s">
        <v>1415</v>
      </c>
      <c r="C56" s="276">
        <f ca="1">C13</f>
        <v>3434</v>
      </c>
      <c r="D56" s="1910"/>
      <c r="E56" s="1911"/>
      <c r="F56" s="1903"/>
      <c r="I56" s="1912" t="s">
        <v>1555</v>
      </c>
      <c r="J56" s="1913" t="s">
        <v>3041</v>
      </c>
      <c r="K56" s="1883" t="s">
        <v>1556</v>
      </c>
      <c r="L56" s="1886" t="str">
        <f ca="1">IF(L48&lt;J51,"——",L48-J53)</f>
        <v>——</v>
      </c>
      <c r="O56" s="1880" t="s">
        <v>1040</v>
      </c>
      <c r="P56" s="1881" t="s">
        <v>1529</v>
      </c>
      <c r="Q56" s="1882">
        <f ca="1">C40+J29</f>
        <v>35801</v>
      </c>
      <c r="R56" s="1882" t="s">
        <v>1530</v>
      </c>
    </row>
    <row r="57" spans="1:18" s="1838" customFormat="1" ht="24.75" thickBot="1">
      <c r="A57" s="1914"/>
      <c r="B57" s="1165" t="s">
        <v>1479</v>
      </c>
      <c r="C57" s="282">
        <f ca="1">C29</f>
        <v>3816</v>
      </c>
      <c r="D57" s="1915"/>
      <c r="E57" s="1916"/>
      <c r="F57" s="1917"/>
      <c r="I57" s="1918" t="s">
        <v>1557</v>
      </c>
      <c r="J57" s="1919">
        <f ca="1">IF(OR(M47="住宅",J51&lt;L48,J56="是"),"——",J51-L48)</f>
        <v>12.770000000000003</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3" t="s">
        <v>1425</v>
      </c>
      <c r="C58" s="361">
        <f ca="1">ROUND(C59+C64+C65+C66,0)</f>
        <v>384</v>
      </c>
      <c r="D58" s="1175" t="s">
        <v>1426</v>
      </c>
      <c r="E58" s="1176"/>
      <c r="F58" s="1177"/>
      <c r="I58" s="1918" t="s">
        <v>1561</v>
      </c>
      <c r="J58" s="1920">
        <f ca="1">IF(J55&lt;0.4,0.4,J55)</f>
        <v>0.4</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321.8</v>
      </c>
      <c r="D59" s="1178" t="s">
        <v>1431</v>
      </c>
      <c r="E59" s="1179" t="s">
        <v>1432</v>
      </c>
      <c r="F59" s="368" t="str">
        <f ca="1">IF(项目基本情况!B11="企业","",IF(INDIRECT("'数据-取费表'!c"&amp;$G$1)="住宅",5%,IF(F49*F50*F51/12/(1+'数据-取费表'!C42)&gt;20000,12%,7%)))</f>
        <v/>
      </c>
      <c r="I59" s="1918" t="s">
        <v>1564</v>
      </c>
      <c r="J59" s="1919">
        <f ca="1">IF(OR(M47="住宅",J51&lt;L48,J56="是"),"——",ROUND(C29*J58,0))</f>
        <v>1526</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7">
        <f t="shared" ref="F60:F66" si="0">F32</f>
        <v>5.6000000000000001E-2</v>
      </c>
      <c r="I60" s="1921" t="s">
        <v>1566</v>
      </c>
      <c r="J60" s="1922">
        <f ca="1">IF(OR(M47="住宅",J51&lt;L48,J56="是"),"0",ROUND(J59/(1+J52)^J53,0))</f>
        <v>44</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1494</v>
      </c>
      <c r="C61" s="24">
        <f ca="1">IF(项目基本情况!B11="自然人","——",IF(D61="按租金收入计税",ROUND(C48*F61,2),IF(D61="按房产原值计税",ROUND(C57*F61*0.7,2),INDIRECT("'数据-取费表'!Aj"&amp;$G$1))))</f>
        <v>320.54000000000002</v>
      </c>
      <c r="D61" s="1824" t="s">
        <v>1439</v>
      </c>
      <c r="E61" s="1165" t="s">
        <v>1495</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7" t="s">
        <v>1496</v>
      </c>
      <c r="B62" s="1164" t="s">
        <v>1497</v>
      </c>
      <c r="C62" s="25">
        <f ca="1">IF(项目基本情况!B11="自然人","——",ROUND(F62*F63/10000,2))</f>
        <v>1.28</v>
      </c>
      <c r="D62" s="1180" t="s">
        <v>1498</v>
      </c>
      <c r="E62" s="1165" t="s">
        <v>1499</v>
      </c>
      <c r="F62" s="371">
        <f t="shared" si="0"/>
        <v>18</v>
      </c>
      <c r="I62" s="1925" t="s">
        <v>1571</v>
      </c>
      <c r="J62" s="1926" t="s">
        <v>1572</v>
      </c>
      <c r="K62" s="1926" t="s">
        <v>1573</v>
      </c>
      <c r="L62" s="1926" t="s">
        <v>1574</v>
      </c>
      <c r="M62" s="1927" t="s">
        <v>1575</v>
      </c>
      <c r="O62" s="1880" t="s">
        <v>1046</v>
      </c>
      <c r="P62" s="1881" t="s">
        <v>1576</v>
      </c>
      <c r="Q62" s="1882">
        <f ca="1">Q56+Q57</f>
        <v>35801</v>
      </c>
      <c r="R62" s="1882" t="s">
        <v>1047</v>
      </c>
    </row>
    <row r="63" spans="1:18" s="1838" customFormat="1" ht="13.5" thickBot="1">
      <c r="A63" s="372"/>
      <c r="B63" s="1171"/>
      <c r="C63" s="29"/>
      <c r="D63" s="1181"/>
      <c r="E63" s="1165" t="s">
        <v>1500</v>
      </c>
      <c r="F63" s="348">
        <f t="shared" ca="1" si="0"/>
        <v>709.53</v>
      </c>
      <c r="I63" s="1925" t="s">
        <v>1577</v>
      </c>
      <c r="J63" s="1926">
        <v>70</v>
      </c>
      <c r="K63" s="1926">
        <v>50</v>
      </c>
      <c r="L63" s="1926">
        <v>80</v>
      </c>
      <c r="M63" s="1928">
        <v>0.02</v>
      </c>
      <c r="O63" s="1865" t="s">
        <v>1578</v>
      </c>
      <c r="P63" s="1835"/>
      <c r="Q63" s="1835"/>
      <c r="R63" s="1835"/>
    </row>
    <row r="64" spans="1:18" s="1838" customFormat="1" ht="13.5" thickBot="1">
      <c r="A64" s="1197" t="s">
        <v>1501</v>
      </c>
      <c r="B64" s="1165" t="s">
        <v>1502</v>
      </c>
      <c r="C64" s="24">
        <f ca="1">ROUND(C57*F64,1)</f>
        <v>57.2</v>
      </c>
      <c r="D64" s="1179" t="s">
        <v>1503</v>
      </c>
      <c r="E64" s="1165" t="s">
        <v>1495</v>
      </c>
      <c r="F64" s="374">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5.2</v>
      </c>
      <c r="D65" s="1179" t="s">
        <v>1455</v>
      </c>
      <c r="E65" s="1165" t="s">
        <v>1456</v>
      </c>
      <c r="F65" s="376">
        <f t="shared" ca="1" si="0"/>
        <v>1.5E-3</v>
      </c>
      <c r="I65" s="1925" t="s">
        <v>1580</v>
      </c>
      <c r="J65" s="1926">
        <v>40</v>
      </c>
      <c r="K65" s="1926">
        <v>30</v>
      </c>
      <c r="L65" s="1926">
        <v>50</v>
      </c>
      <c r="M65" s="1928">
        <v>0.02</v>
      </c>
      <c r="O65" s="1880" t="s">
        <v>1040</v>
      </c>
      <c r="P65" s="1881" t="s">
        <v>1581</v>
      </c>
      <c r="Q65" s="1882">
        <f ca="1">C40+J29</f>
        <v>35801</v>
      </c>
      <c r="R65" s="1882" t="s">
        <v>1530</v>
      </c>
    </row>
    <row r="66" spans="1:18" s="1838" customFormat="1" ht="16.5" thickBot="1">
      <c r="A66" s="1197" t="s">
        <v>1505</v>
      </c>
      <c r="B66" s="1165" t="s">
        <v>1440</v>
      </c>
      <c r="C66" s="24">
        <f ca="1">ROUND(C48*F66,1)</f>
        <v>0</v>
      </c>
      <c r="D66" s="1179" t="s">
        <v>1506</v>
      </c>
      <c r="E66" s="1165" t="s">
        <v>1423</v>
      </c>
      <c r="F66" s="357">
        <f t="shared" ca="1" si="0"/>
        <v>0.01</v>
      </c>
      <c r="O66" s="1880" t="s">
        <v>1041</v>
      </c>
      <c r="P66" s="1881" t="s">
        <v>1559</v>
      </c>
      <c r="Q66" s="1882">
        <f ca="1">L60</f>
        <v>0</v>
      </c>
      <c r="R66" s="1882" t="s">
        <v>1582</v>
      </c>
    </row>
    <row r="67" spans="1:18" s="1838" customFormat="1" ht="16.5" thickBot="1">
      <c r="A67" s="1172" t="s">
        <v>1031</v>
      </c>
      <c r="B67" s="1182" t="s">
        <v>1464</v>
      </c>
      <c r="C67" s="361">
        <f ca="1">C48-C58</f>
        <v>-384</v>
      </c>
      <c r="D67" s="1178" t="s">
        <v>1465</v>
      </c>
      <c r="E67" s="1183"/>
      <c r="F67" s="1184"/>
      <c r="O67" s="1890" t="s">
        <v>1042</v>
      </c>
      <c r="P67" s="1881" t="s">
        <v>1563</v>
      </c>
      <c r="Q67" s="1929">
        <f ca="1">L51</f>
        <v>17673</v>
      </c>
      <c r="R67" s="1882" t="s">
        <v>1583</v>
      </c>
    </row>
    <row r="68" spans="1:18" s="1838" customFormat="1" ht="16.5" thickBot="1">
      <c r="A68" s="1162" t="s">
        <v>1032</v>
      </c>
      <c r="B68" s="1163" t="s">
        <v>1486</v>
      </c>
      <c r="C68" s="346">
        <f ca="1">ROUND(C67*(1-((1+F70)/(1+F68))^F69)/(F68-F70),0)</f>
        <v>-6214</v>
      </c>
      <c r="D68" s="1180" t="s">
        <v>1470</v>
      </c>
      <c r="E68" s="1165" t="s">
        <v>1471</v>
      </c>
      <c r="F68" s="357">
        <f ca="1">F40</f>
        <v>5.5E-2</v>
      </c>
      <c r="O68" s="1890" t="s">
        <v>1043</v>
      </c>
      <c r="P68" s="1930" t="s">
        <v>1584</v>
      </c>
      <c r="Q68" s="1882">
        <f ca="1">ROUND(Q69-Q70*Q71,0)</f>
        <v>1020</v>
      </c>
      <c r="R68" s="1882" t="s">
        <v>1051</v>
      </c>
    </row>
    <row r="69" spans="1:18" s="1838" customFormat="1" ht="13.5" thickBot="1">
      <c r="A69" s="1166"/>
      <c r="B69" s="1167"/>
      <c r="C69" s="351"/>
      <c r="D69" s="1185" t="s">
        <v>1474</v>
      </c>
      <c r="E69" s="1165" t="s">
        <v>1475</v>
      </c>
      <c r="F69" s="379">
        <f ca="1">F41</f>
        <v>41.23</v>
      </c>
      <c r="O69" s="1890" t="s">
        <v>1048</v>
      </c>
      <c r="P69" s="1930" t="s">
        <v>1585</v>
      </c>
      <c r="Q69" s="1882">
        <f ca="1">C39</f>
        <v>1312</v>
      </c>
      <c r="R69" s="1882" t="s">
        <v>1530</v>
      </c>
    </row>
    <row r="70" spans="1:18" s="1838" customFormat="1" ht="13.5" thickBot="1">
      <c r="A70" s="1169"/>
      <c r="B70" s="1170"/>
      <c r="C70" s="355"/>
      <c r="D70" s="1181"/>
      <c r="E70" s="1165" t="s">
        <v>1478</v>
      </c>
      <c r="F70" s="1271"/>
      <c r="O70" s="1890" t="s">
        <v>1049</v>
      </c>
      <c r="P70" s="1930" t="s">
        <v>1586</v>
      </c>
      <c r="Q70" s="1882">
        <f ca="1">C13</f>
        <v>3434</v>
      </c>
      <c r="R70" s="1882" t="s">
        <v>1530</v>
      </c>
    </row>
    <row r="71" spans="1:18" s="1838" customFormat="1" ht="13.5" thickBot="1">
      <c r="A71" s="1186" t="s">
        <v>1033</v>
      </c>
      <c r="B71" s="1187" t="s">
        <v>1488</v>
      </c>
      <c r="C71" s="382">
        <f ca="1">ROUND(C68*10000/F71,0)</f>
        <v>-7283</v>
      </c>
      <c r="D71" s="1188" t="s">
        <v>1489</v>
      </c>
      <c r="E71" s="1189" t="s">
        <v>1490</v>
      </c>
      <c r="F71" s="385">
        <f ca="1">F43</f>
        <v>8532.39</v>
      </c>
      <c r="O71" s="1890" t="s">
        <v>1050</v>
      </c>
      <c r="P71" s="1930" t="s">
        <v>1587</v>
      </c>
      <c r="Q71" s="1893">
        <f ca="1">C76</f>
        <v>8.5000000000000006E-2</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292</v>
      </c>
      <c r="D75" s="1838"/>
      <c r="E75" s="1838"/>
      <c r="F75" s="1838"/>
      <c r="K75" s="1864"/>
      <c r="L75" s="1838"/>
      <c r="O75" s="1880" t="s">
        <v>1046</v>
      </c>
      <c r="P75" s="1881" t="s">
        <v>1550</v>
      </c>
      <c r="Q75" s="1882">
        <f ca="1">Q65+Q66</f>
        <v>35801</v>
      </c>
      <c r="R75" s="1882" t="s">
        <v>1047</v>
      </c>
    </row>
    <row r="76" spans="1:18">
      <c r="B76" s="388" t="s">
        <v>1508</v>
      </c>
      <c r="C76" s="389">
        <f ca="1">INDIRECT("'数据-取费表'!j"&amp;$G$1)</f>
        <v>8.5000000000000006E-2</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0.77700000000000002</v>
      </c>
    </row>
    <row r="80" spans="1:18">
      <c r="B80" s="386" t="s">
        <v>1512</v>
      </c>
      <c r="C80" s="318">
        <f ca="1">ROUND(C75/C39,3)</f>
        <v>0.223</v>
      </c>
    </row>
    <row r="81" spans="2:3">
      <c r="B81" s="314" t="s">
        <v>1513</v>
      </c>
      <c r="C81" s="282"/>
    </row>
    <row r="82" spans="2:3">
      <c r="B82" s="317" t="s">
        <v>1514</v>
      </c>
      <c r="C82" s="319">
        <f ca="1">1-C83</f>
        <v>0.90400000000000003</v>
      </c>
    </row>
    <row r="83" spans="2:3">
      <c r="B83" s="317" t="s">
        <v>1515</v>
      </c>
      <c r="C83" s="318">
        <f ca="1">ROUND(C13/C40,3)</f>
        <v>9.6000000000000002E-2</v>
      </c>
    </row>
  </sheetData>
  <sheetProtection password="C66D" sheet="1" objects="1" scenarios="1" formatCells="0" formatColumns="0" formatRows="0"/>
  <mergeCells count="3">
    <mergeCell ref="K53:L53"/>
    <mergeCell ref="B6:B9"/>
    <mergeCell ref="I6:I9"/>
  </mergeCells>
  <phoneticPr fontId="6" type="noConversion"/>
  <conditionalFormatting sqref="K55 K60">
    <cfRule type="expression" dxfId="108" priority="56">
      <formula>$L$48&gt;$J$51</formula>
    </cfRule>
  </conditionalFormatting>
  <conditionalFormatting sqref="I55 I60">
    <cfRule type="expression" dxfId="107" priority="57">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37" zoomScale="90" zoomScaleNormal="90" zoomScaleSheetLayoutView="90" zoomScalePageLayoutView="90" workbookViewId="0">
      <selection activeCell="M10" sqref="M10"/>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c r="D1" s="1816"/>
      <c r="E1" s="1817" t="s">
        <v>1387</v>
      </c>
      <c r="F1" s="1279" t="b">
        <f>J53</f>
        <v>0</v>
      </c>
      <c r="G1" s="1832">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1591</v>
      </c>
      <c r="B2" s="1840" t="e">
        <f ca="1">ROUND(D2/10000,0)</f>
        <v>#DIV/0!</v>
      </c>
      <c r="C2" s="1841" t="s">
        <v>1592</v>
      </c>
      <c r="D2" s="1934" t="e">
        <f ca="1">C40+J29+L46</f>
        <v>#DIV/0!</v>
      </c>
      <c r="E2" s="1842" t="s">
        <v>1593</v>
      </c>
      <c r="F2" s="1843"/>
      <c r="G2" s="1844"/>
      <c r="H2" s="1836"/>
      <c r="I2" s="1836"/>
      <c r="J2" s="1836"/>
      <c r="K2" s="1837"/>
      <c r="L2" s="1836"/>
      <c r="M2" s="1836"/>
    </row>
    <row r="3" spans="1:37" ht="18" customHeight="1" thickBot="1">
      <c r="A3" s="1845" t="s">
        <v>1594</v>
      </c>
      <c r="B3" s="1846">
        <f ca="1">IF(ISERROR(D2/F43),0,ROUND(D2/F43,0))</f>
        <v>0</v>
      </c>
      <c r="C3" s="1841" t="s">
        <v>1595</v>
      </c>
      <c r="D3" s="1841"/>
      <c r="E3" s="1842"/>
      <c r="F3" s="1843"/>
      <c r="G3" s="1844"/>
      <c r="H3" s="742" t="s">
        <v>1589</v>
      </c>
      <c r="I3" s="1836"/>
      <c r="J3" s="1836"/>
      <c r="K3" s="1837"/>
      <c r="L3" s="1836"/>
      <c r="M3" s="1836"/>
    </row>
    <row r="4" spans="1:37" ht="18" customHeight="1">
      <c r="A4" s="340" t="s">
        <v>1596</v>
      </c>
      <c r="B4" s="341" t="s">
        <v>1597</v>
      </c>
      <c r="C4" s="341" t="s">
        <v>1598</v>
      </c>
      <c r="D4" s="341" t="s">
        <v>1599</v>
      </c>
      <c r="E4" s="342" t="s">
        <v>1600</v>
      </c>
      <c r="F4" s="343"/>
      <c r="G4" s="1847"/>
      <c r="H4" s="340" t="s">
        <v>1596</v>
      </c>
      <c r="I4" s="341" t="s">
        <v>1597</v>
      </c>
      <c r="J4" s="341" t="s">
        <v>1598</v>
      </c>
      <c r="K4" s="341" t="s">
        <v>1599</v>
      </c>
      <c r="L4" s="342" t="s">
        <v>1600</v>
      </c>
      <c r="M4" s="343"/>
    </row>
    <row r="5" spans="1:37" ht="18" customHeight="1">
      <c r="A5" s="344">
        <v>1</v>
      </c>
      <c r="B5" s="345" t="s">
        <v>1601</v>
      </c>
      <c r="C5" s="1288">
        <f ca="1">C6+C10+C12</f>
        <v>0</v>
      </c>
      <c r="D5" s="1818" t="s">
        <v>1602</v>
      </c>
      <c r="E5" s="1289"/>
      <c r="F5" s="1290"/>
      <c r="G5" s="1847"/>
      <c r="H5" s="344">
        <v>1</v>
      </c>
      <c r="I5" s="345" t="s">
        <v>1601</v>
      </c>
      <c r="J5" s="1288">
        <f ca="1">J6+J10+J12</f>
        <v>0</v>
      </c>
      <c r="K5" s="1818" t="s">
        <v>1602</v>
      </c>
      <c r="L5" s="1289"/>
      <c r="M5" s="1290"/>
    </row>
    <row r="6" spans="1:37" ht="18" customHeight="1">
      <c r="A6" s="1287" t="s">
        <v>1035</v>
      </c>
      <c r="B6" s="3336" t="s">
        <v>1403</v>
      </c>
      <c r="C6" s="1292">
        <f ca="1">ROUND(F6*F8*F7*(1-F9),0)</f>
        <v>0</v>
      </c>
      <c r="D6" s="164" t="s">
        <v>3017</v>
      </c>
      <c r="E6" s="347" t="s">
        <v>1405</v>
      </c>
      <c r="F6" s="348">
        <f ca="1">INDIRECT("'数据-取费表'!u"&amp;$G$1)</f>
        <v>0</v>
      </c>
      <c r="G6" s="1847"/>
      <c r="H6" s="1287" t="s">
        <v>1035</v>
      </c>
      <c r="I6" s="3336" t="s">
        <v>1403</v>
      </c>
      <c r="J6" s="346">
        <f ca="1">ROUND(M6*M8*M7*(1-M9),0)</f>
        <v>0</v>
      </c>
      <c r="K6" s="1830" t="s">
        <v>3020</v>
      </c>
      <c r="L6" s="347" t="s">
        <v>1405</v>
      </c>
      <c r="M6" s="348">
        <f ca="1">INDIRECT("'数据-取费表'!z"&amp;$G$1)</f>
        <v>0</v>
      </c>
    </row>
    <row r="7" spans="1:37" ht="18" customHeight="1">
      <c r="A7" s="1291"/>
      <c r="B7" s="3337"/>
      <c r="C7" s="1293"/>
      <c r="D7" s="352"/>
      <c r="E7" s="1294" t="s">
        <v>1406</v>
      </c>
      <c r="F7" s="348">
        <f ca="1">IF(INDIRECT("'数据-取费表'!ah"&amp;$G$1)="",INDIRECT("'数据-取费表'!k"&amp;$G$1),INDIRECT("'数据-取费表'!ah"&amp;$G$1))</f>
        <v>0</v>
      </c>
      <c r="G7" s="1847"/>
      <c r="H7" s="349"/>
      <c r="I7" s="3337"/>
      <c r="J7" s="351"/>
      <c r="K7" s="352"/>
      <c r="L7" s="347" t="s">
        <v>1406</v>
      </c>
      <c r="M7" s="348">
        <f ca="1">F7</f>
        <v>0</v>
      </c>
    </row>
    <row r="8" spans="1:37" ht="18" customHeight="1">
      <c r="A8" s="349"/>
      <c r="B8" s="3337"/>
      <c r="C8" s="351"/>
      <c r="D8" s="352"/>
      <c r="E8" s="347" t="s">
        <v>1407</v>
      </c>
      <c r="F8" s="348">
        <f ca="1">INDIRECT("'数据-取费表'!ai"&amp;$G$1)</f>
        <v>0</v>
      </c>
      <c r="G8" s="1847"/>
      <c r="H8" s="349"/>
      <c r="I8" s="3337"/>
      <c r="J8" s="351"/>
      <c r="K8" s="352"/>
      <c r="L8" s="347" t="s">
        <v>1407</v>
      </c>
      <c r="M8" s="348">
        <f ca="1">INDIRECT("'数据-取费表'!ai"&amp;$G$1)</f>
        <v>0</v>
      </c>
    </row>
    <row r="9" spans="1:37" ht="18" customHeight="1">
      <c r="A9" s="349"/>
      <c r="B9" s="3338"/>
      <c r="C9" s="351"/>
      <c r="D9" s="352"/>
      <c r="E9" s="347" t="s">
        <v>1408</v>
      </c>
      <c r="F9" s="357">
        <f ca="1">INDIRECT("'数据-取费表'!w"&amp;$G$1)</f>
        <v>0</v>
      </c>
      <c r="G9" s="1847"/>
      <c r="H9" s="349"/>
      <c r="I9" s="3338"/>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ROUND(IF(F10="押一",F6*F8*F7/12*F11,IF(F10="押二",F6*F8*F7/12*2*F11,IF(F10="押三",F6*F8*F7/12*3*F11,C11*F11))),0)</f>
        <v>0</v>
      </c>
      <c r="D10" s="1820" t="s">
        <v>3018</v>
      </c>
      <c r="E10" s="358" t="s">
        <v>1411</v>
      </c>
      <c r="F10" s="1362"/>
      <c r="G10" s="1847"/>
      <c r="H10" s="1287" t="s">
        <v>1039</v>
      </c>
      <c r="I10" s="1819" t="s">
        <v>1409</v>
      </c>
      <c r="J10" s="346">
        <f ca="1">ROUND(IF(M10="押一",M6*M8*M7/12*M11,IF(M10="押二",M6*M8*M7/12*2*M11,IF(M10="押三",M6*M8*M7/12*3*M11,J11*M11))),0)</f>
        <v>0</v>
      </c>
      <c r="K10" s="1831" t="s">
        <v>3019</v>
      </c>
      <c r="L10" s="358" t="s">
        <v>1411</v>
      </c>
      <c r="M10" s="1362"/>
    </row>
    <row r="11" spans="1:37" ht="18" customHeight="1">
      <c r="A11" s="353"/>
      <c r="B11" s="1821" t="s">
        <v>1603</v>
      </c>
      <c r="C11" s="1174"/>
      <c r="D11" s="352"/>
      <c r="E11" s="358" t="s">
        <v>1413</v>
      </c>
      <c r="F11" s="359">
        <f ca="1">'数据-取费表'!B39</f>
        <v>1.4999999999999999E-2</v>
      </c>
      <c r="G11" s="1847"/>
      <c r="H11" s="1295"/>
      <c r="I11" s="1821" t="s">
        <v>1604</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0</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ROUND(INDIRECT("'数据-取费表'!l"&amp;$G$1)*F43+'数据-取费表'!L14*INDIRECT("'数据-取费表'!S"&amp;$G$1),0)</f>
        <v>0</v>
      </c>
      <c r="D14" s="1796" t="s">
        <v>1419</v>
      </c>
      <c r="E14" s="1790"/>
      <c r="F14" s="364"/>
      <c r="G14" s="1847"/>
      <c r="H14" s="1197" t="s">
        <v>1035</v>
      </c>
      <c r="I14" s="347" t="s">
        <v>1420</v>
      </c>
      <c r="J14" s="24">
        <f ca="1">C29</f>
        <v>0</v>
      </c>
      <c r="K14" s="15"/>
      <c r="L14" s="975"/>
      <c r="M14" s="976"/>
    </row>
    <row r="15" spans="1:37" s="1854" customFormat="1" ht="18" customHeight="1" thickBot="1">
      <c r="A15" s="1197" t="s">
        <v>1036</v>
      </c>
      <c r="B15" s="347" t="s">
        <v>1421</v>
      </c>
      <c r="C15" s="24">
        <f ca="1">ROUND(C14*F15,0)</f>
        <v>0</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ROUND(INDIRECT("'数据-取费表'!l"&amp;$G$1)*F43*F16,0)</f>
        <v>0</v>
      </c>
      <c r="D16" s="347" t="s">
        <v>1422</v>
      </c>
      <c r="E16" s="347" t="s">
        <v>1423</v>
      </c>
      <c r="F16" s="367">
        <f ca="1">IF(INDIRECT("'数据-取费表'!c"&amp;$G$1)="住宅",'数据-取费表'!B34,0)</f>
        <v>0</v>
      </c>
      <c r="G16" s="1847"/>
      <c r="H16" s="1325" t="s">
        <v>1030</v>
      </c>
      <c r="I16" s="1326" t="s">
        <v>1425</v>
      </c>
      <c r="J16" s="355">
        <f ca="1">ROUND(J17+J22+J23+J24,0)</f>
        <v>0</v>
      </c>
      <c r="K16" s="1333" t="s">
        <v>1426</v>
      </c>
      <c r="L16" s="1334"/>
      <c r="M16" s="1290"/>
    </row>
    <row r="17" spans="1:37" s="1854" customFormat="1" ht="18" customHeight="1">
      <c r="A17" s="1197" t="s">
        <v>1390</v>
      </c>
      <c r="B17" s="347" t="s">
        <v>1427</v>
      </c>
      <c r="C17" s="24">
        <f ca="1">ROUND(F17*(F43+INDIRECT("'数据-取费表'!S"&amp;$G$1)),0)</f>
        <v>0</v>
      </c>
      <c r="D17" s="347" t="s">
        <v>1428</v>
      </c>
      <c r="E17" s="347" t="s">
        <v>1429</v>
      </c>
      <c r="F17" s="26">
        <f>'数据-取费表'!B35</f>
        <v>200</v>
      </c>
      <c r="G17" s="1850"/>
      <c r="H17" s="1197" t="s">
        <v>1035</v>
      </c>
      <c r="I17" s="347" t="s">
        <v>1430</v>
      </c>
      <c r="J17" s="24">
        <f ca="1">ROUND(IF(项目基本情况!B11="自然人",J5*M17,J18+J19+J20),0)</f>
        <v>0</v>
      </c>
      <c r="K17" s="1796" t="s">
        <v>1431</v>
      </c>
      <c r="L17" s="1794"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0</v>
      </c>
      <c r="D18" s="347" t="s">
        <v>1422</v>
      </c>
      <c r="E18" s="347" t="s">
        <v>1423</v>
      </c>
      <c r="F18" s="367">
        <f>'数据-取费表'!B36</f>
        <v>1.4999999999999999E-2</v>
      </c>
      <c r="G18" s="1850"/>
      <c r="H18" s="1197" t="s">
        <v>1034</v>
      </c>
      <c r="I18" s="347" t="s">
        <v>1434</v>
      </c>
      <c r="J18" s="24">
        <f ca="1">ROUND(J5*M18/(1+'数据-取费表'!C42),0)</f>
        <v>0</v>
      </c>
      <c r="K18" s="1794"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0</v>
      </c>
      <c r="D19" s="140" t="s">
        <v>1437</v>
      </c>
      <c r="E19" s="1814"/>
      <c r="F19" s="26"/>
      <c r="G19" s="1847"/>
      <c r="H19" s="1197" t="s">
        <v>1036</v>
      </c>
      <c r="I19" s="347" t="s">
        <v>1438</v>
      </c>
      <c r="J19" s="24">
        <f ca="1">IF(K19="按租金收入计税",ROUND(J5*M19,0),ROUND(C29*M19*0.7,0))</f>
        <v>0</v>
      </c>
      <c r="K19" s="1824" t="s">
        <v>1439</v>
      </c>
      <c r="L19" s="347" t="s">
        <v>1423</v>
      </c>
      <c r="M19" s="367">
        <f>IF(K19="按租金收入计税",'数据-取费表'!B51,'数据-取费表'!B50)</f>
        <v>1.2E-2</v>
      </c>
    </row>
    <row r="20" spans="1:37" s="1854" customFormat="1" ht="18" customHeight="1">
      <c r="A20" s="1197" t="s">
        <v>1039</v>
      </c>
      <c r="B20" s="347" t="s">
        <v>1440</v>
      </c>
      <c r="C20" s="24">
        <f ca="1">ROUND(C19*F20,0)</f>
        <v>0</v>
      </c>
      <c r="D20" s="369" t="s">
        <v>1441</v>
      </c>
      <c r="E20" s="347" t="s">
        <v>1423</v>
      </c>
      <c r="F20" s="367">
        <f>'数据-取费表'!B37</f>
        <v>0.02</v>
      </c>
      <c r="G20" s="1850"/>
      <c r="H20" s="1197" t="s">
        <v>1389</v>
      </c>
      <c r="I20" s="164" t="s">
        <v>1442</v>
      </c>
      <c r="J20" s="25">
        <f ca="1">ROUND(M20*M21,0)</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1814"/>
      <c r="F22" s="26"/>
      <c r="G22" s="1847"/>
      <c r="H22" s="1197" t="s">
        <v>1039</v>
      </c>
      <c r="I22" s="347" t="s">
        <v>1450</v>
      </c>
      <c r="J22" s="24">
        <f ca="1">ROUND(J14*M22,0)</f>
        <v>0</v>
      </c>
      <c r="K22" s="1794" t="s">
        <v>1451</v>
      </c>
      <c r="L22" s="347" t="s">
        <v>1423</v>
      </c>
      <c r="M22" s="374">
        <f ca="1">INDIRECT("'数据-取费表'!Ak"&amp;$G$1)</f>
        <v>0</v>
      </c>
    </row>
    <row r="23" spans="1:37" s="1854" customFormat="1" ht="18" customHeight="1">
      <c r="A23" s="1197"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ROUND(J13*M23,0)</f>
        <v>0</v>
      </c>
      <c r="K23" s="1794" t="s">
        <v>1455</v>
      </c>
      <c r="L23" s="347" t="s">
        <v>1456</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1393</v>
      </c>
      <c r="I24" s="1336" t="s">
        <v>1440</v>
      </c>
      <c r="J24" s="1337">
        <f ca="1">ROUND(J5*M24,0)</f>
        <v>0</v>
      </c>
      <c r="K24" s="1338" t="s">
        <v>1460</v>
      </c>
      <c r="L24" s="1336" t="s">
        <v>1456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7" t="s">
        <v>1462</v>
      </c>
      <c r="C25" s="24"/>
      <c r="D25" s="140" t="s">
        <v>1463</v>
      </c>
      <c r="E25" s="1814"/>
      <c r="F25" s="26"/>
      <c r="G25" s="1847"/>
      <c r="H25" s="1325" t="s">
        <v>1031</v>
      </c>
      <c r="I25" s="1340" t="s">
        <v>1464</v>
      </c>
      <c r="J25" s="355">
        <f ca="1">J5-J16</f>
        <v>0</v>
      </c>
      <c r="K25" s="1341" t="s">
        <v>1465</v>
      </c>
      <c r="L25" s="1342"/>
      <c r="M25" s="1343"/>
    </row>
    <row r="26" spans="1:37" ht="18" customHeight="1">
      <c r="A26" s="1197" t="s">
        <v>1034</v>
      </c>
      <c r="B26" s="347" t="s">
        <v>1466</v>
      </c>
      <c r="C26" s="24">
        <f ca="1">ROUND((C19+C20)*F26,0)</f>
        <v>0</v>
      </c>
      <c r="D26" s="369" t="s">
        <v>1467</v>
      </c>
      <c r="E26" s="358" t="s">
        <v>1468</v>
      </c>
      <c r="F26" s="357">
        <f ca="1">INDIRECT("'数据-取费表'!q"&amp;$G$1)</f>
        <v>0</v>
      </c>
      <c r="G26" s="1847"/>
      <c r="H26" s="344" t="s">
        <v>1032</v>
      </c>
      <c r="I26" s="345" t="s">
        <v>1469</v>
      </c>
      <c r="J26" s="346">
        <f ca="1">IF(J5&lt;&gt;0,ROUND(J25*(1-((1+M28)/(1+M26))^M27)/(M26-M28),0),0)</f>
        <v>0</v>
      </c>
      <c r="K26" s="370" t="s">
        <v>1470</v>
      </c>
      <c r="L26" s="347" t="s">
        <v>1471</v>
      </c>
      <c r="M26" s="357">
        <f ca="1">INDIRECT("'数据-取费表'!I"&amp;$G$1)</f>
        <v>0</v>
      </c>
    </row>
    <row r="27" spans="1:37" ht="18" customHeight="1">
      <c r="A27" s="1197" t="s">
        <v>1036</v>
      </c>
      <c r="B27" s="347" t="s">
        <v>1472</v>
      </c>
      <c r="C27" s="24">
        <f ca="1">ROUND(F21*F26,4)</f>
        <v>0</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80" t="s">
        <v>1033</v>
      </c>
      <c r="I29" s="381" t="s">
        <v>1480</v>
      </c>
      <c r="J29" s="382">
        <f ca="1">ROUND(J26/(1+F40)^F41,0)</f>
        <v>0</v>
      </c>
      <c r="K29" s="383" t="s">
        <v>1481</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0</v>
      </c>
      <c r="D30" s="1333" t="s">
        <v>1426</v>
      </c>
      <c r="E30" s="1334"/>
      <c r="F30" s="1290"/>
      <c r="G30" s="1847"/>
      <c r="H30" s="743"/>
      <c r="I30" s="744"/>
      <c r="J30" s="745"/>
      <c r="K30" s="746"/>
      <c r="L30" s="747"/>
      <c r="M30" s="748"/>
    </row>
    <row r="31" spans="1:37" ht="18" customHeight="1">
      <c r="A31" s="1197" t="s">
        <v>1035</v>
      </c>
      <c r="B31" s="347" t="s">
        <v>1430</v>
      </c>
      <c r="C31" s="24">
        <f ca="1">ROUND(IF(项目基本情况!B11="自然人",C5*F31,C32+C33+C34),0)</f>
        <v>0</v>
      </c>
      <c r="D31" s="1796" t="s">
        <v>1431</v>
      </c>
      <c r="E31" s="1794"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IF(项目基本情况!B11="自然人","——",ROUND(C5*F32/(1+'数据-取费表'!C42),0))</f>
        <v>0</v>
      </c>
      <c r="D32" s="1794"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IF(项目基本情况!B11="自然人","——",IF(D33="按租金收入计税",ROUND(C5*F33,0),IF(D33="按房产原值计税",ROUND(C29*F33*0.7,0),INDIRECT("'数据-取费表'!Aj"&amp;$G$1))))</f>
        <v>0</v>
      </c>
      <c r="D33" s="1824" t="s">
        <v>1439</v>
      </c>
      <c r="E33" s="347" t="s">
        <v>1423</v>
      </c>
      <c r="F33" s="367">
        <f>IF(D33="按票据","——",IF(D33="按租金收入计税",'数据-取费表'!B51,'数据-取费表'!B50))</f>
        <v>1.2E-2</v>
      </c>
      <c r="G33" s="1847"/>
      <c r="H33" s="1855"/>
      <c r="I33" s="1856"/>
      <c r="J33" s="1857"/>
      <c r="K33" s="1858"/>
      <c r="L33" s="1855"/>
      <c r="M33" s="1855"/>
    </row>
    <row r="34" spans="1:18" ht="18" customHeight="1">
      <c r="A34" s="1287" t="s">
        <v>1389</v>
      </c>
      <c r="B34" s="164" t="s">
        <v>1442</v>
      </c>
      <c r="C34" s="25">
        <f ca="1">IF(项目基本情况!B11="自然人","——",ROUND(F34*F35,))</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ROUND(C29*F36,0)</f>
        <v>0</v>
      </c>
      <c r="D36" s="1794" t="s">
        <v>1483</v>
      </c>
      <c r="E36" s="347" t="s">
        <v>1423</v>
      </c>
      <c r="F36" s="374">
        <f ca="1">INDIRECT("'数据-取费表'!Ak"&amp;$G$1)</f>
        <v>0</v>
      </c>
      <c r="G36" s="1847"/>
      <c r="H36" s="1855"/>
      <c r="I36" s="1856"/>
      <c r="J36" s="1857"/>
      <c r="K36" s="749"/>
      <c r="L36" s="1855"/>
      <c r="M36" s="1855"/>
    </row>
    <row r="37" spans="1:18" ht="18" customHeight="1">
      <c r="A37" s="1197" t="s">
        <v>1075</v>
      </c>
      <c r="B37" s="347" t="s">
        <v>1454</v>
      </c>
      <c r="C37" s="24">
        <f ca="1">ROUND(C13*F37,0)</f>
        <v>0</v>
      </c>
      <c r="D37" s="1794" t="s">
        <v>1455</v>
      </c>
      <c r="E37" s="347" t="s">
        <v>1456</v>
      </c>
      <c r="F37" s="376">
        <f ca="1">INDIRECT("'数据-取费表'!Al"&amp;$G$1)</f>
        <v>0</v>
      </c>
      <c r="G37" s="1847"/>
      <c r="H37" s="1855"/>
      <c r="I37" s="1856"/>
      <c r="J37" s="1857"/>
      <c r="K37" s="749"/>
      <c r="L37" s="1855"/>
      <c r="M37" s="1855"/>
    </row>
    <row r="38" spans="1:18" ht="18" customHeight="1" thickBot="1">
      <c r="A38" s="1335" t="s">
        <v>1393</v>
      </c>
      <c r="B38" s="1336" t="s">
        <v>1440</v>
      </c>
      <c r="C38" s="1337">
        <f ca="1">ROUND(C5*F38,1)</f>
        <v>0</v>
      </c>
      <c r="D38" s="1338" t="s">
        <v>1460</v>
      </c>
      <c r="E38" s="1336" t="s">
        <v>1456</v>
      </c>
      <c r="F38" s="1332">
        <f ca="1">INDIRECT("'数据-取费表'!Am"&amp;$G$1)</f>
        <v>0</v>
      </c>
      <c r="G38" s="1847"/>
      <c r="H38" s="1855"/>
      <c r="I38" s="1856"/>
      <c r="J38" s="1857"/>
      <c r="K38" s="1861"/>
      <c r="L38" s="1855"/>
      <c r="M38" s="1855"/>
    </row>
    <row r="39" spans="1:18" ht="24.6" customHeight="1" thickTop="1">
      <c r="A39" s="1325" t="s">
        <v>1031</v>
      </c>
      <c r="B39" s="1340" t="s">
        <v>1484</v>
      </c>
      <c r="C39" s="355">
        <f ca="1">C5-C30</f>
        <v>0</v>
      </c>
      <c r="D39" s="1341" t="s">
        <v>1485</v>
      </c>
      <c r="E39" s="1342"/>
      <c r="F39" s="1343"/>
      <c r="G39" s="1847"/>
      <c r="H39" s="1855"/>
      <c r="I39" s="1856"/>
      <c r="J39" s="1857"/>
      <c r="K39" s="1861"/>
      <c r="L39" s="1855"/>
      <c r="M39" s="1855"/>
    </row>
    <row r="40" spans="1:18" ht="18" customHeight="1">
      <c r="A40" s="344" t="s">
        <v>1032</v>
      </c>
      <c r="B40" s="345" t="s">
        <v>1486</v>
      </c>
      <c r="C40" s="346" t="e">
        <f ca="1">ROUND(C39*(1-((1+F42)/(1+F40))^F41)/(F40-F42),0)</f>
        <v>#DIV/0!</v>
      </c>
      <c r="D40" s="370" t="s">
        <v>1470</v>
      </c>
      <c r="E40" s="347" t="s">
        <v>1471</v>
      </c>
      <c r="F40" s="357">
        <f ca="1">INDIRECT("'数据-取费表'!I"&amp;$G$1)</f>
        <v>0</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0</v>
      </c>
      <c r="G41" s="1847"/>
      <c r="H41" s="730"/>
      <c r="I41" s="1856"/>
      <c r="J41" s="1857"/>
      <c r="K41" s="749"/>
      <c r="L41" s="730"/>
      <c r="M41" s="730"/>
    </row>
    <row r="42" spans="1:18" ht="18" customHeight="1">
      <c r="A42" s="353"/>
      <c r="B42" s="354"/>
      <c r="C42" s="355"/>
      <c r="D42" s="373"/>
      <c r="E42" s="347" t="s">
        <v>1478</v>
      </c>
      <c r="F42" s="357">
        <f ca="1">INDIRECT("'数据-取费表'!v"&amp;$G$1)</f>
        <v>0</v>
      </c>
      <c r="G42" s="1847"/>
      <c r="H42" s="730"/>
      <c r="I42" s="1856"/>
      <c r="J42" s="1857"/>
      <c r="K42" s="749"/>
      <c r="L42" s="730"/>
      <c r="M42" s="730"/>
    </row>
    <row r="43" spans="1:18" ht="18" customHeight="1" thickBot="1">
      <c r="A43" s="380" t="s">
        <v>1033</v>
      </c>
      <c r="B43" s="381" t="s">
        <v>1488</v>
      </c>
      <c r="C43" s="382" t="e">
        <f ca="1">ROUND(C40/F43,0)</f>
        <v>#DIV/0!</v>
      </c>
      <c r="D43" s="383" t="s">
        <v>1489</v>
      </c>
      <c r="E43" s="384" t="s">
        <v>1490</v>
      </c>
      <c r="F43" s="385">
        <f ca="1">INDIRECT("'数据-取费表'!k"&amp;$G$1)</f>
        <v>0</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1605</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1" t="s">
        <v>1396</v>
      </c>
      <c r="B47" s="1193" t="s">
        <v>1397</v>
      </c>
      <c r="C47" s="1193" t="s">
        <v>1398</v>
      </c>
      <c r="D47" s="1193" t="s">
        <v>1399</v>
      </c>
      <c r="E47" s="1275" t="s">
        <v>1400</v>
      </c>
      <c r="F47" s="1276"/>
      <c r="G47" s="790"/>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6" t="s">
        <v>1135</v>
      </c>
      <c r="B48" s="345" t="s">
        <v>1401</v>
      </c>
      <c r="C48" s="1813">
        <f ca="1">C49+C53+C55</f>
        <v>0</v>
      </c>
      <c r="D48" s="1358"/>
      <c r="E48" s="1359"/>
      <c r="F48" s="1177"/>
      <c r="G48" s="790"/>
      <c r="H48" s="791"/>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90" t="s">
        <v>1136</v>
      </c>
      <c r="B49" s="1825" t="s">
        <v>1491</v>
      </c>
      <c r="C49" s="1360">
        <f ca="1">ROUND(F49*F51*F50*(1-F52),0)</f>
        <v>0</v>
      </c>
      <c r="D49" s="1272" t="s">
        <v>1404</v>
      </c>
      <c r="E49" s="1826" t="s">
        <v>1492</v>
      </c>
      <c r="F49" s="1277"/>
      <c r="G49" s="1887"/>
      <c r="H49" s="791"/>
      <c r="I49" s="1883" t="s">
        <v>1535</v>
      </c>
      <c r="J49" s="1888"/>
      <c r="K49" s="1885" t="s">
        <v>1536</v>
      </c>
      <c r="L49" s="1889"/>
      <c r="O49" s="1890" t="s">
        <v>1042</v>
      </c>
      <c r="P49" s="1881" t="s">
        <v>1537</v>
      </c>
      <c r="Q49" s="1882">
        <f ca="1">C29</f>
        <v>0</v>
      </c>
      <c r="R49" s="1882" t="s">
        <v>1530</v>
      </c>
    </row>
    <row r="50" spans="1:18" s="1838" customFormat="1" ht="13.5" thickBot="1">
      <c r="A50" s="1191"/>
      <c r="B50" s="1194"/>
      <c r="C50" s="1195"/>
      <c r="D50" s="1168"/>
      <c r="E50" s="1273" t="s">
        <v>1406</v>
      </c>
      <c r="F50" s="1274">
        <f ca="1">F7</f>
        <v>0</v>
      </c>
      <c r="H50" s="791"/>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2"/>
      <c r="B51" s="1194"/>
      <c r="C51" s="1195"/>
      <c r="D51" s="1168"/>
      <c r="E51" s="1196" t="s">
        <v>1407</v>
      </c>
      <c r="F51" s="348">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9" t="s">
        <v>1409</v>
      </c>
      <c r="C53" s="361">
        <f ca="1">ROUND(IF(F53="押一",F49*F51*F50/12*F11,IF(F53="押二",F49*F51*F50/12*2*F11,IF(F53="押三",F49*F51*F50/12*3*F11,C54*F11))),0)</f>
        <v>0</v>
      </c>
      <c r="D53" s="1820" t="s">
        <v>1410</v>
      </c>
      <c r="E53" s="358" t="s">
        <v>1411</v>
      </c>
      <c r="F53" s="1362"/>
      <c r="I53" s="1901" t="s">
        <v>1548</v>
      </c>
      <c r="J53" s="1902" t="b">
        <f>IF(M47="住宅",J51,IF(D1="——",MIN(J51,L48),IF(D1="在建（套用方法）",MIN(J51,L48-'数据-取费表'!B24),IF(D1="土地（套用方法）",MIN(J51,L48-'数据-取费表'!B20)))))</f>
        <v>0</v>
      </c>
      <c r="K53" s="3334" t="s">
        <v>1549</v>
      </c>
      <c r="L53" s="3335"/>
      <c r="O53" s="1880" t="s">
        <v>1046</v>
      </c>
      <c r="P53" s="1881" t="s">
        <v>1550</v>
      </c>
      <c r="Q53" s="1882" t="e">
        <f ca="1">Q47+Q48</f>
        <v>#DIV/0!</v>
      </c>
      <c r="R53" s="1882" t="s">
        <v>1047</v>
      </c>
    </row>
    <row r="54" spans="1:18" s="1838" customFormat="1" ht="13.5" thickBot="1">
      <c r="A54" s="1190"/>
      <c r="B54" s="1937" t="s">
        <v>1604</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2">
        <v>2</v>
      </c>
      <c r="B56" s="1173" t="s">
        <v>1415</v>
      </c>
      <c r="C56" s="276">
        <f ca="1">C13</f>
        <v>0</v>
      </c>
      <c r="D56" s="1910"/>
      <c r="E56" s="1911"/>
      <c r="F56" s="1903"/>
      <c r="I56" s="1912" t="s">
        <v>1555</v>
      </c>
      <c r="J56" s="1913"/>
      <c r="K56" s="1883" t="s">
        <v>1556</v>
      </c>
      <c r="L56" s="1886">
        <f ca="1">IF(L48&lt;J51,"——",L48-J51)</f>
        <v>0</v>
      </c>
      <c r="O56" s="1880" t="s">
        <v>1040</v>
      </c>
      <c r="P56" s="1881" t="s">
        <v>1529</v>
      </c>
      <c r="Q56" s="1882" t="e">
        <f ca="1">C40+J29</f>
        <v>#DIV/0!</v>
      </c>
      <c r="R56" s="1882" t="s">
        <v>1530</v>
      </c>
    </row>
    <row r="57" spans="1:18" s="1838" customFormat="1" ht="24.75" thickBot="1">
      <c r="A57" s="1914"/>
      <c r="B57" s="1165" t="s">
        <v>1479</v>
      </c>
      <c r="C57" s="282">
        <f ca="1">C29</f>
        <v>0</v>
      </c>
      <c r="D57" s="1915"/>
      <c r="E57" s="1916"/>
      <c r="F57" s="1917"/>
      <c r="I57" s="1918" t="s">
        <v>1557</v>
      </c>
      <c r="J57" s="1919">
        <f ca="1">IF(OR(M47="住宅",J51&lt;L48,J56="是"),"——",J51-L48)</f>
        <v>0</v>
      </c>
      <c r="K57" s="1883" t="s">
        <v>1606</v>
      </c>
      <c r="L57" s="1886">
        <f ca="1">IF(L48&lt;J51,"——",IF(L55="比较法",L49,IF(L55="基准地价",L50,L51)))</f>
        <v>0</v>
      </c>
      <c r="O57" s="1880" t="s">
        <v>1041</v>
      </c>
      <c r="P57" s="1881" t="s">
        <v>1607</v>
      </c>
      <c r="Q57" s="1882" t="e">
        <f ca="1">L60</f>
        <v>#DIV/0!</v>
      </c>
      <c r="R57" s="1882" t="s">
        <v>1608</v>
      </c>
    </row>
    <row r="58" spans="1:18" s="1838" customFormat="1" ht="24.75" thickBot="1">
      <c r="A58" s="360" t="s">
        <v>1030</v>
      </c>
      <c r="B58" s="1173" t="s">
        <v>1425</v>
      </c>
      <c r="C58" s="361">
        <f ca="1">ROUND(C59+C64+C65+C66,0)</f>
        <v>0</v>
      </c>
      <c r="D58" s="1175" t="s">
        <v>1426</v>
      </c>
      <c r="E58" s="1176"/>
      <c r="F58" s="1177"/>
      <c r="I58" s="1918" t="s">
        <v>1561</v>
      </c>
      <c r="J58" s="1920" t="e">
        <f ca="1">IF(J55&lt;0.4,0.4,J55)</f>
        <v>#DIV/0!</v>
      </c>
      <c r="K58" s="1896" t="s">
        <v>1609</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ROUND(IF(项目基本情况!B11="自然人",C48*F59,C60+C61+C62),0)</f>
        <v>0</v>
      </c>
      <c r="D59" s="1178" t="s">
        <v>1431</v>
      </c>
      <c r="E59" s="1179" t="s">
        <v>1432</v>
      </c>
      <c r="F59" s="368" t="str">
        <f ca="1">IF(项目基本情况!B11="企业","",IF(INDIRECT("'数据-取费表'!c"&amp;$G$1)="住宅",5%,IF(F49*F50*F51/12/(1+'数据-取费表'!C42)&gt;20000,12%,7%)))</f>
        <v/>
      </c>
      <c r="I59" s="1918" t="s">
        <v>1564</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IF(项目基本情况!B11="自然人","——",ROUND(C48*F60/(1+'数据-取费表'!C42),0))</f>
        <v>0</v>
      </c>
      <c r="D60" s="1179" t="s">
        <v>1435</v>
      </c>
      <c r="E60" s="1165" t="s">
        <v>1423</v>
      </c>
      <c r="F60" s="377">
        <f t="shared" ref="F60:F66" si="0">F32</f>
        <v>5.6000000000000001E-2</v>
      </c>
      <c r="I60" s="1921" t="s">
        <v>1566</v>
      </c>
      <c r="J60" s="1922" t="e">
        <f ca="1">IF(OR(M47="住宅",J51&lt;L48,J56="是"),"0",ROUND(J59/(1+J52)^J53,0))</f>
        <v>#DIV/0!</v>
      </c>
      <c r="K60" s="1923" t="s">
        <v>1567</v>
      </c>
      <c r="L60" s="1922" t="e">
        <f ca="1">IF(OR(M47="住宅",L48&lt;J51),0,ROUND(L57*(L58/L59-1),0))</f>
        <v>#DIV/0!</v>
      </c>
      <c r="O60" s="1890" t="s">
        <v>1044</v>
      </c>
      <c r="P60" s="1881" t="s">
        <v>1568</v>
      </c>
      <c r="Q60" s="1882" t="e">
        <f ca="1">L58</f>
        <v>#DIV/0!</v>
      </c>
      <c r="R60" s="1882" t="s">
        <v>1569</v>
      </c>
    </row>
    <row r="61" spans="1:18" s="1838" customFormat="1" ht="13.5" thickBot="1">
      <c r="A61" s="1197" t="s">
        <v>1493</v>
      </c>
      <c r="B61" s="1165" t="s">
        <v>1494</v>
      </c>
      <c r="C61" s="24">
        <f ca="1">IF(项目基本情况!B11="自然人","——",IF(D61="按租金收入计税",ROUND(C48*F61,0),IF(D61="按房产原值计税",ROUND(C57*F61*0.7,0),INDIRECT("'数据-取费表'!Aj"&amp;$G$1))))</f>
        <v>0</v>
      </c>
      <c r="D61" s="1824" t="s">
        <v>1439</v>
      </c>
      <c r="E61" s="1165" t="s">
        <v>1495</v>
      </c>
      <c r="F61" s="367">
        <f t="shared" si="0"/>
        <v>1.2E-2</v>
      </c>
      <c r="I61" s="1924"/>
      <c r="J61" s="1924"/>
      <c r="K61" s="1924"/>
      <c r="L61" s="1924"/>
      <c r="O61" s="1890" t="s">
        <v>1045</v>
      </c>
      <c r="P61" s="1881" t="str">
        <f>K59</f>
        <v>建设期及建筑物耐用年限下的土地年期修正系数Kn</v>
      </c>
      <c r="Q61" s="1882" t="e">
        <f ca="1">L59</f>
        <v>#DIV/0!</v>
      </c>
      <c r="R61" s="1882" t="s">
        <v>1570</v>
      </c>
    </row>
    <row r="62" spans="1:18" s="1838" customFormat="1" ht="13.5" thickBot="1">
      <c r="A62" s="1197" t="s">
        <v>1496</v>
      </c>
      <c r="B62" s="1164" t="s">
        <v>1497</v>
      </c>
      <c r="C62" s="25">
        <f ca="1">IF(项目基本情况!B11="自然人","——",ROUND(F62*F63,0))</f>
        <v>0</v>
      </c>
      <c r="D62" s="1180" t="s">
        <v>1498</v>
      </c>
      <c r="E62" s="1165" t="s">
        <v>1499</v>
      </c>
      <c r="F62" s="371">
        <f t="shared" si="0"/>
        <v>18</v>
      </c>
      <c r="I62" s="1925" t="s">
        <v>1571</v>
      </c>
      <c r="J62" s="1926" t="s">
        <v>1572</v>
      </c>
      <c r="K62" s="1926" t="s">
        <v>1573</v>
      </c>
      <c r="L62" s="1926" t="s">
        <v>1574</v>
      </c>
      <c r="M62" s="1927" t="s">
        <v>1575</v>
      </c>
      <c r="O62" s="1880" t="s">
        <v>1046</v>
      </c>
      <c r="P62" s="1881" t="s">
        <v>1576</v>
      </c>
      <c r="Q62" s="1882" t="e">
        <f ca="1">Q56+Q57</f>
        <v>#DIV/0!</v>
      </c>
      <c r="R62" s="1882" t="s">
        <v>1047</v>
      </c>
    </row>
    <row r="63" spans="1:18" s="1838" customFormat="1" ht="13.5" thickBot="1">
      <c r="A63" s="372"/>
      <c r="B63" s="1171"/>
      <c r="C63" s="29"/>
      <c r="D63" s="1181"/>
      <c r="E63" s="1165" t="s">
        <v>1500</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1501</v>
      </c>
      <c r="B64" s="1165" t="s">
        <v>1502</v>
      </c>
      <c r="C64" s="24">
        <f ca="1">ROUND(C57*F64,0)</f>
        <v>0</v>
      </c>
      <c r="D64" s="1179" t="s">
        <v>1503</v>
      </c>
      <c r="E64" s="1165" t="s">
        <v>1495</v>
      </c>
      <c r="F64" s="374">
        <f t="shared" ca="1" si="0"/>
        <v>0</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ROUND(C56*F65,0)</f>
        <v>0</v>
      </c>
      <c r="D65" s="1179" t="s">
        <v>1455</v>
      </c>
      <c r="E65" s="1165" t="s">
        <v>1456</v>
      </c>
      <c r="F65" s="376">
        <f t="shared" ca="1" si="0"/>
        <v>0</v>
      </c>
      <c r="I65" s="1925" t="s">
        <v>1580</v>
      </c>
      <c r="J65" s="1926">
        <v>40</v>
      </c>
      <c r="K65" s="1926">
        <v>30</v>
      </c>
      <c r="L65" s="1926">
        <v>50</v>
      </c>
      <c r="M65" s="1928">
        <v>0.02</v>
      </c>
      <c r="O65" s="1880" t="s">
        <v>1040</v>
      </c>
      <c r="P65" s="1881" t="s">
        <v>1581</v>
      </c>
      <c r="Q65" s="1882" t="e">
        <f ca="1">C40+J29</f>
        <v>#DIV/0!</v>
      </c>
      <c r="R65" s="1882" t="s">
        <v>1530</v>
      </c>
    </row>
    <row r="66" spans="1:18" s="1838" customFormat="1" ht="16.5" thickBot="1">
      <c r="A66" s="1197" t="s">
        <v>1505</v>
      </c>
      <c r="B66" s="1165" t="s">
        <v>1440</v>
      </c>
      <c r="C66" s="24">
        <f ca="1">ROUND(C48*F66,0)</f>
        <v>0</v>
      </c>
      <c r="D66" s="1179" t="s">
        <v>1506</v>
      </c>
      <c r="E66" s="1165" t="s">
        <v>1423</v>
      </c>
      <c r="F66" s="357">
        <f t="shared" ca="1" si="0"/>
        <v>0</v>
      </c>
      <c r="O66" s="1880" t="s">
        <v>1041</v>
      </c>
      <c r="P66" s="1881" t="s">
        <v>1559</v>
      </c>
      <c r="Q66" s="1882" t="e">
        <f ca="1">L60</f>
        <v>#DIV/0!</v>
      </c>
      <c r="R66" s="1882" t="s">
        <v>1582</v>
      </c>
    </row>
    <row r="67" spans="1:18" s="1838" customFormat="1" ht="16.5" thickBot="1">
      <c r="A67" s="1172" t="s">
        <v>1031</v>
      </c>
      <c r="B67" s="1182" t="s">
        <v>1464</v>
      </c>
      <c r="C67" s="361">
        <f ca="1">C48-C58</f>
        <v>0</v>
      </c>
      <c r="D67" s="1178" t="s">
        <v>1465</v>
      </c>
      <c r="E67" s="1183"/>
      <c r="F67" s="1184"/>
      <c r="O67" s="1890" t="s">
        <v>1042</v>
      </c>
      <c r="P67" s="1881" t="s">
        <v>1563</v>
      </c>
      <c r="Q67" s="1929">
        <f ca="1">L51</f>
        <v>0</v>
      </c>
      <c r="R67" s="1882" t="s">
        <v>1583</v>
      </c>
    </row>
    <row r="68" spans="1:18" s="1838" customFormat="1" ht="16.5" thickBot="1">
      <c r="A68" s="1162" t="s">
        <v>1032</v>
      </c>
      <c r="B68" s="1163" t="s">
        <v>1486</v>
      </c>
      <c r="C68" s="346" t="e">
        <f ca="1">ROUND(C67*(1-((1+F70)/(1+F68))^F69)/(F68-F70),0)</f>
        <v>#DIV/0!</v>
      </c>
      <c r="D68" s="1180" t="s">
        <v>1470</v>
      </c>
      <c r="E68" s="1165" t="s">
        <v>1471</v>
      </c>
      <c r="F68" s="357">
        <f ca="1">F40</f>
        <v>0</v>
      </c>
      <c r="O68" s="1890" t="s">
        <v>1043</v>
      </c>
      <c r="P68" s="1930" t="s">
        <v>1584</v>
      </c>
      <c r="Q68" s="1882">
        <f ca="1">ROUND(Q69-Q70*Q71,0)</f>
        <v>0</v>
      </c>
      <c r="R68" s="1882" t="s">
        <v>1051</v>
      </c>
    </row>
    <row r="69" spans="1:18" s="1838" customFormat="1" ht="13.5" thickBot="1">
      <c r="A69" s="1166"/>
      <c r="B69" s="1167"/>
      <c r="C69" s="351"/>
      <c r="D69" s="1185" t="s">
        <v>1474</v>
      </c>
      <c r="E69" s="1165" t="s">
        <v>1475</v>
      </c>
      <c r="F69" s="379">
        <f ca="1">F41</f>
        <v>0</v>
      </c>
      <c r="O69" s="1890" t="s">
        <v>1048</v>
      </c>
      <c r="P69" s="1930" t="s">
        <v>1585</v>
      </c>
      <c r="Q69" s="1882">
        <f ca="1">C39</f>
        <v>0</v>
      </c>
      <c r="R69" s="1882" t="s">
        <v>1530</v>
      </c>
    </row>
    <row r="70" spans="1:18" s="1838" customFormat="1" ht="13.5" thickBot="1">
      <c r="A70" s="1169"/>
      <c r="B70" s="1170"/>
      <c r="C70" s="355"/>
      <c r="D70" s="1181"/>
      <c r="E70" s="1165" t="s">
        <v>1478</v>
      </c>
      <c r="F70" s="1271">
        <f ca="1">F42</f>
        <v>0</v>
      </c>
      <c r="O70" s="1890" t="s">
        <v>1049</v>
      </c>
      <c r="P70" s="1930" t="s">
        <v>1586</v>
      </c>
      <c r="Q70" s="1882">
        <f ca="1">C13</f>
        <v>0</v>
      </c>
      <c r="R70" s="1882" t="s">
        <v>1530</v>
      </c>
    </row>
    <row r="71" spans="1:18" s="1838" customFormat="1" ht="13.5" thickBot="1">
      <c r="A71" s="1186" t="s">
        <v>1033</v>
      </c>
      <c r="B71" s="1187" t="s">
        <v>1488</v>
      </c>
      <c r="C71" s="382" t="e">
        <f ca="1">ROUND(C68/F71,0)</f>
        <v>#DIV/0!</v>
      </c>
      <c r="D71" s="1188" t="s">
        <v>1489</v>
      </c>
      <c r="E71" s="1189" t="s">
        <v>1490</v>
      </c>
      <c r="F71" s="385">
        <f ca="1">F43</f>
        <v>0</v>
      </c>
      <c r="O71" s="1890" t="s">
        <v>1050</v>
      </c>
      <c r="P71" s="1930" t="s">
        <v>1587</v>
      </c>
      <c r="Q71" s="1893">
        <f ca="1">C76</f>
        <v>0</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建设期及建筑物耐用年限下的土地年期修正系数Kn</v>
      </c>
      <c r="Q74" s="1882" t="e">
        <f ca="1">L59</f>
        <v>#DIV/0!</v>
      </c>
      <c r="R74" s="1882" t="s">
        <v>1570</v>
      </c>
    </row>
    <row r="75" spans="1:18" ht="13.5" thickBot="1">
      <c r="A75" s="1838"/>
      <c r="B75" s="386" t="s">
        <v>1507</v>
      </c>
      <c r="C75" s="387">
        <f ca="1">ROUND(C13*C76,0)</f>
        <v>0</v>
      </c>
      <c r="D75" s="1838"/>
      <c r="E75" s="1838"/>
      <c r="F75" s="1838"/>
      <c r="K75" s="1864"/>
      <c r="L75" s="1838"/>
      <c r="O75" s="1880" t="s">
        <v>1046</v>
      </c>
      <c r="P75" s="1881" t="s">
        <v>1550</v>
      </c>
      <c r="Q75" s="1882" t="e">
        <f ca="1">Q65+Q66</f>
        <v>#DIV/0!</v>
      </c>
      <c r="R75" s="1882" t="s">
        <v>1047</v>
      </c>
    </row>
    <row r="76" spans="1:18">
      <c r="B76" s="388" t="s">
        <v>1508</v>
      </c>
      <c r="C76" s="389">
        <f ca="1">INDIRECT("'数据-取费表'!j"&amp;$G$1)</f>
        <v>0</v>
      </c>
      <c r="I76" s="1838"/>
      <c r="J76" s="1838"/>
      <c r="K76" s="1864"/>
      <c r="L76" s="1838"/>
    </row>
    <row r="77" spans="1:18">
      <c r="B77" s="390" t="s">
        <v>1509</v>
      </c>
      <c r="C77" s="391"/>
      <c r="I77" s="1838"/>
      <c r="J77" s="1838"/>
      <c r="K77" s="1864"/>
      <c r="L77" s="1838"/>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9"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E15" sqref="E15"/>
    </sheetView>
  </sheetViews>
  <sheetFormatPr defaultColWidth="8.875" defaultRowHeight="13.5"/>
  <cols>
    <col min="1" max="1" width="10.5" customWidth="1"/>
    <col min="2" max="2" width="12.875" customWidth="1"/>
    <col min="3" max="3" width="8.625" customWidth="1"/>
  </cols>
  <sheetData>
    <row r="1" spans="1:9" ht="14.25">
      <c r="A1" s="3355" t="s">
        <v>1076</v>
      </c>
      <c r="B1" s="3356"/>
      <c r="C1" s="3357"/>
      <c r="D1" s="3358">
        <f>SUM(I10,I15,I20,I21,I23)</f>
        <v>0</v>
      </c>
      <c r="E1" s="3358"/>
      <c r="F1" s="3358"/>
      <c r="G1" s="3358"/>
      <c r="H1" s="3358"/>
      <c r="I1" s="3359"/>
    </row>
    <row r="2" spans="1:9">
      <c r="A2" s="3345" t="s">
        <v>1077</v>
      </c>
      <c r="B2" s="3346" t="s">
        <v>1078</v>
      </c>
      <c r="C2" s="3346"/>
      <c r="D2" s="1297" t="s">
        <v>1079</v>
      </c>
      <c r="E2" s="1297" t="s">
        <v>1080</v>
      </c>
      <c r="F2" s="1297" t="s">
        <v>1081</v>
      </c>
      <c r="G2" s="1297" t="s">
        <v>1082</v>
      </c>
      <c r="H2" s="1297" t="s">
        <v>1083</v>
      </c>
      <c r="I2" s="1298" t="s">
        <v>1084</v>
      </c>
    </row>
    <row r="3" spans="1:9">
      <c r="A3" s="3345"/>
      <c r="B3" s="3346" t="s">
        <v>1085</v>
      </c>
      <c r="C3" s="3346"/>
      <c r="D3" s="1299"/>
      <c r="E3" s="1297"/>
      <c r="F3" s="1300"/>
      <c r="G3" s="1300"/>
      <c r="H3" s="1301"/>
      <c r="I3" s="1302">
        <f>ROUND(D3*E3*F3*G3*H3/10000,0)</f>
        <v>0</v>
      </c>
    </row>
    <row r="4" spans="1:9">
      <c r="A4" s="3345"/>
      <c r="B4" s="3346" t="s">
        <v>1086</v>
      </c>
      <c r="C4" s="3346"/>
      <c r="D4" s="1299"/>
      <c r="E4" s="1297"/>
      <c r="F4" s="1300"/>
      <c r="G4" s="1300"/>
      <c r="H4" s="1301"/>
      <c r="I4" s="1302">
        <f t="shared" ref="I4:I9" si="0">ROUND(D4*E4*F4*G4*H4/10000,0)</f>
        <v>0</v>
      </c>
    </row>
    <row r="5" spans="1:9">
      <c r="A5" s="3345"/>
      <c r="B5" s="3346" t="s">
        <v>1087</v>
      </c>
      <c r="C5" s="3346"/>
      <c r="D5" s="1299"/>
      <c r="E5" s="1297"/>
      <c r="F5" s="1300"/>
      <c r="G5" s="1300"/>
      <c r="H5" s="1301"/>
      <c r="I5" s="1302">
        <f t="shared" si="0"/>
        <v>0</v>
      </c>
    </row>
    <row r="6" spans="1:9">
      <c r="A6" s="3345"/>
      <c r="B6" s="3346" t="s">
        <v>1088</v>
      </c>
      <c r="C6" s="3346"/>
      <c r="D6" s="1299"/>
      <c r="E6" s="1297"/>
      <c r="F6" s="1300"/>
      <c r="G6" s="1300"/>
      <c r="H6" s="1301"/>
      <c r="I6" s="1302">
        <f t="shared" si="0"/>
        <v>0</v>
      </c>
    </row>
    <row r="7" spans="1:9">
      <c r="A7" s="3345"/>
      <c r="B7" s="3346" t="s">
        <v>1089</v>
      </c>
      <c r="C7" s="3346"/>
      <c r="D7" s="1299"/>
      <c r="E7" s="1297"/>
      <c r="F7" s="1300"/>
      <c r="G7" s="1300"/>
      <c r="H7" s="1301"/>
      <c r="I7" s="1302">
        <f t="shared" si="0"/>
        <v>0</v>
      </c>
    </row>
    <row r="8" spans="1:9">
      <c r="A8" s="3345"/>
      <c r="B8" s="3346" t="s">
        <v>1090</v>
      </c>
      <c r="C8" s="3346"/>
      <c r="D8" s="1299"/>
      <c r="E8" s="1297"/>
      <c r="F8" s="1300"/>
      <c r="G8" s="1300"/>
      <c r="H8" s="1301"/>
      <c r="I8" s="1302">
        <f t="shared" si="0"/>
        <v>0</v>
      </c>
    </row>
    <row r="9" spans="1:9">
      <c r="A9" s="3345"/>
      <c r="B9" s="3346" t="s">
        <v>1091</v>
      </c>
      <c r="C9" s="3346"/>
      <c r="D9" s="1299"/>
      <c r="E9" s="1297"/>
      <c r="F9" s="1300"/>
      <c r="G9" s="1300"/>
      <c r="H9" s="1301"/>
      <c r="I9" s="1302">
        <f t="shared" si="0"/>
        <v>0</v>
      </c>
    </row>
    <row r="10" spans="1:9">
      <c r="A10" s="3345"/>
      <c r="B10" s="3347" t="s">
        <v>1092</v>
      </c>
      <c r="C10" s="3347"/>
      <c r="D10" s="1303"/>
      <c r="E10" s="1303" t="e">
        <f>ROUND(D1*10000/D10/H9,0)</f>
        <v>#DIV/0!</v>
      </c>
      <c r="F10" s="1304"/>
      <c r="G10" s="1304"/>
      <c r="H10" s="1305"/>
      <c r="I10" s="1306">
        <f>SUM(I3:I9)</f>
        <v>0</v>
      </c>
    </row>
    <row r="11" spans="1:9" ht="14.25">
      <c r="A11" s="3345" t="s">
        <v>1093</v>
      </c>
      <c r="B11" s="3346" t="s">
        <v>1094</v>
      </c>
      <c r="C11" s="3346"/>
      <c r="D11" s="1299" t="s">
        <v>1095</v>
      </c>
      <c r="E11" s="1299" t="s">
        <v>1096</v>
      </c>
      <c r="F11" s="1300" t="s">
        <v>1097</v>
      </c>
      <c r="G11" s="1300" t="s">
        <v>1083</v>
      </c>
      <c r="H11" s="1307" t="s">
        <v>1098</v>
      </c>
      <c r="I11" s="1298" t="s">
        <v>1084</v>
      </c>
    </row>
    <row r="12" spans="1:9">
      <c r="A12" s="3345"/>
      <c r="B12" s="3346" t="s">
        <v>1099</v>
      </c>
      <c r="C12" s="3346"/>
      <c r="D12" s="1299"/>
      <c r="E12" s="1299"/>
      <c r="F12" s="1300"/>
      <c r="G12" s="1301"/>
      <c r="H12" s="1308"/>
      <c r="I12" s="1298">
        <f>ROUND(D12*E12*F12*G12/10000,0)</f>
        <v>0</v>
      </c>
    </row>
    <row r="13" spans="1:9">
      <c r="A13" s="3345"/>
      <c r="B13" s="3346" t="s">
        <v>1100</v>
      </c>
      <c r="C13" s="3346"/>
      <c r="D13" s="1299"/>
      <c r="E13" s="1299"/>
      <c r="F13" s="1300"/>
      <c r="G13" s="1301"/>
      <c r="H13" s="1308"/>
      <c r="I13" s="1298">
        <f>ROUND(D13*E13*F13*G13/10000,0)</f>
        <v>0</v>
      </c>
    </row>
    <row r="14" spans="1:9">
      <c r="A14" s="3345"/>
      <c r="B14" s="3346" t="s">
        <v>1101</v>
      </c>
      <c r="C14" s="3346"/>
      <c r="D14" s="1299"/>
      <c r="E14" s="1299"/>
      <c r="F14" s="1300"/>
      <c r="G14" s="1301"/>
      <c r="H14" s="1308"/>
      <c r="I14" s="1298">
        <f>ROUND(D14*E14*F14*G14/10000,0)</f>
        <v>0</v>
      </c>
    </row>
    <row r="15" spans="1:9">
      <c r="A15" s="3345"/>
      <c r="B15" s="3347" t="s">
        <v>1092</v>
      </c>
      <c r="C15" s="3347"/>
      <c r="D15" s="1303"/>
      <c r="E15" s="1303">
        <f>SUM(E12:E14)</f>
        <v>0</v>
      </c>
      <c r="F15" s="1304"/>
      <c r="G15" s="1301"/>
      <c r="H15" s="1308"/>
      <c r="I15" s="1309">
        <f>SUM(I12:I14)</f>
        <v>0</v>
      </c>
    </row>
    <row r="16" spans="1:9" ht="24">
      <c r="A16" s="3345" t="s">
        <v>1102</v>
      </c>
      <c r="B16" s="3346" t="s">
        <v>1103</v>
      </c>
      <c r="C16" s="3346"/>
      <c r="D16" s="1299" t="s">
        <v>1079</v>
      </c>
      <c r="E16" s="1310" t="s">
        <v>1104</v>
      </c>
      <c r="F16" s="1300" t="s">
        <v>1105</v>
      </c>
      <c r="G16" s="1301" t="s">
        <v>1083</v>
      </c>
      <c r="H16" s="1307" t="s">
        <v>1098</v>
      </c>
      <c r="I16" s="1298" t="s">
        <v>1084</v>
      </c>
    </row>
    <row r="17" spans="1:9" ht="14.25">
      <c r="A17" s="3345"/>
      <c r="B17" s="3346" t="s">
        <v>1106</v>
      </c>
      <c r="C17" s="3346"/>
      <c r="D17" s="1299"/>
      <c r="E17" s="1299"/>
      <c r="F17" s="1300"/>
      <c r="G17" s="1301"/>
      <c r="H17" s="1311"/>
      <c r="I17" s="1312">
        <f>ROUND(D17*E17*F17*G17/10000,0)</f>
        <v>0</v>
      </c>
    </row>
    <row r="18" spans="1:9" ht="14.25">
      <c r="A18" s="3345"/>
      <c r="B18" s="3346" t="s">
        <v>1107</v>
      </c>
      <c r="C18" s="3346"/>
      <c r="D18" s="1299"/>
      <c r="E18" s="1299"/>
      <c r="F18" s="1300"/>
      <c r="G18" s="1301"/>
      <c r="H18" s="1311"/>
      <c r="I18" s="1312">
        <f>ROUND(D18*E18*F18*G18/10000,0)</f>
        <v>0</v>
      </c>
    </row>
    <row r="19" spans="1:9" ht="14.25">
      <c r="A19" s="3345"/>
      <c r="B19" s="3346" t="s">
        <v>1108</v>
      </c>
      <c r="C19" s="3346"/>
      <c r="D19" s="1299"/>
      <c r="E19" s="1299"/>
      <c r="F19" s="1300"/>
      <c r="G19" s="1301"/>
      <c r="H19" s="1311"/>
      <c r="I19" s="1312">
        <f>ROUND(D19*E19*F19*G19/10000,0)</f>
        <v>0</v>
      </c>
    </row>
    <row r="20" spans="1:9">
      <c r="A20" s="3345"/>
      <c r="B20" s="3347" t="s">
        <v>1092</v>
      </c>
      <c r="C20" s="3347"/>
      <c r="D20" s="1303">
        <f>SUM(D17:D19)</f>
        <v>0</v>
      </c>
      <c r="E20" s="1303"/>
      <c r="F20" s="1304"/>
      <c r="G20" s="1301"/>
      <c r="H20" s="1308"/>
      <c r="I20" s="1309">
        <f>SUM(I17:I19)</f>
        <v>0</v>
      </c>
    </row>
    <row r="21" spans="1:9">
      <c r="A21" s="3345" t="s">
        <v>1109</v>
      </c>
      <c r="B21" s="3348"/>
      <c r="C21" s="3348"/>
      <c r="D21" s="3348"/>
      <c r="E21" s="3348"/>
      <c r="F21" s="3348"/>
      <c r="G21" s="3348"/>
      <c r="H21" s="1761">
        <v>0.1</v>
      </c>
      <c r="I21" s="1306">
        <f>ROUND(I10*H21,0)</f>
        <v>0</v>
      </c>
    </row>
    <row r="22" spans="1:9" ht="14.25">
      <c r="A22" s="3349" t="s">
        <v>1110</v>
      </c>
      <c r="B22" s="3350"/>
      <c r="C22" s="3351"/>
      <c r="D22" s="1313" t="s">
        <v>1111</v>
      </c>
      <c r="E22" s="1313" t="s">
        <v>1112</v>
      </c>
      <c r="F22" s="1314" t="s">
        <v>1113</v>
      </c>
      <c r="G22" s="1314" t="s">
        <v>1114</v>
      </c>
      <c r="H22" s="1307" t="s">
        <v>1115</v>
      </c>
      <c r="I22" s="1298" t="s">
        <v>1116</v>
      </c>
    </row>
    <row r="23" spans="1:9" ht="14.25" thickBot="1">
      <c r="A23" s="3352"/>
      <c r="B23" s="3353"/>
      <c r="C23" s="3354"/>
      <c r="D23" s="1315"/>
      <c r="E23" s="1315"/>
      <c r="F23" s="1315"/>
      <c r="G23" s="1316"/>
      <c r="H23" s="1317"/>
      <c r="I23" s="1318">
        <f>ROUND(E23*D23*F23*(1-G23)/10000,0)</f>
        <v>0</v>
      </c>
    </row>
    <row r="26" spans="1:9">
      <c r="A26" s="1319" t="s">
        <v>1117</v>
      </c>
      <c r="B26" s="1319"/>
      <c r="C26" s="1319"/>
      <c r="D26" s="1319"/>
      <c r="E26" s="3342">
        <f>C27-C30-C31-C32</f>
        <v>0</v>
      </c>
      <c r="F26" s="3342"/>
      <c r="G26" s="3342"/>
      <c r="H26" s="1733" t="s">
        <v>1340</v>
      </c>
    </row>
    <row r="27" spans="1:9">
      <c r="A27" s="1320">
        <v>1</v>
      </c>
      <c r="B27" s="1321" t="s">
        <v>1118</v>
      </c>
      <c r="C27" s="1321">
        <f>C28+C29</f>
        <v>0</v>
      </c>
      <c r="D27" s="1321"/>
      <c r="E27" s="3343"/>
      <c r="F27" s="3343"/>
      <c r="G27" s="3343"/>
    </row>
    <row r="28" spans="1:9">
      <c r="A28" s="1322" t="s">
        <v>1119</v>
      </c>
      <c r="B28" s="1321" t="s">
        <v>1120</v>
      </c>
      <c r="C28" s="1321"/>
      <c r="D28" s="1321"/>
      <c r="E28" s="3343"/>
      <c r="F28" s="3343"/>
      <c r="G28" s="3343"/>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344"/>
      <c r="F32" s="3344"/>
      <c r="G32" s="3344"/>
    </row>
    <row r="33" spans="1:7" hidden="1">
      <c r="A33" s="3339" t="s">
        <v>1129</v>
      </c>
      <c r="B33" s="3340"/>
      <c r="C33" s="3340"/>
      <c r="D33" s="3341"/>
      <c r="E33" s="3342"/>
      <c r="F33" s="3342"/>
      <c r="G33" s="3342"/>
    </row>
    <row r="34" spans="1:7" hidden="1">
      <c r="A34" s="1324">
        <v>1</v>
      </c>
      <c r="B34" s="1321" t="s">
        <v>1130</v>
      </c>
      <c r="C34" s="1321"/>
      <c r="D34" s="1321"/>
      <c r="E34" s="3343"/>
      <c r="F34" s="3343"/>
      <c r="G34" s="3343"/>
    </row>
    <row r="35" spans="1:7" hidden="1">
      <c r="A35" s="1324">
        <v>2</v>
      </c>
      <c r="B35" s="1321" t="s">
        <v>1131</v>
      </c>
      <c r="C35" s="1321"/>
      <c r="D35" s="1321"/>
      <c r="E35" s="3343"/>
      <c r="F35" s="3343"/>
      <c r="G35" s="3343"/>
    </row>
    <row r="36" spans="1:7" hidden="1">
      <c r="A36" s="1324">
        <v>3</v>
      </c>
      <c r="B36" s="1321" t="s">
        <v>1132</v>
      </c>
      <c r="C36" s="1321"/>
      <c r="D36" s="1321"/>
      <c r="E36" s="3343"/>
      <c r="F36" s="3343"/>
      <c r="G36" s="3343"/>
    </row>
    <row r="37" spans="1:7" hidden="1">
      <c r="A37" s="1324">
        <v>4</v>
      </c>
      <c r="B37" s="1321" t="s">
        <v>1133</v>
      </c>
      <c r="C37" s="1321"/>
      <c r="D37" s="1321"/>
      <c r="E37" s="3343"/>
      <c r="F37" s="3343"/>
      <c r="G37" s="3343"/>
    </row>
    <row r="38" spans="1:7" hidden="1">
      <c r="A38" s="3339" t="s">
        <v>1134</v>
      </c>
      <c r="B38" s="3340"/>
      <c r="C38" s="3340"/>
      <c r="D38" s="3341"/>
      <c r="E38" s="3342"/>
      <c r="F38" s="3342"/>
      <c r="G38" s="33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zoomScale="90" zoomScaleNormal="90" zoomScalePageLayoutView="90" workbookViewId="0">
      <selection activeCell="E15" sqref="E15"/>
    </sheetView>
  </sheetViews>
  <sheetFormatPr defaultColWidth="8.875"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26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577" t="s">
        <v>2517</v>
      </c>
      <c r="C1" s="1630" t="s">
        <v>2518</v>
      </c>
      <c r="D1" s="1617"/>
      <c r="E1" s="2578"/>
      <c r="F1" s="2579" t="s">
        <v>2519</v>
      </c>
      <c r="G1" s="1627" t="s">
        <v>2520</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3" customFormat="1" ht="28.5" customHeight="1" thickTop="1">
      <c r="A2" s="1613" t="s">
        <v>1394</v>
      </c>
      <c r="B2" s="1414" t="e">
        <f ca="1">IF(C2="——",ROUND(C49*D3/10000,0),ROUND(C49*D3/10000,0)-D2)</f>
        <v>#DIV/0!</v>
      </c>
      <c r="C2" s="2581"/>
      <c r="D2" s="1361" t="e">
        <f ca="1">SUMIF(INDIRECT("'"&amp;F2&amp;"'"&amp;"!A:A"),"承租人权益价值",INDIRECT("'"&amp;F2&amp;"'"&amp;"!c:c"))</f>
        <v>#REF!</v>
      </c>
      <c r="E2" s="2582" t="s">
        <v>2521</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2522</v>
      </c>
      <c r="D3" s="399">
        <f>IF(D1="",'数据-汇总表'!E3,SUMIF('数据-汇总表'!$C19:$C33,D1,'数据-汇总表'!$E19:$E33))</f>
        <v>11628.210000000001</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401" t="s">
        <v>2523</v>
      </c>
      <c r="B4" s="402"/>
      <c r="C4" s="3282" t="s">
        <v>2524</v>
      </c>
      <c r="D4" s="3283"/>
      <c r="E4" s="3284" t="s">
        <v>2525</v>
      </c>
      <c r="F4" s="3285"/>
      <c r="G4" s="3282" t="s">
        <v>2526</v>
      </c>
      <c r="H4" s="3283"/>
      <c r="I4" s="3282" t="s">
        <v>2527</v>
      </c>
      <c r="J4" s="3283"/>
      <c r="K4" s="2591" t="s">
        <v>2528</v>
      </c>
      <c r="L4" s="1126"/>
      <c r="M4" s="1127"/>
      <c r="N4" s="1127"/>
      <c r="O4" s="1127"/>
      <c r="P4" s="3323" t="s">
        <v>2529</v>
      </c>
      <c r="Q4" s="3324"/>
      <c r="R4" s="3327" t="s">
        <v>2525</v>
      </c>
      <c r="S4" s="3328"/>
      <c r="T4" s="3327" t="s">
        <v>2526</v>
      </c>
      <c r="U4" s="3328"/>
      <c r="V4" s="3299" t="s">
        <v>2527</v>
      </c>
      <c r="W4" s="3299"/>
      <c r="X4" s="1809"/>
      <c r="Y4" s="3327" t="s">
        <v>2529</v>
      </c>
      <c r="Z4" s="3328"/>
      <c r="AA4" s="3320" t="s">
        <v>2525</v>
      </c>
      <c r="AB4" s="3320" t="s">
        <v>2526</v>
      </c>
      <c r="AC4" s="3320" t="s">
        <v>2527</v>
      </c>
    </row>
    <row r="5" spans="1:29" ht="15">
      <c r="A5" s="404"/>
      <c r="B5" s="405"/>
      <c r="C5" s="3308" t="s">
        <v>2530</v>
      </c>
      <c r="D5" s="3303"/>
      <c r="E5" s="3360" t="s">
        <v>2531</v>
      </c>
      <c r="F5" s="3316"/>
      <c r="G5" s="3308" t="s">
        <v>2532</v>
      </c>
      <c r="H5" s="3303"/>
      <c r="I5" s="3308" t="s">
        <v>2533</v>
      </c>
      <c r="J5" s="3303"/>
      <c r="K5" s="2592"/>
      <c r="L5" s="1126"/>
      <c r="M5" s="1127"/>
      <c r="N5" s="1127"/>
      <c r="O5" s="1127"/>
      <c r="P5" s="3325"/>
      <c r="Q5" s="3289"/>
      <c r="R5" s="3294"/>
      <c r="S5" s="3295"/>
      <c r="T5" s="3294"/>
      <c r="U5" s="3295"/>
      <c r="V5" s="3299"/>
      <c r="W5" s="3299"/>
      <c r="X5" s="1809"/>
      <c r="Y5" s="3294"/>
      <c r="Z5" s="3295"/>
      <c r="AA5" s="3313"/>
      <c r="AB5" s="3313"/>
      <c r="AC5" s="3313"/>
    </row>
    <row r="6" spans="1:29" ht="15.75" thickBot="1">
      <c r="A6" s="406"/>
      <c r="B6" s="407"/>
      <c r="C6" s="3309" t="s">
        <v>2534</v>
      </c>
      <c r="D6" s="3301"/>
      <c r="E6" s="3331" t="s">
        <v>2534</v>
      </c>
      <c r="F6" s="3311"/>
      <c r="G6" s="3309" t="s">
        <v>2534</v>
      </c>
      <c r="H6" s="3301"/>
      <c r="I6" s="3309" t="s">
        <v>2534</v>
      </c>
      <c r="J6" s="3301"/>
      <c r="K6" s="2592" t="s">
        <v>2535</v>
      </c>
      <c r="L6" s="1126"/>
      <c r="M6" s="1127"/>
      <c r="N6" s="1127"/>
      <c r="O6" s="1127"/>
      <c r="P6" s="3326"/>
      <c r="Q6" s="3291"/>
      <c r="R6" s="3294"/>
      <c r="S6" s="3295"/>
      <c r="T6" s="3296"/>
      <c r="U6" s="3297"/>
      <c r="V6" s="3299"/>
      <c r="W6" s="3299"/>
      <c r="X6" s="1809"/>
      <c r="Y6" s="3296"/>
      <c r="Z6" s="3297"/>
      <c r="AA6" s="3314"/>
      <c r="AB6" s="3314"/>
      <c r="AC6" s="3314"/>
    </row>
    <row r="7" spans="1:29" s="117" customFormat="1" ht="15.75" thickBot="1">
      <c r="A7" s="408" t="s">
        <v>2536</v>
      </c>
      <c r="B7" s="409"/>
      <c r="C7" s="410">
        <f>'数据-取费表'!B2</f>
        <v>43185</v>
      </c>
      <c r="D7" s="411">
        <v>100</v>
      </c>
      <c r="E7" s="412"/>
      <c r="F7" s="413">
        <f>SUMIF(58:58,YEAR(E7)&amp;"-"&amp;MONTH(E7),59:59)</f>
        <v>0</v>
      </c>
      <c r="G7" s="412"/>
      <c r="H7" s="411">
        <f>SUMIF(58:58,YEAR(G7)&amp;"-"&amp;MONTH(G7),59:59)</f>
        <v>0</v>
      </c>
      <c r="I7" s="412"/>
      <c r="J7" s="411">
        <f>SUMIF(58:58,YEAR(I7)&amp;"-"&amp;MONTH(I7),59:59)</f>
        <v>0</v>
      </c>
      <c r="K7" s="2593"/>
      <c r="L7" s="1128"/>
      <c r="M7" s="1129"/>
      <c r="N7" s="1129"/>
      <c r="O7" s="1129"/>
      <c r="P7" s="3306" t="s">
        <v>2537</v>
      </c>
      <c r="Q7" s="3307"/>
      <c r="R7" s="768" t="s">
        <v>23</v>
      </c>
      <c r="S7" s="769">
        <f t="shared" ref="S7:S15" si="0">F7</f>
        <v>0</v>
      </c>
      <c r="T7" s="768" t="s">
        <v>23</v>
      </c>
      <c r="U7" s="769">
        <f t="shared" ref="U7:U15" si="1">H7</f>
        <v>0</v>
      </c>
      <c r="V7" s="768" t="s">
        <v>23</v>
      </c>
      <c r="W7" s="769">
        <f t="shared" ref="W7:W15" si="2">J7</f>
        <v>0</v>
      </c>
      <c r="X7" s="770"/>
      <c r="Y7" s="3306" t="s">
        <v>2537</v>
      </c>
      <c r="Z7" s="3305"/>
      <c r="AA7" s="771" t="e">
        <f>D7/F7</f>
        <v>#DIV/0!</v>
      </c>
      <c r="AB7" s="771" t="e">
        <f>D7/H7</f>
        <v>#DIV/0!</v>
      </c>
      <c r="AC7" s="771" t="e">
        <f>D7/J7</f>
        <v>#DIV/0!</v>
      </c>
    </row>
    <row r="8" spans="1:29" s="117" customFormat="1" ht="15.75" thickBot="1">
      <c r="A8" s="408" t="s">
        <v>2538</v>
      </c>
      <c r="B8" s="409"/>
      <c r="C8" s="414" t="s">
        <v>2539</v>
      </c>
      <c r="D8" s="411">
        <v>100</v>
      </c>
      <c r="E8" s="2594"/>
      <c r="F8" s="413">
        <f>SUMIF(61:61,E8,62:62)-SUMIF(61:61,C8,62:62)+100</f>
        <v>0</v>
      </c>
      <c r="G8" s="414"/>
      <c r="H8" s="411">
        <f>SUMIF(61:61,G8,62:62)-SUMIF(61:61,C8,62:62)+100</f>
        <v>0</v>
      </c>
      <c r="I8" s="2594"/>
      <c r="J8" s="411">
        <f>SUMIF(61:61,I8,62:62)-SUMIF(61:61,C8,62:62)+100</f>
        <v>0</v>
      </c>
      <c r="K8" s="2593"/>
      <c r="L8" s="1128"/>
      <c r="M8" s="1129"/>
      <c r="N8" s="1129"/>
      <c r="O8" s="1129"/>
      <c r="P8" s="3306" t="s">
        <v>2540</v>
      </c>
      <c r="Q8" s="3305"/>
      <c r="R8" s="768" t="s">
        <v>23</v>
      </c>
      <c r="S8" s="769">
        <f t="shared" si="0"/>
        <v>0</v>
      </c>
      <c r="T8" s="768" t="s">
        <v>23</v>
      </c>
      <c r="U8" s="769">
        <f t="shared" si="1"/>
        <v>0</v>
      </c>
      <c r="V8" s="768" t="s">
        <v>23</v>
      </c>
      <c r="W8" s="769">
        <f t="shared" si="2"/>
        <v>0</v>
      </c>
      <c r="X8" s="770"/>
      <c r="Y8" s="3306" t="s">
        <v>2540</v>
      </c>
      <c r="Z8" s="3305"/>
      <c r="AA8" s="771" t="e">
        <f t="shared" ref="AA8:AA19" si="3">D8/F8</f>
        <v>#DIV/0!</v>
      </c>
      <c r="AB8" s="771" t="e">
        <f t="shared" ref="AB8:AB19" si="4">D8/H8</f>
        <v>#DIV/0!</v>
      </c>
      <c r="AC8" s="771"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93"/>
      <c r="L9" s="1128"/>
      <c r="M9" s="1129"/>
      <c r="N9" s="1129"/>
      <c r="O9" s="1129"/>
      <c r="P9" s="3264" t="s">
        <v>2543</v>
      </c>
      <c r="Q9" s="1791" t="str">
        <f t="shared" ref="Q9:Q15" si="6">B9</f>
        <v>用途</v>
      </c>
      <c r="R9" s="768" t="s">
        <v>17</v>
      </c>
      <c r="S9" s="769">
        <f t="shared" si="0"/>
        <v>100</v>
      </c>
      <c r="T9" s="768" t="s">
        <v>17</v>
      </c>
      <c r="U9" s="769">
        <f t="shared" si="1"/>
        <v>100</v>
      </c>
      <c r="V9" s="768" t="s">
        <v>17</v>
      </c>
      <c r="W9" s="769">
        <f t="shared" si="2"/>
        <v>100</v>
      </c>
      <c r="X9" s="770"/>
      <c r="Y9" s="3106" t="s">
        <v>2544</v>
      </c>
      <c r="Z9" s="55" t="str">
        <f t="shared" ref="Z9:Z15" si="7">Q9</f>
        <v>用途</v>
      </c>
      <c r="AA9" s="771">
        <f t="shared" si="3"/>
        <v>1</v>
      </c>
      <c r="AB9" s="771">
        <f t="shared" si="4"/>
        <v>1</v>
      </c>
      <c r="AC9" s="771">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64"/>
      <c r="Q10" s="1791" t="str">
        <f t="shared" si="6"/>
        <v>土地使用年限（年）</v>
      </c>
      <c r="R10" s="768" t="s">
        <v>17</v>
      </c>
      <c r="S10" s="769">
        <f t="shared" si="0"/>
        <v>100</v>
      </c>
      <c r="T10" s="768" t="s">
        <v>17</v>
      </c>
      <c r="U10" s="769">
        <f t="shared" si="1"/>
        <v>100</v>
      </c>
      <c r="V10" s="768" t="s">
        <v>17</v>
      </c>
      <c r="W10" s="769">
        <f t="shared" si="2"/>
        <v>100</v>
      </c>
      <c r="X10" s="770"/>
      <c r="Y10" s="3106"/>
      <c r="Z10" s="55" t="str">
        <f t="shared" si="7"/>
        <v>土地使用年限（年）</v>
      </c>
      <c r="AA10" s="771">
        <f t="shared" si="3"/>
        <v>1</v>
      </c>
      <c r="AB10" s="771">
        <f t="shared" si="4"/>
        <v>1</v>
      </c>
      <c r="AC10" s="771">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64"/>
      <c r="Q11" s="1791" t="str">
        <f t="shared" si="6"/>
        <v>容积率</v>
      </c>
      <c r="R11" s="768" t="s">
        <v>21</v>
      </c>
      <c r="S11" s="769" t="e">
        <f t="shared" si="0"/>
        <v>#N/A</v>
      </c>
      <c r="T11" s="768" t="s">
        <v>21</v>
      </c>
      <c r="U11" s="769" t="e">
        <f t="shared" si="1"/>
        <v>#N/A</v>
      </c>
      <c r="V11" s="768" t="s">
        <v>21</v>
      </c>
      <c r="W11" s="769" t="e">
        <f t="shared" si="2"/>
        <v>#N/A</v>
      </c>
      <c r="X11" s="770"/>
      <c r="Y11" s="3106"/>
      <c r="Z11" s="55" t="str">
        <f t="shared" si="7"/>
        <v>容积率</v>
      </c>
      <c r="AA11" s="771" t="e">
        <f t="shared" si="3"/>
        <v>#N/A</v>
      </c>
      <c r="AB11" s="771" t="e">
        <f t="shared" si="4"/>
        <v>#N/A</v>
      </c>
      <c r="AC11" s="771"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264"/>
      <c r="Q12" s="1791">
        <f t="shared" si="6"/>
        <v>111</v>
      </c>
      <c r="R12" s="768" t="s">
        <v>21</v>
      </c>
      <c r="S12" s="769">
        <f t="shared" si="0"/>
        <v>100</v>
      </c>
      <c r="T12" s="768" t="s">
        <v>21</v>
      </c>
      <c r="U12" s="769">
        <f t="shared" si="1"/>
        <v>100</v>
      </c>
      <c r="V12" s="768" t="s">
        <v>21</v>
      </c>
      <c r="W12" s="769">
        <f t="shared" si="2"/>
        <v>100</v>
      </c>
      <c r="X12" s="770"/>
      <c r="Y12" s="3106"/>
      <c r="Z12" s="55">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264"/>
      <c r="Q13" s="1791">
        <f t="shared" si="6"/>
        <v>111</v>
      </c>
      <c r="R13" s="768" t="s">
        <v>21</v>
      </c>
      <c r="S13" s="769">
        <f t="shared" si="0"/>
        <v>100</v>
      </c>
      <c r="T13" s="768" t="s">
        <v>21</v>
      </c>
      <c r="U13" s="769">
        <f t="shared" si="1"/>
        <v>100</v>
      </c>
      <c r="V13" s="768" t="s">
        <v>21</v>
      </c>
      <c r="W13" s="769">
        <f t="shared" si="2"/>
        <v>100</v>
      </c>
      <c r="X13" s="770"/>
      <c r="Y13" s="3106"/>
      <c r="Z13" s="55">
        <f t="shared" si="7"/>
        <v>111</v>
      </c>
      <c r="AA13" s="771">
        <f t="shared" si="3"/>
        <v>1</v>
      </c>
      <c r="AB13" s="771">
        <f t="shared" si="4"/>
        <v>1</v>
      </c>
      <c r="AC13" s="771">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264"/>
      <c r="Q14" s="1791">
        <f t="shared" si="6"/>
        <v>111</v>
      </c>
      <c r="R14" s="768" t="s">
        <v>21</v>
      </c>
      <c r="S14" s="769">
        <f t="shared" si="0"/>
        <v>100</v>
      </c>
      <c r="T14" s="768" t="s">
        <v>21</v>
      </c>
      <c r="U14" s="769">
        <f t="shared" si="1"/>
        <v>100</v>
      </c>
      <c r="V14" s="768" t="s">
        <v>21</v>
      </c>
      <c r="W14" s="769">
        <f t="shared" si="2"/>
        <v>100</v>
      </c>
      <c r="X14" s="770"/>
      <c r="Y14" s="3106"/>
      <c r="Z14" s="55">
        <f t="shared" si="7"/>
        <v>111</v>
      </c>
      <c r="AA14" s="771">
        <f t="shared" si="3"/>
        <v>1</v>
      </c>
      <c r="AB14" s="771">
        <f t="shared" si="4"/>
        <v>1</v>
      </c>
      <c r="AC14" s="771">
        <f t="shared" si="5"/>
        <v>1</v>
      </c>
    </row>
    <row r="15" spans="1:29" ht="15">
      <c r="A15" s="440" t="s">
        <v>2547</v>
      </c>
      <c r="B15" s="69" t="s">
        <v>2082</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70" t="s">
        <v>2548</v>
      </c>
      <c r="Q15" s="1806" t="str">
        <f t="shared" si="6"/>
        <v>居住社区成熟度</v>
      </c>
      <c r="R15" s="772" t="s">
        <v>21</v>
      </c>
      <c r="S15" s="773">
        <f t="shared" si="0"/>
        <v>100</v>
      </c>
      <c r="T15" s="772" t="s">
        <v>21</v>
      </c>
      <c r="U15" s="773">
        <f t="shared" si="1"/>
        <v>100</v>
      </c>
      <c r="V15" s="772" t="s">
        <v>21</v>
      </c>
      <c r="W15" s="773">
        <f t="shared" si="2"/>
        <v>100</v>
      </c>
      <c r="X15" s="1809"/>
      <c r="Y15" s="3272" t="s">
        <v>2548</v>
      </c>
      <c r="Z15" s="1810" t="str">
        <f t="shared" si="7"/>
        <v>居住社区成熟度</v>
      </c>
      <c r="AA15" s="1807">
        <f t="shared" si="3"/>
        <v>1</v>
      </c>
      <c r="AB15" s="1807">
        <f t="shared" si="4"/>
        <v>1</v>
      </c>
      <c r="AC15" s="1807">
        <f t="shared" si="5"/>
        <v>1</v>
      </c>
    </row>
    <row r="16" spans="1:29" ht="15">
      <c r="A16" s="428"/>
      <c r="B16" s="446"/>
      <c r="C16" s="447"/>
      <c r="D16" s="448"/>
      <c r="E16" s="2599"/>
      <c r="F16" s="448"/>
      <c r="G16" s="2600"/>
      <c r="H16" s="450"/>
      <c r="I16" s="2600"/>
      <c r="J16" s="448"/>
      <c r="K16" s="2601"/>
      <c r="L16" s="1136"/>
      <c r="M16" s="1127"/>
      <c r="N16" s="1127"/>
      <c r="O16" s="1127"/>
      <c r="P16" s="3271"/>
      <c r="Q16" s="1806"/>
      <c r="R16" s="772"/>
      <c r="S16" s="773"/>
      <c r="T16" s="772"/>
      <c r="U16" s="773"/>
      <c r="V16" s="772"/>
      <c r="W16" s="773"/>
      <c r="X16" s="1809"/>
      <c r="Y16" s="3273"/>
      <c r="Z16" s="1810"/>
      <c r="AA16" s="1807">
        <v>1</v>
      </c>
      <c r="AB16" s="1807">
        <v>1</v>
      </c>
      <c r="AC16" s="1807">
        <v>1</v>
      </c>
    </row>
    <row r="17" spans="1:29" ht="128.25">
      <c r="A17" s="428"/>
      <c r="B17" s="451" t="s">
        <v>2088</v>
      </c>
      <c r="C17" s="2602" t="str">
        <f>估价对象房地状况!C6</f>
        <v>周边道路状况、公共交通通达情况、停车便捷程度（快速路西四环北路 六号线海淀五路居站 五路桥公交站  61路 79路 121路 地上停车位）</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71"/>
      <c r="Q17" s="1806" t="str">
        <f>B17</f>
        <v>交通便捷度</v>
      </c>
      <c r="R17" s="772" t="s">
        <v>21</v>
      </c>
      <c r="S17" s="773">
        <f>F17</f>
        <v>100</v>
      </c>
      <c r="T17" s="772" t="s">
        <v>21</v>
      </c>
      <c r="U17" s="773">
        <f>H17</f>
        <v>100</v>
      </c>
      <c r="V17" s="772" t="s">
        <v>21</v>
      </c>
      <c r="W17" s="773">
        <f>J17</f>
        <v>100</v>
      </c>
      <c r="X17" s="1809"/>
      <c r="Y17" s="3273"/>
      <c r="Z17" s="1810" t="str">
        <f>Q17</f>
        <v>交通便捷度</v>
      </c>
      <c r="AA17" s="1807">
        <f t="shared" si="3"/>
        <v>1</v>
      </c>
      <c r="AB17" s="1807">
        <f t="shared" si="4"/>
        <v>1</v>
      </c>
      <c r="AC17" s="1807">
        <f t="shared" si="5"/>
        <v>1</v>
      </c>
    </row>
    <row r="18" spans="1:29" ht="15">
      <c r="A18" s="428"/>
      <c r="B18" s="456"/>
      <c r="C18" s="2603"/>
      <c r="D18" s="450"/>
      <c r="E18" s="2604"/>
      <c r="F18" s="450"/>
      <c r="G18" s="2605"/>
      <c r="H18" s="448"/>
      <c r="I18" s="2605"/>
      <c r="J18" s="448"/>
      <c r="K18" s="2601"/>
      <c r="L18" s="1136"/>
      <c r="M18" s="1127"/>
      <c r="N18" s="1127"/>
      <c r="O18" s="1127"/>
      <c r="P18" s="3271"/>
      <c r="Q18" s="1806"/>
      <c r="R18" s="772"/>
      <c r="S18" s="773"/>
      <c r="T18" s="772"/>
      <c r="U18" s="773"/>
      <c r="V18" s="772"/>
      <c r="W18" s="773"/>
      <c r="X18" s="1809"/>
      <c r="Y18" s="3273"/>
      <c r="Z18" s="1810"/>
      <c r="AA18" s="1807">
        <v>1</v>
      </c>
      <c r="AB18" s="1807">
        <v>1</v>
      </c>
      <c r="AC18" s="1807">
        <v>1</v>
      </c>
    </row>
    <row r="19" spans="1:29" ht="199.5">
      <c r="A19" s="428"/>
      <c r="B19" s="451" t="s">
        <v>2087</v>
      </c>
      <c r="C19" s="2602"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71"/>
      <c r="Q19" s="1806" t="str">
        <f>B19</f>
        <v>公共配套设施</v>
      </c>
      <c r="R19" s="772" t="s">
        <v>21</v>
      </c>
      <c r="S19" s="773">
        <f>F19</f>
        <v>100</v>
      </c>
      <c r="T19" s="772" t="s">
        <v>21</v>
      </c>
      <c r="U19" s="773">
        <f>H19</f>
        <v>100</v>
      </c>
      <c r="V19" s="772" t="s">
        <v>21</v>
      </c>
      <c r="W19" s="773">
        <f>J19</f>
        <v>100</v>
      </c>
      <c r="X19" s="1809"/>
      <c r="Y19" s="3273"/>
      <c r="Z19" s="1810" t="str">
        <f>Q19</f>
        <v>公共配套设施</v>
      </c>
      <c r="AA19" s="1807">
        <f t="shared" si="3"/>
        <v>1</v>
      </c>
      <c r="AB19" s="1807">
        <f t="shared" si="4"/>
        <v>1</v>
      </c>
      <c r="AC19" s="1807">
        <f t="shared" si="5"/>
        <v>1</v>
      </c>
    </row>
    <row r="20" spans="1:29" ht="15">
      <c r="A20" s="428"/>
      <c r="B20" s="456"/>
      <c r="C20" s="447"/>
      <c r="D20" s="448"/>
      <c r="E20" s="2599"/>
      <c r="F20" s="448"/>
      <c r="G20" s="2600"/>
      <c r="H20" s="448"/>
      <c r="I20" s="2600"/>
      <c r="J20" s="448"/>
      <c r="K20" s="2601"/>
      <c r="L20" s="1136"/>
      <c r="M20" s="1127"/>
      <c r="N20" s="1127"/>
      <c r="O20" s="1127"/>
      <c r="P20" s="3271"/>
      <c r="Q20" s="1806"/>
      <c r="R20" s="772"/>
      <c r="S20" s="773"/>
      <c r="T20" s="772"/>
      <c r="U20" s="773"/>
      <c r="V20" s="772"/>
      <c r="W20" s="773"/>
      <c r="X20" s="1809"/>
      <c r="Y20" s="3273"/>
      <c r="Z20" s="1810"/>
      <c r="AA20" s="1807">
        <v>1</v>
      </c>
      <c r="AB20" s="1807">
        <v>1</v>
      </c>
      <c r="AC20" s="1807">
        <v>1</v>
      </c>
    </row>
    <row r="21" spans="1:29" ht="15">
      <c r="A21" s="428"/>
      <c r="B21" s="1380" t="s">
        <v>2089</v>
      </c>
      <c r="C21" s="2602">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71"/>
      <c r="Q21" s="1806" t="str">
        <f>B21</f>
        <v>基础设施水平</v>
      </c>
      <c r="R21" s="772" t="s">
        <v>17</v>
      </c>
      <c r="S21" s="773">
        <f>F21</f>
        <v>100</v>
      </c>
      <c r="T21" s="772" t="s">
        <v>17</v>
      </c>
      <c r="U21" s="773">
        <f>H21</f>
        <v>100</v>
      </c>
      <c r="V21" s="772" t="s">
        <v>17</v>
      </c>
      <c r="W21" s="773">
        <f>J21</f>
        <v>100</v>
      </c>
      <c r="X21" s="1809"/>
      <c r="Y21" s="3273"/>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8"/>
      <c r="G22" s="2606"/>
      <c r="H22" s="448"/>
      <c r="I22" s="447"/>
      <c r="J22" s="448"/>
      <c r="K22" s="2607"/>
      <c r="L22" s="1136"/>
      <c r="M22" s="1127"/>
      <c r="N22" s="1127"/>
      <c r="O22" s="1127"/>
      <c r="P22" s="3271"/>
      <c r="Q22" s="1806"/>
      <c r="R22" s="772"/>
      <c r="S22" s="773"/>
      <c r="T22" s="772"/>
      <c r="U22" s="773"/>
      <c r="V22" s="772"/>
      <c r="W22" s="773"/>
      <c r="X22" s="1809"/>
      <c r="Y22" s="3273"/>
      <c r="Z22" s="1810"/>
      <c r="AA22" s="1807">
        <v>1</v>
      </c>
      <c r="AB22" s="1807">
        <v>1</v>
      </c>
      <c r="AC22" s="1807">
        <v>1</v>
      </c>
    </row>
    <row r="23" spans="1:29" ht="15">
      <c r="A23" s="428"/>
      <c r="B23" s="451" t="s">
        <v>2091</v>
      </c>
      <c r="C23" s="2602">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71"/>
      <c r="Q23" s="1806" t="str">
        <f>B23</f>
        <v>自然及人文环境</v>
      </c>
      <c r="R23" s="772" t="s">
        <v>21</v>
      </c>
      <c r="S23" s="773">
        <f>F23</f>
        <v>100</v>
      </c>
      <c r="T23" s="772" t="s">
        <v>21</v>
      </c>
      <c r="U23" s="773">
        <f>H23</f>
        <v>100</v>
      </c>
      <c r="V23" s="772" t="s">
        <v>21</v>
      </c>
      <c r="W23" s="773">
        <f>J23</f>
        <v>100</v>
      </c>
      <c r="X23" s="1809"/>
      <c r="Y23" s="3273"/>
      <c r="Z23" s="1810" t="str">
        <f>Q23</f>
        <v>自然及人文环境</v>
      </c>
      <c r="AA23" s="1807">
        <f>D23/F23</f>
        <v>1</v>
      </c>
      <c r="AB23" s="1807">
        <f>D23/H23</f>
        <v>1</v>
      </c>
      <c r="AC23" s="1807">
        <f>D23/J23</f>
        <v>1</v>
      </c>
    </row>
    <row r="24" spans="1:29" ht="15">
      <c r="A24" s="428"/>
      <c r="B24" s="456"/>
      <c r="C24" s="447"/>
      <c r="D24" s="448"/>
      <c r="E24" s="2599"/>
      <c r="F24" s="448"/>
      <c r="G24" s="2600"/>
      <c r="H24" s="448"/>
      <c r="I24" s="2600"/>
      <c r="J24" s="448"/>
      <c r="K24" s="2601"/>
      <c r="L24" s="1136"/>
      <c r="M24" s="1127"/>
      <c r="N24" s="1127"/>
      <c r="O24" s="1127"/>
      <c r="P24" s="3271"/>
      <c r="Q24" s="1806"/>
      <c r="R24" s="772"/>
      <c r="S24" s="773"/>
      <c r="T24" s="772"/>
      <c r="U24" s="773"/>
      <c r="V24" s="772"/>
      <c r="W24" s="773"/>
      <c r="X24" s="1809"/>
      <c r="Y24" s="3273"/>
      <c r="Z24" s="1810"/>
      <c r="AA24" s="1807">
        <v>1</v>
      </c>
      <c r="AB24" s="1807">
        <v>1</v>
      </c>
      <c r="AC24" s="1807">
        <v>1</v>
      </c>
    </row>
    <row r="25" spans="1:29" ht="15">
      <c r="A25" s="428"/>
      <c r="B25" s="422" t="s">
        <v>2549</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271"/>
      <c r="Q25" s="1806" t="str">
        <f t="shared" ref="Q25:Q46" si="11">B25</f>
        <v>楼层-1</v>
      </c>
      <c r="R25" s="772" t="s">
        <v>21</v>
      </c>
      <c r="S25" s="773">
        <f t="shared" ref="S25:S46" si="12">F25</f>
        <v>100</v>
      </c>
      <c r="T25" s="772" t="s">
        <v>21</v>
      </c>
      <c r="U25" s="773">
        <f t="shared" ref="U25:U46" si="13">H25</f>
        <v>100</v>
      </c>
      <c r="V25" s="772" t="s">
        <v>21</v>
      </c>
      <c r="W25" s="773">
        <f t="shared" ref="W25:W46" si="14">J25</f>
        <v>100</v>
      </c>
      <c r="X25" s="1809"/>
      <c r="Y25" s="3273"/>
      <c r="Z25" s="1810" t="str">
        <f>Q25</f>
        <v>楼层-1</v>
      </c>
      <c r="AA25" s="1807">
        <f t="shared" ref="AA25:AA46" si="15">D25/F25</f>
        <v>1</v>
      </c>
      <c r="AB25" s="1807">
        <f t="shared" ref="AB25:AB46" si="16">D25/H25</f>
        <v>1</v>
      </c>
      <c r="AC25" s="1807">
        <f t="shared" ref="AC25:AC46" si="17">D25/J25</f>
        <v>1</v>
      </c>
    </row>
    <row r="26" spans="1:29" ht="15">
      <c r="A26" s="428"/>
      <c r="B26" s="422" t="s">
        <v>2550</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271"/>
      <c r="Q26" s="1806" t="str">
        <f t="shared" si="11"/>
        <v>朝向</v>
      </c>
      <c r="R26" s="772" t="s">
        <v>21</v>
      </c>
      <c r="S26" s="773">
        <f t="shared" si="12"/>
        <v>100</v>
      </c>
      <c r="T26" s="772" t="s">
        <v>21</v>
      </c>
      <c r="U26" s="773">
        <f t="shared" si="13"/>
        <v>100</v>
      </c>
      <c r="V26" s="772" t="s">
        <v>21</v>
      </c>
      <c r="W26" s="773">
        <f t="shared" si="14"/>
        <v>100</v>
      </c>
      <c r="X26" s="1809"/>
      <c r="Y26" s="3273"/>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271"/>
      <c r="Q27" s="1791">
        <f t="shared" si="11"/>
        <v>111</v>
      </c>
      <c r="R27" s="768" t="s">
        <v>21</v>
      </c>
      <c r="S27" s="769">
        <f t="shared" si="12"/>
        <v>100</v>
      </c>
      <c r="T27" s="768" t="s">
        <v>21</v>
      </c>
      <c r="U27" s="769">
        <f t="shared" si="13"/>
        <v>100</v>
      </c>
      <c r="V27" s="768" t="s">
        <v>21</v>
      </c>
      <c r="W27" s="769">
        <f t="shared" si="14"/>
        <v>100</v>
      </c>
      <c r="X27" s="770"/>
      <c r="Y27" s="3273"/>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271"/>
      <c r="Q28" s="1806">
        <f t="shared" si="11"/>
        <v>111</v>
      </c>
      <c r="R28" s="772" t="s">
        <v>21</v>
      </c>
      <c r="S28" s="773">
        <f t="shared" si="12"/>
        <v>100</v>
      </c>
      <c r="T28" s="772" t="s">
        <v>21</v>
      </c>
      <c r="U28" s="773">
        <f t="shared" si="13"/>
        <v>100</v>
      </c>
      <c r="V28" s="772" t="s">
        <v>21</v>
      </c>
      <c r="W28" s="773">
        <f t="shared" si="14"/>
        <v>100</v>
      </c>
      <c r="X28" s="1809"/>
      <c r="Y28" s="3273"/>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271"/>
      <c r="Q29" s="1806">
        <f t="shared" si="11"/>
        <v>111</v>
      </c>
      <c r="R29" s="772" t="s">
        <v>21</v>
      </c>
      <c r="S29" s="773">
        <f t="shared" si="12"/>
        <v>100</v>
      </c>
      <c r="T29" s="772" t="s">
        <v>21</v>
      </c>
      <c r="U29" s="773">
        <f t="shared" si="13"/>
        <v>100</v>
      </c>
      <c r="V29" s="772" t="s">
        <v>21</v>
      </c>
      <c r="W29" s="773">
        <f t="shared" si="14"/>
        <v>100</v>
      </c>
      <c r="X29" s="1809"/>
      <c r="Y29" s="3273"/>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271"/>
      <c r="Q30" s="1806">
        <f t="shared" si="11"/>
        <v>111</v>
      </c>
      <c r="R30" s="772" t="s">
        <v>21</v>
      </c>
      <c r="S30" s="773">
        <f t="shared" si="12"/>
        <v>100</v>
      </c>
      <c r="T30" s="772" t="s">
        <v>21</v>
      </c>
      <c r="U30" s="773">
        <f t="shared" si="13"/>
        <v>100</v>
      </c>
      <c r="V30" s="772" t="s">
        <v>21</v>
      </c>
      <c r="W30" s="773">
        <f t="shared" si="14"/>
        <v>100</v>
      </c>
      <c r="X30" s="1809"/>
      <c r="Y30" s="3273"/>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271"/>
      <c r="Q31" s="1806">
        <f t="shared" si="11"/>
        <v>111</v>
      </c>
      <c r="R31" s="772" t="s">
        <v>21</v>
      </c>
      <c r="S31" s="773">
        <f t="shared" si="12"/>
        <v>100</v>
      </c>
      <c r="T31" s="772" t="s">
        <v>21</v>
      </c>
      <c r="U31" s="773">
        <f t="shared" si="13"/>
        <v>100</v>
      </c>
      <c r="V31" s="772" t="s">
        <v>21</v>
      </c>
      <c r="W31" s="773">
        <f t="shared" si="14"/>
        <v>100</v>
      </c>
      <c r="X31" s="1809"/>
      <c r="Y31" s="3273"/>
      <c r="Z31" s="1810">
        <f t="shared" si="18"/>
        <v>111</v>
      </c>
      <c r="AA31" s="1807">
        <f t="shared" si="15"/>
        <v>1</v>
      </c>
      <c r="AB31" s="1807">
        <f t="shared" si="16"/>
        <v>1</v>
      </c>
      <c r="AC31" s="1807">
        <f t="shared" si="17"/>
        <v>1</v>
      </c>
    </row>
    <row r="32" spans="1:29" ht="15">
      <c r="A32" s="440" t="s">
        <v>2551</v>
      </c>
      <c r="B32" s="71" t="s">
        <v>2552</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6"/>
      <c r="M32" s="1127"/>
      <c r="N32" s="1127"/>
      <c r="O32" s="1127"/>
      <c r="P32" s="3274" t="s">
        <v>2553</v>
      </c>
      <c r="Q32" s="1806" t="str">
        <f t="shared" si="11"/>
        <v>建筑类型</v>
      </c>
      <c r="R32" s="772" t="s">
        <v>21</v>
      </c>
      <c r="S32" s="773">
        <f t="shared" si="12"/>
        <v>100</v>
      </c>
      <c r="T32" s="772" t="s">
        <v>21</v>
      </c>
      <c r="U32" s="773">
        <f t="shared" si="13"/>
        <v>100</v>
      </c>
      <c r="V32" s="772" t="s">
        <v>21</v>
      </c>
      <c r="W32" s="773">
        <f t="shared" si="14"/>
        <v>100</v>
      </c>
      <c r="X32" s="1809"/>
      <c r="Y32" s="3277" t="s">
        <v>2553</v>
      </c>
      <c r="Z32" s="1810" t="str">
        <f t="shared" si="18"/>
        <v>建筑类型</v>
      </c>
      <c r="AA32" s="1807">
        <f t="shared" si="15"/>
        <v>1</v>
      </c>
      <c r="AB32" s="1807">
        <f t="shared" si="16"/>
        <v>1</v>
      </c>
      <c r="AC32" s="1807">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4"/>
      <c r="M33" s="1137"/>
      <c r="N33" s="1137"/>
      <c r="O33" s="1137"/>
      <c r="P33" s="3275"/>
      <c r="Q33" s="774" t="str">
        <f t="shared" si="11"/>
        <v>项目建筑规模</v>
      </c>
      <c r="R33" s="775" t="s">
        <v>21</v>
      </c>
      <c r="S33" s="776" t="e">
        <f t="shared" si="12"/>
        <v>#N/A</v>
      </c>
      <c r="T33" s="775" t="s">
        <v>21</v>
      </c>
      <c r="U33" s="776" t="e">
        <f t="shared" si="13"/>
        <v>#N/A</v>
      </c>
      <c r="V33" s="775" t="s">
        <v>21</v>
      </c>
      <c r="W33" s="776" t="e">
        <f t="shared" si="14"/>
        <v>#N/A</v>
      </c>
      <c r="X33" s="777"/>
      <c r="Y33" s="3277"/>
      <c r="Z33" s="778" t="str">
        <f t="shared" si="18"/>
        <v>项目建筑规模</v>
      </c>
      <c r="AA33" s="1807" t="e">
        <f t="shared" si="15"/>
        <v>#N/A</v>
      </c>
      <c r="AB33" s="1807" t="e">
        <f t="shared" si="16"/>
        <v>#N/A</v>
      </c>
      <c r="AC33" s="1807" t="e">
        <f t="shared" si="17"/>
        <v>#N/A</v>
      </c>
    </row>
    <row r="34" spans="1:29" ht="15">
      <c r="A34" s="472"/>
      <c r="B34" s="422" t="s">
        <v>2555</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6"/>
      <c r="M34" s="1127"/>
      <c r="N34" s="1127"/>
      <c r="O34" s="1127"/>
      <c r="P34" s="3275"/>
      <c r="Q34" s="1806" t="str">
        <f t="shared" si="11"/>
        <v>建筑结构</v>
      </c>
      <c r="R34" s="772" t="s">
        <v>21</v>
      </c>
      <c r="S34" s="773">
        <f t="shared" si="12"/>
        <v>100</v>
      </c>
      <c r="T34" s="772" t="s">
        <v>21</v>
      </c>
      <c r="U34" s="773">
        <f t="shared" si="13"/>
        <v>100</v>
      </c>
      <c r="V34" s="772" t="s">
        <v>21</v>
      </c>
      <c r="W34" s="773">
        <f t="shared" si="14"/>
        <v>100</v>
      </c>
      <c r="X34" s="1809"/>
      <c r="Y34" s="3277"/>
      <c r="Z34" s="1810" t="str">
        <f t="shared" si="18"/>
        <v>建筑结构</v>
      </c>
      <c r="AA34" s="1807">
        <f t="shared" si="15"/>
        <v>1</v>
      </c>
      <c r="AB34" s="1807">
        <f t="shared" si="16"/>
        <v>1</v>
      </c>
      <c r="AC34" s="1807">
        <f t="shared" si="17"/>
        <v>1</v>
      </c>
    </row>
    <row r="35" spans="1:29" ht="15">
      <c r="A35" s="472"/>
      <c r="B35" s="422" t="s">
        <v>2556</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6"/>
      <c r="M35" s="1127"/>
      <c r="N35" s="1127"/>
      <c r="O35" s="1127"/>
      <c r="P35" s="3275"/>
      <c r="Q35" s="1806" t="str">
        <f t="shared" si="11"/>
        <v>建筑品质</v>
      </c>
      <c r="R35" s="772" t="s">
        <v>21</v>
      </c>
      <c r="S35" s="773">
        <f t="shared" si="12"/>
        <v>100</v>
      </c>
      <c r="T35" s="772" t="s">
        <v>21</v>
      </c>
      <c r="U35" s="773">
        <f t="shared" si="13"/>
        <v>100</v>
      </c>
      <c r="V35" s="772" t="s">
        <v>21</v>
      </c>
      <c r="W35" s="773">
        <f t="shared" si="14"/>
        <v>100</v>
      </c>
      <c r="X35" s="1809"/>
      <c r="Y35" s="3277"/>
      <c r="Z35" s="1810" t="str">
        <f t="shared" si="18"/>
        <v>建筑品质</v>
      </c>
      <c r="AA35" s="1807">
        <f t="shared" si="15"/>
        <v>1</v>
      </c>
      <c r="AB35" s="1807">
        <f t="shared" si="16"/>
        <v>1</v>
      </c>
      <c r="AC35" s="1807">
        <f t="shared" si="17"/>
        <v>1</v>
      </c>
    </row>
    <row r="36" spans="1:29" ht="15">
      <c r="A36" s="472"/>
      <c r="B36" s="422" t="s">
        <v>2557</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6"/>
      <c r="M36" s="1127"/>
      <c r="N36" s="1127"/>
      <c r="O36" s="1127"/>
      <c r="P36" s="3275"/>
      <c r="Q36" s="1806" t="str">
        <f t="shared" si="11"/>
        <v>公共部分装修</v>
      </c>
      <c r="R36" s="772" t="s">
        <v>21</v>
      </c>
      <c r="S36" s="773">
        <f t="shared" si="12"/>
        <v>100</v>
      </c>
      <c r="T36" s="772" t="s">
        <v>21</v>
      </c>
      <c r="U36" s="773">
        <f t="shared" si="13"/>
        <v>100</v>
      </c>
      <c r="V36" s="772" t="s">
        <v>21</v>
      </c>
      <c r="W36" s="773">
        <f t="shared" si="14"/>
        <v>100</v>
      </c>
      <c r="X36" s="1809"/>
      <c r="Y36" s="3277"/>
      <c r="Z36" s="1810" t="str">
        <f t="shared" si="18"/>
        <v>公共部分装修</v>
      </c>
      <c r="AA36" s="1807">
        <f t="shared" si="15"/>
        <v>1</v>
      </c>
      <c r="AB36" s="1807">
        <f t="shared" si="16"/>
        <v>1</v>
      </c>
      <c r="AC36" s="1807">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75"/>
      <c r="Q37" s="1791" t="str">
        <f t="shared" si="11"/>
        <v>成新度</v>
      </c>
      <c r="R37" s="768" t="s">
        <v>21</v>
      </c>
      <c r="S37" s="769" t="e">
        <f t="shared" si="12"/>
        <v>#N/A</v>
      </c>
      <c r="T37" s="768" t="s">
        <v>21</v>
      </c>
      <c r="U37" s="769" t="e">
        <f t="shared" si="13"/>
        <v>#N/A</v>
      </c>
      <c r="V37" s="768" t="s">
        <v>21</v>
      </c>
      <c r="W37" s="769" t="e">
        <f t="shared" si="14"/>
        <v>#N/A</v>
      </c>
      <c r="X37" s="770"/>
      <c r="Y37" s="3277"/>
      <c r="Z37" s="55" t="str">
        <f t="shared" si="18"/>
        <v>成新度</v>
      </c>
      <c r="AA37" s="771" t="e">
        <f t="shared" si="15"/>
        <v>#N/A</v>
      </c>
      <c r="AB37" s="771" t="e">
        <f t="shared" si="16"/>
        <v>#N/A</v>
      </c>
      <c r="AC37" s="771" t="e">
        <f t="shared" si="17"/>
        <v>#N/A</v>
      </c>
    </row>
    <row r="38" spans="1:29" ht="15">
      <c r="A38" s="472"/>
      <c r="B38" s="422" t="s">
        <v>2559</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6"/>
      <c r="M38" s="1127"/>
      <c r="N38" s="1127"/>
      <c r="O38" s="1127"/>
      <c r="P38" s="3275" t="s">
        <v>2553</v>
      </c>
      <c r="Q38" s="1806" t="str">
        <f t="shared" si="11"/>
        <v>物业管理</v>
      </c>
      <c r="R38" s="772" t="s">
        <v>21</v>
      </c>
      <c r="S38" s="773">
        <f t="shared" si="12"/>
        <v>100</v>
      </c>
      <c r="T38" s="772" t="s">
        <v>21</v>
      </c>
      <c r="U38" s="773">
        <f t="shared" si="13"/>
        <v>100</v>
      </c>
      <c r="V38" s="772" t="s">
        <v>21</v>
      </c>
      <c r="W38" s="773">
        <f t="shared" si="14"/>
        <v>100</v>
      </c>
      <c r="X38" s="1809"/>
      <c r="Y38" s="3277" t="s">
        <v>2553</v>
      </c>
      <c r="Z38" s="1810" t="str">
        <f t="shared" si="18"/>
        <v>物业管理</v>
      </c>
      <c r="AA38" s="1807">
        <f t="shared" si="15"/>
        <v>1</v>
      </c>
      <c r="AB38" s="1807">
        <f t="shared" si="16"/>
        <v>1</v>
      </c>
      <c r="AC38" s="1807">
        <f t="shared" si="17"/>
        <v>1</v>
      </c>
    </row>
    <row r="39" spans="1:29" ht="15">
      <c r="A39" s="472"/>
      <c r="B39" s="422" t="s">
        <v>2560</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6"/>
      <c r="M39" s="1127"/>
      <c r="N39" s="1127"/>
      <c r="O39" s="1127"/>
      <c r="P39" s="3275"/>
      <c r="Q39" s="1806" t="str">
        <f t="shared" si="11"/>
        <v>市政基础设施</v>
      </c>
      <c r="R39" s="772" t="s">
        <v>21</v>
      </c>
      <c r="S39" s="773">
        <f t="shared" si="12"/>
        <v>100</v>
      </c>
      <c r="T39" s="772" t="s">
        <v>21</v>
      </c>
      <c r="U39" s="773">
        <f t="shared" si="13"/>
        <v>100</v>
      </c>
      <c r="V39" s="772" t="s">
        <v>21</v>
      </c>
      <c r="W39" s="773">
        <f t="shared" si="14"/>
        <v>100</v>
      </c>
      <c r="X39" s="1809"/>
      <c r="Y39" s="3277"/>
      <c r="Z39" s="1810" t="str">
        <f t="shared" si="18"/>
        <v>市政基础设施</v>
      </c>
      <c r="AA39" s="1807">
        <f t="shared" si="15"/>
        <v>1</v>
      </c>
      <c r="AB39" s="1807">
        <f t="shared" si="16"/>
        <v>1</v>
      </c>
      <c r="AC39" s="1807">
        <f t="shared" si="17"/>
        <v>1</v>
      </c>
    </row>
    <row r="40" spans="1:29" ht="15">
      <c r="A40" s="472"/>
      <c r="B40" s="422" t="s">
        <v>2561</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6"/>
      <c r="M40" s="1127"/>
      <c r="N40" s="1127"/>
      <c r="O40" s="1127"/>
      <c r="P40" s="3275"/>
      <c r="Q40" s="1806" t="str">
        <f t="shared" si="11"/>
        <v>房型</v>
      </c>
      <c r="R40" s="772" t="s">
        <v>21</v>
      </c>
      <c r="S40" s="773">
        <f t="shared" si="12"/>
        <v>100</v>
      </c>
      <c r="T40" s="772" t="s">
        <v>21</v>
      </c>
      <c r="U40" s="773">
        <f t="shared" si="13"/>
        <v>100</v>
      </c>
      <c r="V40" s="772" t="s">
        <v>21</v>
      </c>
      <c r="W40" s="773">
        <f t="shared" si="14"/>
        <v>100</v>
      </c>
      <c r="X40" s="1809"/>
      <c r="Y40" s="3277"/>
      <c r="Z40" s="1810" t="str">
        <f t="shared" si="18"/>
        <v>房型</v>
      </c>
      <c r="AA40" s="1807">
        <f t="shared" si="15"/>
        <v>1</v>
      </c>
      <c r="AB40" s="1807">
        <f t="shared" si="16"/>
        <v>1</v>
      </c>
      <c r="AC40" s="1807">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4"/>
      <c r="M41" s="1137"/>
      <c r="N41" s="1137"/>
      <c r="O41" s="1137"/>
      <c r="P41" s="3275"/>
      <c r="Q41" s="774" t="str">
        <f t="shared" si="11"/>
        <v>单套/主力户型建筑面积</v>
      </c>
      <c r="R41" s="775" t="s">
        <v>21</v>
      </c>
      <c r="S41" s="776">
        <f t="shared" si="12"/>
        <v>100</v>
      </c>
      <c r="T41" s="775" t="s">
        <v>21</v>
      </c>
      <c r="U41" s="776">
        <f t="shared" si="13"/>
        <v>100</v>
      </c>
      <c r="V41" s="775" t="s">
        <v>21</v>
      </c>
      <c r="W41" s="776">
        <f t="shared" si="14"/>
        <v>100</v>
      </c>
      <c r="X41" s="777"/>
      <c r="Y41" s="3277"/>
      <c r="Z41" s="778" t="str">
        <f t="shared" si="18"/>
        <v>单套/主力户型建筑面积</v>
      </c>
      <c r="AA41" s="1807">
        <f t="shared" si="15"/>
        <v>1</v>
      </c>
      <c r="AB41" s="1807">
        <f t="shared" si="16"/>
        <v>1</v>
      </c>
      <c r="AC41" s="1807">
        <f t="shared" si="17"/>
        <v>1</v>
      </c>
    </row>
    <row r="42" spans="1:29" ht="15">
      <c r="A42" s="472"/>
      <c r="B42" s="422" t="s">
        <v>2563</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6"/>
      <c r="M42" s="1127"/>
      <c r="N42" s="1127"/>
      <c r="O42" s="1127"/>
      <c r="P42" s="3275"/>
      <c r="Q42" s="1806" t="str">
        <f t="shared" si="11"/>
        <v>内部装修</v>
      </c>
      <c r="R42" s="772" t="s">
        <v>21</v>
      </c>
      <c r="S42" s="773">
        <f t="shared" si="12"/>
        <v>100</v>
      </c>
      <c r="T42" s="772" t="s">
        <v>21</v>
      </c>
      <c r="U42" s="773">
        <f t="shared" si="13"/>
        <v>100</v>
      </c>
      <c r="V42" s="772" t="s">
        <v>21</v>
      </c>
      <c r="W42" s="773">
        <f t="shared" si="14"/>
        <v>100</v>
      </c>
      <c r="X42" s="1809"/>
      <c r="Y42" s="3277"/>
      <c r="Z42" s="1810" t="str">
        <f t="shared" si="18"/>
        <v>内部装修</v>
      </c>
      <c r="AA42" s="1807">
        <f t="shared" si="15"/>
        <v>1</v>
      </c>
      <c r="AB42" s="1807">
        <f t="shared" si="16"/>
        <v>1</v>
      </c>
      <c r="AC42" s="1807">
        <f t="shared" si="17"/>
        <v>1</v>
      </c>
    </row>
    <row r="43" spans="1:29" ht="15">
      <c r="A43" s="472"/>
      <c r="B43" s="422" t="s">
        <v>2564</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6"/>
      <c r="M43" s="1127"/>
      <c r="N43" s="1127"/>
      <c r="O43" s="1127"/>
      <c r="P43" s="3275"/>
      <c r="Q43" s="1806" t="str">
        <f t="shared" si="11"/>
        <v>内部装修维护情况</v>
      </c>
      <c r="R43" s="772" t="s">
        <v>21</v>
      </c>
      <c r="S43" s="773">
        <f t="shared" si="12"/>
        <v>100</v>
      </c>
      <c r="T43" s="772" t="s">
        <v>21</v>
      </c>
      <c r="U43" s="773">
        <f t="shared" si="13"/>
        <v>100</v>
      </c>
      <c r="V43" s="772" t="s">
        <v>21</v>
      </c>
      <c r="W43" s="773">
        <f t="shared" si="14"/>
        <v>100</v>
      </c>
      <c r="X43" s="1809"/>
      <c r="Y43" s="3277"/>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275"/>
      <c r="Q44" s="1791">
        <f t="shared" si="11"/>
        <v>111</v>
      </c>
      <c r="R44" s="768" t="s">
        <v>21</v>
      </c>
      <c r="S44" s="769">
        <f t="shared" si="12"/>
        <v>100</v>
      </c>
      <c r="T44" s="768" t="s">
        <v>21</v>
      </c>
      <c r="U44" s="769">
        <f t="shared" si="13"/>
        <v>100</v>
      </c>
      <c r="V44" s="768" t="s">
        <v>21</v>
      </c>
      <c r="W44" s="769">
        <f t="shared" si="14"/>
        <v>100</v>
      </c>
      <c r="X44" s="770"/>
      <c r="Y44" s="3277"/>
      <c r="Z44" s="55">
        <f t="shared" si="18"/>
        <v>111</v>
      </c>
      <c r="AA44" s="771">
        <f t="shared" si="15"/>
        <v>1</v>
      </c>
      <c r="AB44" s="771">
        <f t="shared" si="16"/>
        <v>1</v>
      </c>
      <c r="AC44" s="771">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275"/>
      <c r="Q45" s="1806">
        <f t="shared" si="11"/>
        <v>111</v>
      </c>
      <c r="R45" s="772" t="s">
        <v>21</v>
      </c>
      <c r="S45" s="773">
        <f t="shared" si="12"/>
        <v>100</v>
      </c>
      <c r="T45" s="772" t="s">
        <v>21</v>
      </c>
      <c r="U45" s="773">
        <f t="shared" si="13"/>
        <v>100</v>
      </c>
      <c r="V45" s="772" t="s">
        <v>21</v>
      </c>
      <c r="W45" s="773">
        <f t="shared" si="14"/>
        <v>100</v>
      </c>
      <c r="X45" s="1809"/>
      <c r="Y45" s="3277"/>
      <c r="Z45" s="1810">
        <f t="shared" si="18"/>
        <v>111</v>
      </c>
      <c r="AA45" s="1807">
        <f t="shared" si="15"/>
        <v>1</v>
      </c>
      <c r="AB45" s="1807">
        <f t="shared" si="16"/>
        <v>1</v>
      </c>
      <c r="AC45" s="1807">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276"/>
      <c r="Q46" s="1806">
        <f t="shared" si="11"/>
        <v>111</v>
      </c>
      <c r="R46" s="772" t="s">
        <v>20</v>
      </c>
      <c r="S46" s="773">
        <f t="shared" si="12"/>
        <v>100</v>
      </c>
      <c r="T46" s="772" t="s">
        <v>20</v>
      </c>
      <c r="U46" s="773">
        <f t="shared" si="13"/>
        <v>100</v>
      </c>
      <c r="V46" s="772" t="s">
        <v>20</v>
      </c>
      <c r="W46" s="773">
        <f t="shared" si="14"/>
        <v>100</v>
      </c>
      <c r="X46" s="1809"/>
      <c r="Y46" s="3278"/>
      <c r="Z46" s="1810">
        <f t="shared" si="18"/>
        <v>111</v>
      </c>
      <c r="AA46" s="1807">
        <f t="shared" si="15"/>
        <v>1</v>
      </c>
      <c r="AB46" s="1807">
        <f t="shared" si="16"/>
        <v>1</v>
      </c>
      <c r="AC46" s="1807">
        <f t="shared" si="17"/>
        <v>1</v>
      </c>
    </row>
    <row r="47" spans="1:29" ht="15">
      <c r="A47" s="479" t="s">
        <v>2565</v>
      </c>
      <c r="B47" s="480"/>
      <c r="C47" s="1403" t="s">
        <v>19</v>
      </c>
      <c r="D47" s="1404"/>
      <c r="E47" s="1405"/>
      <c r="F47" s="1406"/>
      <c r="G47" s="1407"/>
      <c r="H47" s="1408"/>
      <c r="I47" s="1405"/>
      <c r="J47" s="1408"/>
      <c r="K47" s="2616"/>
      <c r="L47" s="1139"/>
      <c r="M47" s="1140"/>
      <c r="N47" s="1127"/>
      <c r="O47" s="1140"/>
      <c r="P47" s="3265" t="str">
        <f>A47</f>
        <v>成交单价（元/平方米）</v>
      </c>
      <c r="Q47" s="3265"/>
      <c r="R47" s="3266">
        <f>E47</f>
        <v>0</v>
      </c>
      <c r="S47" s="3266"/>
      <c r="T47" s="3266">
        <f>G47</f>
        <v>0</v>
      </c>
      <c r="U47" s="3266"/>
      <c r="V47" s="3266">
        <f>I47</f>
        <v>0</v>
      </c>
      <c r="W47" s="3266"/>
      <c r="X47" s="757"/>
      <c r="Y47" s="779"/>
      <c r="Z47" s="757"/>
      <c r="AA47" s="757"/>
      <c r="AB47" s="757"/>
      <c r="AC47" s="757"/>
    </row>
    <row r="48" spans="1:29" ht="15.75" thickBot="1">
      <c r="A48" s="486" t="s">
        <v>2566</v>
      </c>
      <c r="B48" s="487"/>
      <c r="C48" s="1409" t="e">
        <f>R49</f>
        <v>#DIV/0!</v>
      </c>
      <c r="D48" s="1410"/>
      <c r="E48" s="1411" t="e">
        <f>R48</f>
        <v>#DIV/0!</v>
      </c>
      <c r="F48" s="1411"/>
      <c r="G48" s="1409" t="e">
        <f>T48</f>
        <v>#DIV/0!</v>
      </c>
      <c r="H48" s="1410"/>
      <c r="I48" s="1411" t="e">
        <f>V48</f>
        <v>#DIV/0!</v>
      </c>
      <c r="J48" s="1410"/>
      <c r="K48" s="2617"/>
      <c r="L48" s="1139"/>
      <c r="M48" s="1140"/>
      <c r="N48" s="1140"/>
      <c r="O48" s="1140"/>
      <c r="P48" s="3265" t="str">
        <f>A48</f>
        <v>比较价值（元/平方米）</v>
      </c>
      <c r="Q48" s="3265"/>
      <c r="R48" s="3266" t="e">
        <f>IF(F1="售价",ROUND(PRODUCT(R47,AA7:AA46),0),ROUND(PRODUCT(R47,AA7:AA46),1))</f>
        <v>#DIV/0!</v>
      </c>
      <c r="S48" s="3266"/>
      <c r="T48" s="3266" t="e">
        <f>IF(F1="售价",ROUND(PRODUCT(T47,AB7:AB46),0),ROUND(PRODUCT(T47,AB7:AB46),1))</f>
        <v>#DIV/0!</v>
      </c>
      <c r="U48" s="3266"/>
      <c r="V48" s="3266" t="e">
        <f>IF(F1="售价",ROUND(PRODUCT(V47,AC7:AC46),0),ROUND(PRODUCT(V47,AC7:AC46),1))</f>
        <v>#DIV/0!</v>
      </c>
      <c r="W48" s="3266"/>
      <c r="X48" s="757"/>
      <c r="Y48" s="757"/>
      <c r="Z48" s="757"/>
      <c r="AA48" s="757"/>
      <c r="AB48" s="757"/>
      <c r="AC48" s="757"/>
    </row>
    <row r="49" spans="1:29" ht="15.75" thickBot="1">
      <c r="A49" s="492" t="s">
        <v>2567</v>
      </c>
      <c r="B49" s="493"/>
      <c r="C49" s="1412" t="e">
        <f>R49</f>
        <v>#DIV/0!</v>
      </c>
      <c r="D49" s="1413"/>
      <c r="E49" s="1413"/>
      <c r="F49" s="1413"/>
      <c r="G49" s="1413"/>
      <c r="H49" s="1413"/>
      <c r="I49" s="1413"/>
      <c r="J49" s="1413"/>
      <c r="K49" s="2618"/>
      <c r="L49" s="1139"/>
      <c r="M49" s="1140"/>
      <c r="N49" s="1140"/>
      <c r="O49" s="1140"/>
      <c r="P49" s="3317" t="str">
        <f>A49</f>
        <v>估价对象XX用房的比较价值（楼面单价，元/平方米）</v>
      </c>
      <c r="Q49" s="3318"/>
      <c r="R49" s="3319" t="e">
        <f>IF(F1="售价",ROUND(AVERAGE(R48:V48),0),ROUND(AVERAGE(R48:V48),1))</f>
        <v>#DIV/0!</v>
      </c>
      <c r="S49" s="3319"/>
      <c r="T49" s="3319"/>
      <c r="U49" s="3319"/>
      <c r="V49" s="3319"/>
      <c r="W49" s="3319"/>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0"/>
    </row>
    <row r="55" spans="1:29" s="502"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61" t="s">
        <v>2571</v>
      </c>
      <c r="B57" s="757"/>
      <c r="C57" s="762"/>
      <c r="D57" s="762"/>
      <c r="E57" s="762"/>
      <c r="F57" s="763"/>
      <c r="G57" s="763"/>
      <c r="H57" s="762"/>
      <c r="I57" s="762"/>
      <c r="J57" s="762"/>
      <c r="K57" s="1156"/>
      <c r="L57" s="1157"/>
      <c r="M57" s="1155"/>
      <c r="N57" s="1155"/>
      <c r="O57" s="1155"/>
      <c r="P57" s="2621"/>
      <c r="Q57" s="504"/>
    </row>
    <row r="58" spans="1:29" s="508" customFormat="1" ht="15">
      <c r="A58" s="505" t="s">
        <v>2572</v>
      </c>
      <c r="B58" s="506"/>
      <c r="C58" s="1572" t="str">
        <f>YEAR(C7)&amp;"-"&amp;MONTH(C7)</f>
        <v>2018-3</v>
      </c>
      <c r="D58" s="1571">
        <f>EDATE(C58,-1)</f>
        <v>43132</v>
      </c>
      <c r="E58" s="1571">
        <f>EDATE(D58,-1)</f>
        <v>43101</v>
      </c>
      <c r="F58" s="1571">
        <f t="shared" ref="F58:O58" si="19">EDATE(E58,-1)</f>
        <v>43070</v>
      </c>
      <c r="G58" s="1571">
        <f t="shared" si="19"/>
        <v>43040</v>
      </c>
      <c r="H58" s="1571">
        <f t="shared" si="19"/>
        <v>43009</v>
      </c>
      <c r="I58" s="1571">
        <f t="shared" si="19"/>
        <v>42979</v>
      </c>
      <c r="J58" s="1571">
        <f t="shared" si="19"/>
        <v>42948</v>
      </c>
      <c r="K58" s="1571">
        <f t="shared" si="19"/>
        <v>42917</v>
      </c>
      <c r="L58" s="1571">
        <f t="shared" si="19"/>
        <v>42887</v>
      </c>
      <c r="M58" s="1571">
        <f t="shared" si="19"/>
        <v>42856</v>
      </c>
      <c r="N58" s="1571">
        <f t="shared" si="19"/>
        <v>42826</v>
      </c>
      <c r="O58" s="1571">
        <f t="shared" si="19"/>
        <v>42795</v>
      </c>
      <c r="P58" s="1566"/>
    </row>
    <row r="59" spans="1:29" s="117" customFormat="1" ht="15">
      <c r="A59" s="509"/>
      <c r="B59" s="2622"/>
      <c r="C59" s="1569">
        <v>100</v>
      </c>
      <c r="D59" s="511"/>
      <c r="E59" s="512"/>
      <c r="F59" s="512"/>
      <c r="G59" s="512"/>
      <c r="H59" s="512"/>
      <c r="I59" s="512"/>
      <c r="J59" s="512"/>
      <c r="K59" s="512"/>
      <c r="L59" s="512"/>
      <c r="M59" s="513"/>
      <c r="N59" s="512"/>
      <c r="O59" s="513"/>
      <c r="P59" s="2623"/>
    </row>
    <row r="60" spans="1:29" s="117" customFormat="1" ht="15.75" thickBot="1">
      <c r="A60" s="515" t="s">
        <v>2573</v>
      </c>
      <c r="B60" s="516"/>
      <c r="C60" s="517"/>
      <c r="D60" s="518"/>
      <c r="E60" s="518"/>
      <c r="F60" s="518"/>
      <c r="G60" s="518"/>
      <c r="H60" s="518"/>
      <c r="I60" s="518"/>
      <c r="J60" s="518"/>
      <c r="K60" s="518"/>
      <c r="L60" s="518"/>
      <c r="M60" s="519"/>
      <c r="N60" s="518"/>
      <c r="O60" s="519"/>
      <c r="P60" s="2623"/>
      <c r="Q60" s="504"/>
    </row>
    <row r="61" spans="1:29" s="117" customFormat="1" ht="15">
      <c r="A61" s="521" t="s">
        <v>2574</v>
      </c>
      <c r="B61" s="510"/>
      <c r="C61" s="522" t="s">
        <v>2575</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2576</v>
      </c>
      <c r="B63" s="528" t="s">
        <v>2542</v>
      </c>
      <c r="C63" s="529">
        <f>C9</f>
        <v>0</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48"/>
      <c r="O65" s="1148"/>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5"/>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5"/>
      <c r="Q67" s="504"/>
    </row>
    <row r="68" spans="1:17" ht="15">
      <c r="A68" s="534"/>
      <c r="B68" s="548"/>
      <c r="C68" s="549"/>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60"/>
      <c r="E73" s="560"/>
      <c r="F73" s="560"/>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48"/>
      <c r="O76" s="1148"/>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48"/>
      <c r="O78" s="1148"/>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48"/>
      <c r="O80" s="1148"/>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5"/>
      <c r="Q81" s="504"/>
    </row>
    <row r="82" spans="1:17" ht="15.75" thickTop="1">
      <c r="A82" s="534"/>
      <c r="B82" s="546" t="s">
        <v>2089</v>
      </c>
      <c r="C82" s="539" t="s">
        <v>2592</v>
      </c>
      <c r="D82" s="539" t="s">
        <v>2593</v>
      </c>
      <c r="E82" s="539" t="s">
        <v>2594</v>
      </c>
      <c r="F82" s="539" t="s">
        <v>2595</v>
      </c>
      <c r="G82" s="539" t="s">
        <v>2596</v>
      </c>
      <c r="H82" s="539"/>
      <c r="I82" s="539"/>
      <c r="J82" s="539"/>
      <c r="K82" s="539"/>
      <c r="L82" s="539"/>
      <c r="M82" s="1378"/>
      <c r="N82" s="1149"/>
      <c r="O82" s="1149"/>
      <c r="P82" s="2625"/>
      <c r="Q82" s="504"/>
    </row>
    <row r="83" spans="1:17" ht="15.75" thickBot="1">
      <c r="A83" s="534"/>
      <c r="B83" s="546"/>
      <c r="C83" s="658">
        <v>100</v>
      </c>
      <c r="D83" s="658">
        <f>C83-$K21</f>
        <v>100</v>
      </c>
      <c r="E83" s="658">
        <f t="shared" ref="E83:G83" si="23">D83-$K21</f>
        <v>100</v>
      </c>
      <c r="F83" s="658">
        <f t="shared" si="23"/>
        <v>100</v>
      </c>
      <c r="G83" s="658">
        <f t="shared" si="23"/>
        <v>100</v>
      </c>
      <c r="H83" s="658"/>
      <c r="I83" s="658"/>
      <c r="J83" s="658"/>
      <c r="K83" s="658"/>
      <c r="L83" s="658"/>
      <c r="M83" s="450"/>
      <c r="N83" s="1149"/>
      <c r="O83" s="1149"/>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48"/>
      <c r="O84" s="1148"/>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5"/>
      <c r="Q85" s="504"/>
    </row>
    <row r="86" spans="1:17" s="117" customFormat="1" ht="15.75" thickTop="1">
      <c r="A86" s="579"/>
      <c r="B86" s="538" t="s">
        <v>2598</v>
      </c>
      <c r="C86" s="554"/>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5"/>
      <c r="Q87" s="504"/>
    </row>
    <row r="88" spans="1:17" s="117" customFormat="1" ht="15.75" thickTop="1">
      <c r="A88" s="579"/>
      <c r="B88" s="538" t="s">
        <v>2599</v>
      </c>
      <c r="C88" s="554"/>
      <c r="D88" s="554"/>
      <c r="E88" s="554"/>
      <c r="F88" s="2630"/>
      <c r="G88" s="554"/>
      <c r="H88" s="554"/>
      <c r="I88" s="554"/>
      <c r="J88" s="554"/>
      <c r="K88" s="554"/>
      <c r="L88" s="554"/>
      <c r="M88" s="581"/>
      <c r="N88" s="1147"/>
      <c r="O88" s="1147"/>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5"/>
      <c r="Q89" s="504"/>
    </row>
    <row r="90" spans="1:17" s="471" customFormat="1" ht="15.75" thickTop="1">
      <c r="A90" s="553"/>
      <c r="B90" s="538">
        <f>B27</f>
        <v>111</v>
      </c>
      <c r="C90" s="554"/>
      <c r="D90" s="554"/>
      <c r="E90" s="554"/>
      <c r="F90" s="554"/>
      <c r="G90" s="554"/>
      <c r="H90" s="555"/>
      <c r="I90" s="555"/>
      <c r="J90" s="555"/>
      <c r="K90" s="555"/>
      <c r="L90" s="556"/>
      <c r="M90" s="557"/>
      <c r="N90" s="1150"/>
      <c r="O90" s="1150"/>
      <c r="P90" s="2626"/>
      <c r="Q90" s="559"/>
    </row>
    <row r="91" spans="1:17" s="471" customFormat="1" ht="15.75" thickBot="1">
      <c r="A91" s="553"/>
      <c r="B91" s="543"/>
      <c r="C91" s="560"/>
      <c r="D91" s="560"/>
      <c r="E91" s="560"/>
      <c r="F91" s="560"/>
      <c r="G91" s="560"/>
      <c r="H91" s="562"/>
      <c r="I91" s="562"/>
      <c r="J91" s="562"/>
      <c r="K91" s="562"/>
      <c r="L91" s="562"/>
      <c r="M91" s="563"/>
      <c r="N91" s="1150"/>
      <c r="O91" s="1150"/>
      <c r="P91" s="2626"/>
      <c r="Q91" s="559"/>
    </row>
    <row r="92" spans="1:17" ht="15.75" thickTop="1">
      <c r="A92" s="534"/>
      <c r="B92" s="538">
        <f>B28</f>
        <v>111</v>
      </c>
      <c r="C92" s="554"/>
      <c r="D92" s="554"/>
      <c r="E92" s="554"/>
      <c r="F92" s="554"/>
      <c r="G92" s="583"/>
      <c r="H92" s="583"/>
      <c r="I92" s="583"/>
      <c r="J92" s="583"/>
      <c r="K92" s="584"/>
      <c r="L92" s="585"/>
      <c r="M92" s="586"/>
      <c r="N92" s="1148"/>
      <c r="O92" s="1148"/>
      <c r="P92" s="2625"/>
      <c r="Q92" s="504"/>
    </row>
    <row r="93" spans="1:17" ht="15.75" thickBot="1">
      <c r="A93" s="534"/>
      <c r="B93" s="543"/>
      <c r="C93" s="560"/>
      <c r="D93" s="536"/>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60"/>
      <c r="E95" s="560"/>
      <c r="F95" s="560"/>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70"/>
      <c r="D97" s="570"/>
      <c r="E97" s="570"/>
      <c r="F97" s="570"/>
      <c r="G97" s="536"/>
      <c r="H97" s="536"/>
      <c r="I97" s="536"/>
      <c r="J97" s="536"/>
      <c r="K97" s="536"/>
      <c r="L97" s="536"/>
      <c r="M97" s="537"/>
      <c r="N97" s="1149"/>
      <c r="O97" s="1149"/>
      <c r="P97" s="2625"/>
      <c r="Q97" s="504"/>
    </row>
    <row r="98" spans="1:17" ht="15.75" thickTop="1">
      <c r="A98" s="534"/>
      <c r="B98" s="546">
        <f>B31</f>
        <v>111</v>
      </c>
      <c r="C98" s="587"/>
      <c r="D98" s="587"/>
      <c r="E98" s="587"/>
      <c r="F98" s="587"/>
      <c r="G98" s="587"/>
      <c r="H98" s="587"/>
      <c r="I98" s="587"/>
      <c r="J98" s="587"/>
      <c r="K98" s="588"/>
      <c r="L98" s="589"/>
      <c r="M98" s="590"/>
      <c r="N98" s="1148"/>
      <c r="O98" s="1148"/>
      <c r="P98" s="2625"/>
      <c r="Q98" s="504"/>
    </row>
    <row r="99" spans="1:17" ht="15.75" thickBot="1">
      <c r="A99" s="2631"/>
      <c r="B99" s="569"/>
      <c r="C99" s="591"/>
      <c r="D99" s="591"/>
      <c r="E99" s="591"/>
      <c r="F99" s="591"/>
      <c r="G99" s="591"/>
      <c r="H99" s="591"/>
      <c r="I99" s="591"/>
      <c r="J99" s="591"/>
      <c r="K99" s="591"/>
      <c r="L99" s="591"/>
      <c r="M99" s="592"/>
      <c r="N99" s="1149"/>
      <c r="O99" s="1149"/>
      <c r="P99" s="2625"/>
      <c r="Q99" s="504"/>
    </row>
    <row r="100" spans="1:17">
      <c r="A100" s="527" t="s">
        <v>2551</v>
      </c>
      <c r="B100" s="528" t="s">
        <v>2600</v>
      </c>
      <c r="C100" s="530"/>
      <c r="D100" s="530"/>
      <c r="E100" s="530"/>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5"/>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5"/>
      <c r="Q102" s="504"/>
    </row>
    <row r="103" spans="1:17" s="471" customFormat="1">
      <c r="A103" s="593"/>
      <c r="B103" s="594"/>
      <c r="C103" s="595"/>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6"/>
      <c r="Q104" s="559"/>
    </row>
    <row r="105" spans="1:17" ht="15" thickTop="1">
      <c r="A105" s="599"/>
      <c r="B105" s="538" t="s">
        <v>2602</v>
      </c>
      <c r="C105" s="554"/>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5"/>
      <c r="Q106" s="504"/>
    </row>
    <row r="107" spans="1:17" ht="15" thickTop="1">
      <c r="A107" s="599"/>
      <c r="B107" s="538" t="s">
        <v>2603</v>
      </c>
      <c r="C107" s="583"/>
      <c r="D107" s="583"/>
      <c r="E107" s="583"/>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5"/>
      <c r="Q108" s="504"/>
    </row>
    <row r="109" spans="1:17" ht="15" thickTop="1">
      <c r="A109" s="599"/>
      <c r="B109" s="538" t="s">
        <v>2604</v>
      </c>
      <c r="C109" s="554"/>
      <c r="D109" s="554"/>
      <c r="E109" s="554"/>
      <c r="F109" s="583"/>
      <c r="G109" s="583"/>
      <c r="H109" s="583"/>
      <c r="I109" s="583"/>
      <c r="J109" s="583"/>
      <c r="K109" s="584"/>
      <c r="L109" s="585"/>
      <c r="M109" s="586"/>
      <c r="N109" s="1148"/>
      <c r="O109" s="1148"/>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6"/>
      <c r="Q113" s="559"/>
    </row>
    <row r="114" spans="1:17" ht="15" thickTop="1">
      <c r="A114" s="599"/>
      <c r="B114" s="538" t="s">
        <v>2605</v>
      </c>
      <c r="C114" s="554"/>
      <c r="D114" s="554"/>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5"/>
      <c r="Q115" s="504"/>
    </row>
    <row r="116" spans="1:17" ht="15" thickTop="1">
      <c r="A116" s="599"/>
      <c r="B116" s="538" t="s">
        <v>2606</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5"/>
      <c r="Q117" s="504"/>
    </row>
    <row r="118" spans="1:17" ht="15" thickTop="1">
      <c r="A118" s="599"/>
      <c r="B118" s="538" t="s">
        <v>2607</v>
      </c>
      <c r="C118" s="583"/>
      <c r="D118" s="583"/>
      <c r="E118" s="583"/>
      <c r="F118" s="583"/>
      <c r="G118" s="583"/>
      <c r="H118" s="583"/>
      <c r="I118" s="583"/>
      <c r="J118" s="583"/>
      <c r="K118" s="584"/>
      <c r="L118" s="585"/>
      <c r="M118" s="586"/>
      <c r="N118" s="1148"/>
      <c r="O118" s="1148"/>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5"/>
      <c r="Q119" s="504"/>
    </row>
    <row r="120" spans="1:17" s="471" customFormat="1" ht="28.5" thickTop="1">
      <c r="A120" s="593"/>
      <c r="B120" s="538" t="s">
        <v>2562</v>
      </c>
      <c r="C120" s="554"/>
      <c r="D120" s="554"/>
      <c r="E120" s="554"/>
      <c r="F120" s="554"/>
      <c r="G120" s="554"/>
      <c r="H120" s="554"/>
      <c r="I120" s="554"/>
      <c r="J120" s="554"/>
      <c r="K120" s="554"/>
      <c r="L120" s="580"/>
      <c r="M120" s="581"/>
      <c r="N120" s="1150"/>
      <c r="O120" s="1150"/>
      <c r="P120" s="2626"/>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6"/>
      <c r="Q121" s="559"/>
    </row>
    <row r="122" spans="1:17" ht="15" thickTop="1">
      <c r="A122" s="599"/>
      <c r="B122" s="538" t="s">
        <v>2608</v>
      </c>
      <c r="C122" s="554"/>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48"/>
      <c r="O124" s="1148"/>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60"/>
      <c r="E129" s="560"/>
      <c r="F129" s="560"/>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row r="136" spans="1:17" ht="15" thickBot="1">
      <c r="B136" s="2632" t="s">
        <v>2610</v>
      </c>
    </row>
    <row r="137" spans="1:17" ht="15">
      <c r="B137" s="2633" t="s">
        <v>2611</v>
      </c>
      <c r="C137" s="2634"/>
      <c r="D137" s="2634"/>
      <c r="E137" s="2634"/>
      <c r="F137" s="2634"/>
      <c r="G137" s="2635"/>
      <c r="H137" s="2636"/>
      <c r="I137" s="2637" t="s">
        <v>2612</v>
      </c>
      <c r="J137" s="2634"/>
      <c r="K137" s="2638"/>
    </row>
    <row r="138" spans="1:17" ht="15">
      <c r="B138" s="2639"/>
      <c r="C138" s="146" t="s">
        <v>2613</v>
      </c>
      <c r="D138" s="146" t="s">
        <v>2614</v>
      </c>
      <c r="E138" s="2640" t="s">
        <v>2615</v>
      </c>
      <c r="F138" s="2641" t="s">
        <v>2616</v>
      </c>
      <c r="G138" s="146" t="s">
        <v>2614</v>
      </c>
      <c r="H138" s="147" t="s">
        <v>2615</v>
      </c>
      <c r="I138" s="2642"/>
      <c r="J138" s="146" t="s">
        <v>2617</v>
      </c>
      <c r="K138" s="147" t="s">
        <v>2618</v>
      </c>
    </row>
    <row r="139" spans="1:17" ht="15">
      <c r="B139" s="1080">
        <v>6</v>
      </c>
      <c r="C139" s="1081">
        <v>96</v>
      </c>
      <c r="D139" s="2643" t="s">
        <v>2619</v>
      </c>
      <c r="E139" s="1082">
        <v>100</v>
      </c>
      <c r="F139" s="1083">
        <v>102.5</v>
      </c>
      <c r="G139" s="2643" t="s">
        <v>2619</v>
      </c>
      <c r="H139" s="1084">
        <v>105</v>
      </c>
      <c r="I139" s="2644" t="s">
        <v>2620</v>
      </c>
      <c r="J139" s="1081">
        <v>20</v>
      </c>
      <c r="K139" s="1085">
        <f>C145/(J139-2)</f>
        <v>4.0555555555555553E-3</v>
      </c>
    </row>
    <row r="140" spans="1:17" ht="15">
      <c r="B140" s="1086">
        <v>5</v>
      </c>
      <c r="C140" s="1087">
        <v>100</v>
      </c>
      <c r="D140" s="1087"/>
      <c r="E140" s="1088"/>
      <c r="F140" s="1089">
        <v>102</v>
      </c>
      <c r="G140" s="1087"/>
      <c r="H140" s="1090"/>
      <c r="I140" s="2645" t="s">
        <v>2621</v>
      </c>
      <c r="J140" s="315">
        <f>ROUNDUP((J139-1)/2,0)</f>
        <v>10</v>
      </c>
      <c r="K140" s="1091">
        <v>100</v>
      </c>
    </row>
    <row r="141" spans="1:17" ht="15">
      <c r="B141" s="1086">
        <v>4</v>
      </c>
      <c r="C141" s="1087">
        <v>102</v>
      </c>
      <c r="D141" s="1087"/>
      <c r="E141" s="1088"/>
      <c r="F141" s="1089">
        <v>101.5</v>
      </c>
      <c r="G141" s="1087"/>
      <c r="H141" s="1090"/>
      <c r="I141" s="2645" t="s">
        <v>2622</v>
      </c>
      <c r="J141" s="315">
        <v>1</v>
      </c>
      <c r="K141" s="1092">
        <f>ROUND(100+(J141-J140)*K139*100,1)</f>
        <v>96.4</v>
      </c>
    </row>
    <row r="142" spans="1:17" ht="15">
      <c r="B142" s="1086">
        <v>3</v>
      </c>
      <c r="C142" s="1087">
        <v>103</v>
      </c>
      <c r="D142" s="1087"/>
      <c r="E142" s="1088"/>
      <c r="F142" s="1089">
        <v>101</v>
      </c>
      <c r="G142" s="1087"/>
      <c r="H142" s="1090"/>
      <c r="I142" s="2645" t="s">
        <v>2623</v>
      </c>
      <c r="J142" s="315">
        <f>J139</f>
        <v>20</v>
      </c>
      <c r="K142" s="1093">
        <v>95</v>
      </c>
    </row>
    <row r="143" spans="1:17" ht="15">
      <c r="B143" s="1086">
        <v>2</v>
      </c>
      <c r="C143" s="1087">
        <v>100</v>
      </c>
      <c r="D143" s="1087"/>
      <c r="E143" s="1088"/>
      <c r="F143" s="1089">
        <v>100.5</v>
      </c>
      <c r="G143" s="1087"/>
      <c r="H143" s="1090"/>
      <c r="I143" s="2645" t="s">
        <v>2624</v>
      </c>
      <c r="J143" s="1087">
        <v>15</v>
      </c>
      <c r="K143" s="1092">
        <f>ROUND(100+(J143-J140)*K139*100,1)</f>
        <v>102</v>
      </c>
    </row>
    <row r="144" spans="1:17" ht="15">
      <c r="B144" s="1086">
        <v>1</v>
      </c>
      <c r="C144" s="1087">
        <v>98</v>
      </c>
      <c r="D144" s="2646" t="s">
        <v>2625</v>
      </c>
      <c r="E144" s="1088">
        <v>102</v>
      </c>
      <c r="F144" s="1094">
        <v>100</v>
      </c>
      <c r="G144" s="2646" t="s">
        <v>2625</v>
      </c>
      <c r="H144" s="1090">
        <v>105</v>
      </c>
      <c r="I144" s="2645" t="s">
        <v>2624</v>
      </c>
      <c r="J144" s="1087">
        <v>18</v>
      </c>
      <c r="K144" s="1092">
        <f>ROUND(100+(J144-J140)*K139*100,1)</f>
        <v>103.2</v>
      </c>
    </row>
    <row r="145" spans="2:11" ht="15.75" thickBot="1">
      <c r="B145" s="2647" t="s">
        <v>2626</v>
      </c>
      <c r="C145" s="1095">
        <f>ROUND(MAX(C139:C144)/MIN(C139:C144)-1,3)</f>
        <v>7.2999999999999995E-2</v>
      </c>
      <c r="D145" s="1096"/>
      <c r="E145" s="1096"/>
      <c r="F145" s="2648" t="s">
        <v>2627</v>
      </c>
      <c r="G145" s="2649"/>
      <c r="H145" s="2650"/>
      <c r="I145" s="2651" t="s">
        <v>2624</v>
      </c>
      <c r="J145" s="1097">
        <v>8</v>
      </c>
      <c r="K145" s="1098">
        <f>ROUND(100+(J145-J140)*K139*100,1)</f>
        <v>99.2</v>
      </c>
    </row>
    <row r="147" spans="2:11">
      <c r="B147" s="2632" t="s">
        <v>2628</v>
      </c>
    </row>
    <row r="148" spans="2:11">
      <c r="B148" s="2632"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8" type="noConversion"/>
  <conditionalFormatting sqref="F52 H52 J52">
    <cfRule type="containsText" dxfId="98" priority="15" stopIfTrue="1" operator="containsText" text="超过">
      <formula>NOT(ISERROR(SEARCH("超过",F52)))</formula>
    </cfRule>
  </conditionalFormatting>
  <conditionalFormatting sqref="J54">
    <cfRule type="containsText" dxfId="97" priority="14" stopIfTrue="1" operator="containsText" text="超过">
      <formula>NOT(ISERROR(SEARCH("超过",J54)))</formula>
    </cfRule>
  </conditionalFormatting>
  <conditionalFormatting sqref="H54">
    <cfRule type="containsText" dxfId="96" priority="13" stopIfTrue="1" operator="containsText" text="超过">
      <formula>NOT(ISERROR(SEARCH("超过",H54)))</formula>
    </cfRule>
  </conditionalFormatting>
  <conditionalFormatting sqref="F54">
    <cfRule type="containsText" dxfId="95" priority="12" stopIfTrue="1" operator="containsText" text="超过">
      <formula>NOT(ISERROR(SEARCH("超过",F54)))</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4">
    <cfRule type="expression" dxfId="92" priority="8" stopIfTrue="1">
      <formula>$H$54="超过30%"</formula>
    </cfRule>
  </conditionalFormatting>
  <conditionalFormatting sqref="E53">
    <cfRule type="expression" dxfId="91" priority="7" stopIfTrue="1">
      <formula>$F$53="超过20%"</formula>
    </cfRule>
  </conditionalFormatting>
  <conditionalFormatting sqref="E54">
    <cfRule type="expression" dxfId="90" priority="6" stopIfTrue="1">
      <formula>$F$54="超过30%"</formula>
    </cfRule>
  </conditionalFormatting>
  <conditionalFormatting sqref="G52">
    <cfRule type="expression" dxfId="89" priority="5" stopIfTrue="1">
      <formula>$H$52="超过30%"</formula>
    </cfRule>
  </conditionalFormatting>
  <conditionalFormatting sqref="G53">
    <cfRule type="expression" dxfId="88" priority="4" stopIfTrue="1">
      <formula>$H$53="超过20%"</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90" zoomScaleNormal="90" zoomScaleSheetLayoutView="90" zoomScalePageLayoutView="90" workbookViewId="0">
      <selection activeCell="D29" sqref="D29"/>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t="s">
        <v>1377</v>
      </c>
      <c r="D1" s="1816" t="s">
        <v>70</v>
      </c>
      <c r="E1" s="1817" t="s">
        <v>1387</v>
      </c>
      <c r="F1" s="1279">
        <f ca="1">J53</f>
        <v>31.23</v>
      </c>
      <c r="G1" s="1832">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1516</v>
      </c>
      <c r="B2" s="1840">
        <f ca="1">C40+J29+L46</f>
        <v>9800</v>
      </c>
      <c r="C2" s="1841" t="s">
        <v>1517</v>
      </c>
      <c r="D2" s="1841"/>
      <c r="E2" s="1842"/>
      <c r="F2" s="1843"/>
      <c r="G2" s="1844"/>
      <c r="H2" s="1836"/>
      <c r="I2" s="1836"/>
      <c r="J2" s="1836"/>
      <c r="K2" s="1837"/>
      <c r="L2" s="1836"/>
      <c r="M2" s="1836"/>
    </row>
    <row r="3" spans="1:37" ht="18" customHeight="1" thickBot="1">
      <c r="A3" s="1845" t="s">
        <v>1518</v>
      </c>
      <c r="B3" s="1846">
        <f ca="1">IF(ISERROR(B2*10000/F43),0,ROUND(B2*10000/F43,0))</f>
        <v>46572</v>
      </c>
      <c r="C3" s="1841" t="s">
        <v>1519</v>
      </c>
      <c r="D3" s="1841"/>
      <c r="E3" s="1842"/>
      <c r="F3" s="1843"/>
      <c r="G3" s="1844"/>
      <c r="H3" s="742" t="s">
        <v>1589</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589</v>
      </c>
      <c r="D5" s="1818" t="s">
        <v>1402</v>
      </c>
      <c r="E5" s="1289"/>
      <c r="F5" s="1290"/>
      <c r="G5" s="1847"/>
      <c r="H5" s="344">
        <v>1</v>
      </c>
      <c r="I5" s="345" t="s">
        <v>1401</v>
      </c>
      <c r="J5" s="1288">
        <f ca="1">J6+J10+J12</f>
        <v>0</v>
      </c>
      <c r="K5" s="1818" t="s">
        <v>1402</v>
      </c>
      <c r="L5" s="1289"/>
      <c r="M5" s="1290"/>
    </row>
    <row r="6" spans="1:37" ht="18" customHeight="1">
      <c r="A6" s="1287" t="s">
        <v>1035</v>
      </c>
      <c r="B6" s="3336" t="s">
        <v>1403</v>
      </c>
      <c r="C6" s="1292">
        <f ca="1">ROUND(F6*F8*F7*(1-F9)/10000,0)</f>
        <v>588</v>
      </c>
      <c r="D6" s="164" t="s">
        <v>3022</v>
      </c>
      <c r="E6" s="347" t="s">
        <v>1405</v>
      </c>
      <c r="F6" s="348">
        <f ca="1">INDIRECT("'数据-取费表'!u"&amp;$G$1)</f>
        <v>8.5</v>
      </c>
      <c r="G6" s="1847"/>
      <c r="H6" s="1287" t="s">
        <v>1035</v>
      </c>
      <c r="I6" s="3336" t="s">
        <v>1403</v>
      </c>
      <c r="J6" s="346">
        <f ca="1">ROUND(M6*M8*M7*(1-M9)/10000,0)</f>
        <v>0</v>
      </c>
      <c r="K6" s="164" t="s">
        <v>3021</v>
      </c>
      <c r="L6" s="347" t="s">
        <v>1405</v>
      </c>
      <c r="M6" s="348">
        <f ca="1">INDIRECT("'数据-取费表'!z"&amp;$G$1)</f>
        <v>0</v>
      </c>
    </row>
    <row r="7" spans="1:37" ht="18" customHeight="1">
      <c r="A7" s="1291"/>
      <c r="B7" s="3337"/>
      <c r="C7" s="1293"/>
      <c r="D7" s="352"/>
      <c r="E7" s="2942" t="s">
        <v>1406</v>
      </c>
      <c r="F7" s="348">
        <f ca="1">IF(INDIRECT("'数据-取费表'!ah"&amp;$G$1)="",INDIRECT("'数据-取费表'!k"&amp;$G$1),INDIRECT("'数据-取费表'!ah"&amp;$G$1))</f>
        <v>2104.29</v>
      </c>
      <c r="G7" s="1847"/>
      <c r="H7" s="349"/>
      <c r="I7" s="3337"/>
      <c r="J7" s="351"/>
      <c r="K7" s="352"/>
      <c r="L7" s="347" t="s">
        <v>1406</v>
      </c>
      <c r="M7" s="348">
        <f ca="1">F7</f>
        <v>2104.29</v>
      </c>
    </row>
    <row r="8" spans="1:37" ht="18" customHeight="1">
      <c r="A8" s="349"/>
      <c r="B8" s="3337"/>
      <c r="C8" s="351"/>
      <c r="D8" s="352"/>
      <c r="E8" s="347" t="s">
        <v>1407</v>
      </c>
      <c r="F8" s="348">
        <f ca="1">INDIRECT("'数据-取费表'!ai"&amp;$G$1)</f>
        <v>365</v>
      </c>
      <c r="G8" s="1847"/>
      <c r="H8" s="349"/>
      <c r="I8" s="3337"/>
      <c r="J8" s="351"/>
      <c r="K8" s="352"/>
      <c r="L8" s="347" t="s">
        <v>1407</v>
      </c>
      <c r="M8" s="348">
        <f ca="1">INDIRECT("'数据-取费表'!ai"&amp;$G$1)</f>
        <v>365</v>
      </c>
    </row>
    <row r="9" spans="1:37" ht="18" customHeight="1">
      <c r="A9" s="349"/>
      <c r="B9" s="3338"/>
      <c r="C9" s="351"/>
      <c r="D9" s="352"/>
      <c r="E9" s="347" t="s">
        <v>1408</v>
      </c>
      <c r="F9" s="357">
        <f ca="1">INDIRECT("'数据-取费表'!w"&amp;$G$1)</f>
        <v>0.1</v>
      </c>
      <c r="G9" s="1847"/>
      <c r="H9" s="349"/>
      <c r="I9" s="3338"/>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ROUND(IF(F10="押一",F6*F8*F7/12*F11,IF(F10="押二",F6*F8*F7/12*2*F11,IF(F10="押三",F6*F8*F7/12*3*F11,C11*F11)))/10000,0)</f>
        <v>1</v>
      </c>
      <c r="D10" s="1820" t="s">
        <v>3018</v>
      </c>
      <c r="E10" s="358" t="s">
        <v>1411</v>
      </c>
      <c r="F10" s="1362" t="s">
        <v>3068</v>
      </c>
      <c r="G10" s="1847"/>
      <c r="H10" s="1287" t="s">
        <v>1039</v>
      </c>
      <c r="I10" s="1819" t="s">
        <v>1409</v>
      </c>
      <c r="J10" s="346">
        <f ca="1">ROUND(IF(M10="押一",M6*M8*M7/12*M11,IF(M10="押二",M6*M8*M7/12*2*M11,IF(M10="押三",M6*M8*M7/12*3*M11,J11*M11)))/10000,0)</f>
        <v>0</v>
      </c>
      <c r="K10" s="1820" t="s">
        <v>3018</v>
      </c>
      <c r="L10" s="358" t="s">
        <v>1411</v>
      </c>
      <c r="M10" s="1362" t="s">
        <v>1412</v>
      </c>
    </row>
    <row r="11" spans="1:37" ht="18" customHeight="1">
      <c r="A11" s="353"/>
      <c r="B11" s="1821" t="s">
        <v>1388</v>
      </c>
      <c r="C11" s="1174"/>
      <c r="D11" s="1822"/>
      <c r="E11" s="358" t="s">
        <v>1413</v>
      </c>
      <c r="F11" s="359">
        <f ca="1">'数据-取费表'!B39</f>
        <v>1.4999999999999999E-2</v>
      </c>
      <c r="G11" s="1847"/>
      <c r="H11" s="1295"/>
      <c r="I11" s="1821" t="s">
        <v>1388</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883</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INDIRECT("'数据-取费表'!m"&amp;$G$1)+INDIRECT("'数据-取费表'!t"&amp;$G$1)</f>
        <v>631</v>
      </c>
      <c r="D14" s="2936" t="s">
        <v>1419</v>
      </c>
      <c r="E14" s="2934"/>
      <c r="F14" s="364"/>
      <c r="G14" s="1847"/>
      <c r="H14" s="1197" t="s">
        <v>1035</v>
      </c>
      <c r="I14" s="347" t="s">
        <v>1420</v>
      </c>
      <c r="J14" s="24">
        <f ca="1">C29</f>
        <v>981</v>
      </c>
      <c r="K14" s="2941"/>
      <c r="L14" s="975"/>
      <c r="M14" s="976"/>
    </row>
    <row r="15" spans="1:37" s="1854" customFormat="1" ht="18" customHeight="1" thickBot="1">
      <c r="A15" s="1197" t="s">
        <v>1036</v>
      </c>
      <c r="B15" s="347" t="s">
        <v>1421</v>
      </c>
      <c r="C15" s="24">
        <f ca="1">ROUND(C14*F15,0)</f>
        <v>19</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ROUND(INDIRECT("'数据-取费表'!m"&amp;$G$1)*F16,0)</f>
        <v>0</v>
      </c>
      <c r="D16" s="347" t="s">
        <v>1422</v>
      </c>
      <c r="E16" s="347" t="s">
        <v>1423</v>
      </c>
      <c r="F16" s="367">
        <f ca="1">IF(INDIRECT("'数据-取费表'!c"&amp;$G$1)="住宅",'数据-取费表'!B34,0)</f>
        <v>0</v>
      </c>
      <c r="G16" s="1847"/>
      <c r="H16" s="1325" t="s">
        <v>1030</v>
      </c>
      <c r="I16" s="1326" t="s">
        <v>1425</v>
      </c>
      <c r="J16" s="355">
        <f ca="1">ROUND(J17+J22+J23+J24,0)</f>
        <v>23</v>
      </c>
      <c r="K16" s="1333" t="s">
        <v>1426</v>
      </c>
      <c r="L16" s="2937"/>
      <c r="M16" s="1290"/>
    </row>
    <row r="17" spans="1:37" s="1854" customFormat="1" ht="18" customHeight="1">
      <c r="A17" s="1197" t="s">
        <v>1390</v>
      </c>
      <c r="B17" s="347" t="s">
        <v>1427</v>
      </c>
      <c r="C17" s="24">
        <f ca="1">ROUND(F17*(F43+INDIRECT("'数据-取费表'!S"&amp;$G$1))/10000,0)</f>
        <v>42</v>
      </c>
      <c r="D17" s="347" t="s">
        <v>1428</v>
      </c>
      <c r="E17" s="347" t="s">
        <v>1429</v>
      </c>
      <c r="F17" s="26">
        <f>'数据-取费表'!B35</f>
        <v>200</v>
      </c>
      <c r="G17" s="1850"/>
      <c r="H17" s="1197" t="s">
        <v>1035</v>
      </c>
      <c r="I17" s="347" t="s">
        <v>1430</v>
      </c>
      <c r="J17" s="24">
        <f ca="1">ROUND(IF(项目基本情况!B11="自然人",J5*M17,J18+J19+J20),1)</f>
        <v>8.6</v>
      </c>
      <c r="K17" s="2936" t="s">
        <v>1431</v>
      </c>
      <c r="L17" s="2935"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9</v>
      </c>
      <c r="D18" s="347" t="s">
        <v>1422</v>
      </c>
      <c r="E18" s="347" t="s">
        <v>1423</v>
      </c>
      <c r="F18" s="367">
        <f>'数据-取费表'!B36</f>
        <v>1.4999999999999999E-2</v>
      </c>
      <c r="G18" s="1850"/>
      <c r="H18" s="1197" t="s">
        <v>1034</v>
      </c>
      <c r="I18" s="347" t="s">
        <v>1434</v>
      </c>
      <c r="J18" s="24">
        <f ca="1">ROUND(J5*M18/(1+'数据-取费表'!C42),2)</f>
        <v>0</v>
      </c>
      <c r="K18" s="2935"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701</v>
      </c>
      <c r="D19" s="140" t="s">
        <v>1437</v>
      </c>
      <c r="E19" s="2940"/>
      <c r="F19" s="26"/>
      <c r="G19" s="1847"/>
      <c r="H19" s="1197" t="s">
        <v>1036</v>
      </c>
      <c r="I19" s="347" t="s">
        <v>1438</v>
      </c>
      <c r="J19" s="24">
        <f ca="1">IF(K19="按租金收入计税",ROUND(J5*M19,2),ROUND(C29*M19*0.7,2))</f>
        <v>8.24</v>
      </c>
      <c r="K19" s="1824" t="s">
        <v>1439</v>
      </c>
      <c r="L19" s="347" t="s">
        <v>1423</v>
      </c>
      <c r="M19" s="367">
        <f>IF(K19="按租金收入计税",'数据-取费表'!B51,'数据-取费表'!B50)</f>
        <v>1.2E-2</v>
      </c>
    </row>
    <row r="20" spans="1:37" s="1854" customFormat="1" ht="18" customHeight="1">
      <c r="A20" s="1197" t="s">
        <v>1039</v>
      </c>
      <c r="B20" s="347" t="s">
        <v>1440</v>
      </c>
      <c r="C20" s="24">
        <f ca="1">ROUND(C19*F20,0)</f>
        <v>14</v>
      </c>
      <c r="D20" s="369" t="s">
        <v>1441</v>
      </c>
      <c r="E20" s="347" t="s">
        <v>1423</v>
      </c>
      <c r="F20" s="367">
        <f>'数据-取费表'!B37</f>
        <v>0.02</v>
      </c>
      <c r="G20" s="1850"/>
      <c r="H20" s="1197" t="s">
        <v>1389</v>
      </c>
      <c r="I20" s="164" t="s">
        <v>1442</v>
      </c>
      <c r="J20" s="25">
        <f ca="1">ROUND(M20*M21/10000,2)</f>
        <v>0.31</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18</v>
      </c>
      <c r="D21" s="369" t="s">
        <v>1446</v>
      </c>
      <c r="E21" s="347" t="s">
        <v>1447</v>
      </c>
      <c r="F21" s="367">
        <f>'数据-取费表'!B38</f>
        <v>0.03</v>
      </c>
      <c r="G21" s="1850"/>
      <c r="H21" s="372"/>
      <c r="I21" s="356"/>
      <c r="J21" s="29"/>
      <c r="K21" s="373"/>
      <c r="L21" s="347" t="s">
        <v>1448</v>
      </c>
      <c r="M21" s="348">
        <f ca="1">INDIRECT("'数据-取费表'!r"&amp;$G$1)</f>
        <v>174.99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2940"/>
      <c r="F22" s="26"/>
      <c r="G22" s="1847"/>
      <c r="H22" s="1197" t="s">
        <v>1039</v>
      </c>
      <c r="I22" s="347" t="s">
        <v>1450</v>
      </c>
      <c r="J22" s="24">
        <f ca="1">ROUND(J14*M22,1)</f>
        <v>14.7</v>
      </c>
      <c r="K22" s="2935" t="s">
        <v>1451</v>
      </c>
      <c r="L22" s="347" t="s">
        <v>1423</v>
      </c>
      <c r="M22" s="374">
        <f ca="1">INDIRECT("'数据-取费表'!Ak"&amp;$G$1)</f>
        <v>1.4999999999999999E-2</v>
      </c>
    </row>
    <row r="23" spans="1:37" s="1854" customFormat="1" ht="18" customHeight="1">
      <c r="A23" s="1197" t="s">
        <v>1034</v>
      </c>
      <c r="B23" s="347" t="s">
        <v>1452</v>
      </c>
      <c r="C23" s="24">
        <f ca="1">IF('数据-取费表'!B22&lt;=1,ROUND(C19*F24*F23/2,0)+ROUND(C20*F24*F23/2,0),ROUND(C19*(POWER((1+F24),F23/2)-1),0)+ROUND(C20*(POWER((1+F24),F23/2)-1),0))</f>
        <v>34</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ROUND(J13*M23,1)</f>
        <v>0</v>
      </c>
      <c r="K23" s="2935" t="s">
        <v>1455</v>
      </c>
      <c r="L23" s="347" t="s">
        <v>1423</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1392</v>
      </c>
      <c r="I24" s="1336" t="s">
        <v>1440</v>
      </c>
      <c r="J24" s="1337">
        <f ca="1">ROUND(J5*M24,1)</f>
        <v>0</v>
      </c>
      <c r="K24" s="1338" t="s">
        <v>1460</v>
      </c>
      <c r="L24" s="1336" t="s">
        <v>1423</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7" t="s">
        <v>1462</v>
      </c>
      <c r="C25" s="24"/>
      <c r="D25" s="140" t="s">
        <v>1463</v>
      </c>
      <c r="E25" s="2940"/>
      <c r="F25" s="26"/>
      <c r="G25" s="1847"/>
      <c r="H25" s="1325" t="s">
        <v>1031</v>
      </c>
      <c r="I25" s="1340" t="s">
        <v>1464</v>
      </c>
      <c r="J25" s="355">
        <f ca="1">J5-J16</f>
        <v>-23</v>
      </c>
      <c r="K25" s="1341" t="s">
        <v>1465</v>
      </c>
      <c r="L25" s="1342"/>
      <c r="M25" s="1343"/>
    </row>
    <row r="26" spans="1:37">
      <c r="A26" s="1197" t="s">
        <v>1034</v>
      </c>
      <c r="B26" s="347" t="s">
        <v>1466</v>
      </c>
      <c r="C26" s="24">
        <f ca="1">ROUND((C19+C20)*F26,0)</f>
        <v>143</v>
      </c>
      <c r="D26" s="369" t="s">
        <v>1467</v>
      </c>
      <c r="E26" s="358" t="s">
        <v>1468</v>
      </c>
      <c r="F26" s="357">
        <f ca="1">INDIRECT("'数据-取费表'!q"&amp;$G$1)</f>
        <v>0.2</v>
      </c>
      <c r="G26" s="1847"/>
      <c r="H26" s="344" t="s">
        <v>1032</v>
      </c>
      <c r="I26" s="345" t="s">
        <v>1469</v>
      </c>
      <c r="J26" s="346">
        <f ca="1">IF(J5&lt;&gt;0,ROUND(J25*(1-((1+M28)/(1+M26))^M27)/(M26-M28),0),0)</f>
        <v>0</v>
      </c>
      <c r="K26" s="370" t="s">
        <v>1470</v>
      </c>
      <c r="L26" s="347" t="s">
        <v>1471</v>
      </c>
      <c r="M26" s="357">
        <f ca="1">INDIRECT("'数据-取费表'!I"&amp;$G$1)</f>
        <v>0.06</v>
      </c>
    </row>
    <row r="27" spans="1:37" ht="18" customHeight="1">
      <c r="A27" s="1197" t="s">
        <v>1036</v>
      </c>
      <c r="B27" s="347" t="s">
        <v>1472</v>
      </c>
      <c r="C27" s="24">
        <f ca="1">ROUND(F21*F26,4)</f>
        <v>6.0000000000000001E-3</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981</v>
      </c>
      <c r="D29" s="1338"/>
      <c r="E29" s="1336"/>
      <c r="F29" s="1339"/>
      <c r="G29" s="1850"/>
      <c r="H29" s="380" t="s">
        <v>1033</v>
      </c>
      <c r="I29" s="381" t="s">
        <v>1480</v>
      </c>
      <c r="J29" s="382">
        <f ca="1">ROUND(J26/(1+F40)^F41,0)</f>
        <v>0</v>
      </c>
      <c r="K29" s="383" t="s">
        <v>1481</v>
      </c>
      <c r="L29" s="384"/>
      <c r="M29" s="385">
        <f ca="1">INDIRECT("'数据-取费表'!k"&amp;$G$1)</f>
        <v>2104.29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124</v>
      </c>
      <c r="D30" s="1333" t="s">
        <v>1426</v>
      </c>
      <c r="E30" s="2937"/>
      <c r="F30" s="1290"/>
      <c r="G30" s="1847"/>
      <c r="H30" s="743"/>
      <c r="I30" s="744"/>
      <c r="J30" s="745"/>
      <c r="K30" s="746"/>
      <c r="L30" s="747"/>
      <c r="M30" s="748"/>
    </row>
    <row r="31" spans="1:37" ht="18" customHeight="1">
      <c r="A31" s="1197" t="s">
        <v>1035</v>
      </c>
      <c r="B31" s="347" t="s">
        <v>1430</v>
      </c>
      <c r="C31" s="24">
        <f ca="1">ROUND(IF(项目基本情况!B11="自然人",C5*F31,C32+C33+C34),1)</f>
        <v>102.4</v>
      </c>
      <c r="D31" s="2936" t="s">
        <v>1431</v>
      </c>
      <c r="E31" s="2935"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IF(项目基本情况!B11="自然人","——",ROUND(C5*F32/(1+'数据-取费表'!C42),2))</f>
        <v>31.41</v>
      </c>
      <c r="D32" s="2935"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IF(项目基本情况!B11="自然人","——",IF(D33="按租金收入计税",ROUND(C5*F33,2),IF(D33="按房产原值计税",ROUND(C29*F33*0.7,2),INDIRECT("'数据-取费表'!Aj"&amp;$G$1))))</f>
        <v>70.680000000000007</v>
      </c>
      <c r="D33" s="1824" t="s">
        <v>3100</v>
      </c>
      <c r="E33" s="347" t="s">
        <v>1423</v>
      </c>
      <c r="F33" s="367">
        <f>IF(D33="按票据","——",IF(D33="按租金收入计税",'数据-取费表'!B51,'数据-取费表'!B50))</f>
        <v>0.12</v>
      </c>
      <c r="G33" s="1847"/>
      <c r="H33" s="1855"/>
      <c r="I33" s="1856"/>
      <c r="J33" s="1857"/>
      <c r="K33" s="1858"/>
      <c r="L33" s="1855"/>
      <c r="M33" s="1855"/>
    </row>
    <row r="34" spans="1:18" ht="18" customHeight="1">
      <c r="A34" s="1287" t="s">
        <v>1389</v>
      </c>
      <c r="B34" s="164" t="s">
        <v>1442</v>
      </c>
      <c r="C34" s="25">
        <f ca="1">IF(项目基本情况!B11="自然人","——",ROUND(F34*F35/10000,2))</f>
        <v>0.31</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174.99</v>
      </c>
      <c r="G35" s="1847"/>
      <c r="H35" s="743"/>
      <c r="I35" s="1856"/>
      <c r="J35" s="1857"/>
      <c r="K35" s="1858"/>
      <c r="L35" s="1855"/>
      <c r="M35" s="1855"/>
    </row>
    <row r="36" spans="1:18" ht="18" customHeight="1">
      <c r="A36" s="1348" t="s">
        <v>1039</v>
      </c>
      <c r="B36" s="347" t="s">
        <v>1450</v>
      </c>
      <c r="C36" s="24">
        <f ca="1">ROUND(C29*F36,1)</f>
        <v>14.7</v>
      </c>
      <c r="D36" s="2935" t="s">
        <v>1483</v>
      </c>
      <c r="E36" s="347" t="s">
        <v>1423</v>
      </c>
      <c r="F36" s="374">
        <f ca="1">INDIRECT("'数据-取费表'!Ak"&amp;$G$1)</f>
        <v>1.4999999999999999E-2</v>
      </c>
      <c r="G36" s="1847"/>
      <c r="H36" s="1855"/>
      <c r="I36" s="1856"/>
      <c r="J36" s="1857"/>
      <c r="K36" s="749"/>
      <c r="L36" s="1855"/>
      <c r="M36" s="1855"/>
    </row>
    <row r="37" spans="1:18" ht="18" customHeight="1">
      <c r="A37" s="1197" t="s">
        <v>1075</v>
      </c>
      <c r="B37" s="347" t="s">
        <v>1454</v>
      </c>
      <c r="C37" s="24">
        <f ca="1">ROUND(C13*F37,1)</f>
        <v>1.3</v>
      </c>
      <c r="D37" s="2935" t="s">
        <v>1455</v>
      </c>
      <c r="E37" s="347" t="s">
        <v>1423</v>
      </c>
      <c r="F37" s="376">
        <f ca="1">INDIRECT("'数据-取费表'!Al"&amp;$G$1)</f>
        <v>1.5E-3</v>
      </c>
      <c r="G37" s="1847"/>
      <c r="H37" s="1855"/>
      <c r="I37" s="1856"/>
      <c r="J37" s="1857"/>
      <c r="K37" s="749"/>
      <c r="L37" s="1855"/>
      <c r="M37" s="1855"/>
    </row>
    <row r="38" spans="1:18" ht="18" customHeight="1" thickBot="1">
      <c r="A38" s="1335" t="s">
        <v>1392</v>
      </c>
      <c r="B38" s="1336" t="s">
        <v>1440</v>
      </c>
      <c r="C38" s="1337">
        <f ca="1">ROUND(C5*F38,1)</f>
        <v>5.9</v>
      </c>
      <c r="D38" s="1338" t="s">
        <v>1460</v>
      </c>
      <c r="E38" s="1336" t="s">
        <v>1423</v>
      </c>
      <c r="F38" s="1332">
        <f ca="1">INDIRECT("'数据-取费表'!Am"&amp;$G$1)</f>
        <v>0.01</v>
      </c>
      <c r="G38" s="1847"/>
      <c r="H38" s="1855"/>
      <c r="I38" s="1856"/>
      <c r="J38" s="1857"/>
      <c r="K38" s="1861"/>
      <c r="L38" s="1855"/>
      <c r="M38" s="1855"/>
    </row>
    <row r="39" spans="1:18" ht="24.6" customHeight="1" thickTop="1">
      <c r="A39" s="1325" t="s">
        <v>1031</v>
      </c>
      <c r="B39" s="1340" t="s">
        <v>1464</v>
      </c>
      <c r="C39" s="355">
        <f ca="1">C5-C30</f>
        <v>465</v>
      </c>
      <c r="D39" s="1341" t="s">
        <v>1465</v>
      </c>
      <c r="E39" s="1342"/>
      <c r="F39" s="1343"/>
      <c r="G39" s="1847"/>
      <c r="H39" s="1855"/>
      <c r="I39" s="1856"/>
      <c r="J39" s="1857"/>
      <c r="K39" s="1861"/>
      <c r="L39" s="1855"/>
      <c r="M39" s="1855"/>
    </row>
    <row r="40" spans="1:18" ht="18" customHeight="1">
      <c r="A40" s="344" t="s">
        <v>1032</v>
      </c>
      <c r="B40" s="345" t="s">
        <v>1486</v>
      </c>
      <c r="C40" s="346">
        <f ca="1">ROUND(C39*(1-((1+F42)/(1+F40))^F41)/(F40-F42),0)</f>
        <v>9773</v>
      </c>
      <c r="D40" s="370" t="s">
        <v>1470</v>
      </c>
      <c r="E40" s="347" t="s">
        <v>1471</v>
      </c>
      <c r="F40" s="357">
        <f ca="1">INDIRECT("'数据-取费表'!I"&amp;$G$1)</f>
        <v>0.06</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31.23</v>
      </c>
      <c r="G41" s="1847"/>
      <c r="H41" s="730"/>
      <c r="I41" s="1856"/>
      <c r="J41" s="1857"/>
      <c r="K41" s="749"/>
      <c r="L41" s="730"/>
      <c r="M41" s="730"/>
    </row>
    <row r="42" spans="1:18" ht="18" customHeight="1">
      <c r="A42" s="353"/>
      <c r="B42" s="354"/>
      <c r="C42" s="355"/>
      <c r="D42" s="373"/>
      <c r="E42" s="347" t="s">
        <v>1478</v>
      </c>
      <c r="F42" s="357">
        <f ca="1">INDIRECT("'数据-取费表'!v"&amp;$G$1)</f>
        <v>3.5000000000000003E-2</v>
      </c>
      <c r="G42" s="1847"/>
      <c r="H42" s="730"/>
      <c r="I42" s="1856"/>
      <c r="J42" s="1857"/>
      <c r="K42" s="749"/>
      <c r="L42" s="730"/>
      <c r="M42" s="730"/>
    </row>
    <row r="43" spans="1:18" ht="18" customHeight="1" thickBot="1">
      <c r="A43" s="380" t="s">
        <v>1033</v>
      </c>
      <c r="B43" s="381" t="s">
        <v>1488</v>
      </c>
      <c r="C43" s="382">
        <f ca="1">ROUND(C40*10000/F43,0)</f>
        <v>46443</v>
      </c>
      <c r="D43" s="383" t="s">
        <v>1489</v>
      </c>
      <c r="E43" s="384" t="s">
        <v>1490</v>
      </c>
      <c r="F43" s="385">
        <f ca="1">INDIRECT("'数据-取费表'!k"&amp;$G$1)</f>
        <v>2104.29</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1520</v>
      </c>
      <c r="P45" s="1835"/>
      <c r="Q45" s="1835"/>
      <c r="R45" s="1835"/>
    </row>
    <row r="46" spans="1:18" s="1838" customFormat="1" ht="13.5" thickBot="1">
      <c r="A46" s="1866" t="s">
        <v>1521</v>
      </c>
      <c r="C46" s="1867">
        <f ca="1">C68-C40</f>
        <v>-11156</v>
      </c>
      <c r="D46" s="1868" t="str">
        <f>C2</f>
        <v>万元</v>
      </c>
      <c r="E46" s="1862"/>
      <c r="F46" s="1862"/>
      <c r="I46" s="1869" t="s">
        <v>1522</v>
      </c>
      <c r="J46" s="1870"/>
      <c r="K46" s="1871"/>
      <c r="L46" s="1872">
        <f ca="1">IF(M47="住宅",0,IF(L48&gt;J51,L60,J60))</f>
        <v>27</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0"/>
      <c r="I47" s="1876" t="s">
        <v>1527</v>
      </c>
      <c r="J47" s="1877" t="s">
        <v>3064</v>
      </c>
      <c r="K47" s="1878" t="s">
        <v>1528</v>
      </c>
      <c r="L47" s="1879">
        <f ca="1">INDIRECT("'数据-取费表'!d"&amp;$G$1)</f>
        <v>40</v>
      </c>
      <c r="M47" s="1834" t="str">
        <f>IF(ISNUMBER(FIND("住宅",C1)),"住宅","非住宅")</f>
        <v>非住宅</v>
      </c>
      <c r="O47" s="1880" t="s">
        <v>1040</v>
      </c>
      <c r="P47" s="1881" t="s">
        <v>1529</v>
      </c>
      <c r="Q47" s="1882">
        <f ca="1">C40+J29</f>
        <v>9773</v>
      </c>
      <c r="R47" s="1882" t="s">
        <v>1530</v>
      </c>
    </row>
    <row r="48" spans="1:18" s="1838" customFormat="1" ht="28.5" thickBot="1">
      <c r="A48" s="1356" t="s">
        <v>1135</v>
      </c>
      <c r="B48" s="345" t="s">
        <v>1401</v>
      </c>
      <c r="C48" s="2939">
        <f ca="1">C49+C53+C55</f>
        <v>0</v>
      </c>
      <c r="D48" s="1358"/>
      <c r="E48" s="1359"/>
      <c r="F48" s="1177"/>
      <c r="G48" s="790"/>
      <c r="H48" s="791"/>
      <c r="I48" s="1883" t="s">
        <v>1531</v>
      </c>
      <c r="J48" s="1884" t="s">
        <v>3065</v>
      </c>
      <c r="K48" s="1885" t="s">
        <v>1532</v>
      </c>
      <c r="L48" s="1886">
        <f ca="1">INDIRECT("'数据-取费表'!f"&amp;$G$1)</f>
        <v>31.23</v>
      </c>
      <c r="O48" s="1880" t="s">
        <v>1041</v>
      </c>
      <c r="P48" s="1881" t="s">
        <v>1533</v>
      </c>
      <c r="Q48" s="1882">
        <f ca="1">J60</f>
        <v>27</v>
      </c>
      <c r="R48" s="1882" t="s">
        <v>1534</v>
      </c>
    </row>
    <row r="49" spans="1:18" s="1838" customFormat="1" ht="13.5" thickBot="1">
      <c r="A49" s="1190" t="s">
        <v>1136</v>
      </c>
      <c r="B49" s="1825" t="s">
        <v>1491</v>
      </c>
      <c r="C49" s="1360">
        <f ca="1">ROUND(F49*F51*F50*(1-F52)/10000,0)</f>
        <v>0</v>
      </c>
      <c r="D49" s="1272" t="s">
        <v>3021</v>
      </c>
      <c r="E49" s="1826" t="s">
        <v>1492</v>
      </c>
      <c r="F49" s="1277"/>
      <c r="G49" s="1887"/>
      <c r="H49" s="791"/>
      <c r="I49" s="1883" t="s">
        <v>1535</v>
      </c>
      <c r="J49" s="1888">
        <v>2012</v>
      </c>
      <c r="K49" s="1885" t="s">
        <v>1536</v>
      </c>
      <c r="L49" s="1889"/>
      <c r="O49" s="1890" t="s">
        <v>1042</v>
      </c>
      <c r="P49" s="1881" t="s">
        <v>1537</v>
      </c>
      <c r="Q49" s="1882">
        <f ca="1">C29</f>
        <v>981</v>
      </c>
      <c r="R49" s="1882" t="s">
        <v>1530</v>
      </c>
    </row>
    <row r="50" spans="1:18" s="1838" customFormat="1" ht="13.5" thickBot="1">
      <c r="A50" s="1191"/>
      <c r="B50" s="1194"/>
      <c r="C50" s="1364"/>
      <c r="D50" s="1168"/>
      <c r="E50" s="1273" t="s">
        <v>1406</v>
      </c>
      <c r="F50" s="1274">
        <f ca="1">F7</f>
        <v>2104.29</v>
      </c>
      <c r="H50" s="791"/>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8">
        <f ca="1">F8</f>
        <v>365</v>
      </c>
      <c r="I51" s="1894" t="s">
        <v>1541</v>
      </c>
      <c r="J51" s="1895">
        <f>IF(J49="",J50,J49+J50-YEAR('数据-取费表'!B2))</f>
        <v>54</v>
      </c>
      <c r="K51" s="1896" t="s">
        <v>1542</v>
      </c>
      <c r="L51" s="1897">
        <f ca="1">ROUND(-PV(INDIRECT("'数据-取费表'!h"&amp;$G$1),L48,(C39-C13*C76),0),0)</f>
        <v>6100</v>
      </c>
      <c r="M51" s="1898"/>
      <c r="O51" s="1890" t="s">
        <v>1044</v>
      </c>
      <c r="P51" s="1881" t="s">
        <v>1543</v>
      </c>
      <c r="Q51" s="1893">
        <f>J52</f>
        <v>0.09</v>
      </c>
      <c r="R51" s="1882"/>
    </row>
    <row r="52" spans="1:18" s="1838" customFormat="1" ht="13.5" thickBot="1">
      <c r="A52" s="1192"/>
      <c r="B52" s="1194"/>
      <c r="C52" s="1195"/>
      <c r="D52" s="1168"/>
      <c r="E52" s="1196" t="s">
        <v>1408</v>
      </c>
      <c r="F52" s="1271"/>
      <c r="I52" s="1899" t="s">
        <v>1544</v>
      </c>
      <c r="J52" s="1900">
        <v>0.09</v>
      </c>
      <c r="K52" s="1899" t="s">
        <v>1545</v>
      </c>
      <c r="L52" s="1900"/>
      <c r="O52" s="1890" t="s">
        <v>1045</v>
      </c>
      <c r="P52" s="1881" t="s">
        <v>1546</v>
      </c>
      <c r="Q52" s="1882">
        <f ca="1">J53</f>
        <v>31.23</v>
      </c>
      <c r="R52" s="1882" t="s">
        <v>1547</v>
      </c>
    </row>
    <row r="53" spans="1:18" s="1838" customFormat="1" ht="24.75" thickBot="1">
      <c r="A53" s="1401" t="s">
        <v>1137</v>
      </c>
      <c r="B53" s="1827" t="s">
        <v>1409</v>
      </c>
      <c r="C53" s="361">
        <f ca="1">ROUND(IF(F53="押一",F49*F51*F50/12*F11,IF(F53="押二",F49*F51*F50/12*2*F11,IF(F53="押三",F49*F51*F50/12*3*F11,C54*F11)))/10000,0)</f>
        <v>0</v>
      </c>
      <c r="D53" s="1820" t="s">
        <v>3018</v>
      </c>
      <c r="E53" s="358" t="s">
        <v>1411</v>
      </c>
      <c r="F53" s="1362"/>
      <c r="I53" s="1901" t="s">
        <v>1548</v>
      </c>
      <c r="J53" s="1902">
        <f ca="1">IF(M47="住宅",J51,IF(D1="——",MIN(J51,L48),IF(D1="在建（套用方法）",MIN(J51,L48-'数据-取费表'!B24),IF(D1="土地（套用方法）",MIN(J51,L48-'数据-取费表'!B20)))))</f>
        <v>31.23</v>
      </c>
      <c r="K53" s="3334" t="s">
        <v>1549</v>
      </c>
      <c r="L53" s="3335"/>
      <c r="O53" s="1880" t="s">
        <v>1046</v>
      </c>
      <c r="P53" s="1881" t="s">
        <v>1550</v>
      </c>
      <c r="Q53" s="1882">
        <f ca="1">Q47+Q48</f>
        <v>9800</v>
      </c>
      <c r="R53" s="1882" t="s">
        <v>1047</v>
      </c>
    </row>
    <row r="54" spans="1:18" s="1838" customFormat="1" ht="13.5" thickBot="1">
      <c r="A54" s="1402"/>
      <c r="B54" s="1821" t="s">
        <v>1388</v>
      </c>
      <c r="C54" s="1174"/>
      <c r="D54" s="1820"/>
      <c r="E54" s="293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38"/>
      <c r="F55" s="1903"/>
      <c r="I55" s="1906" t="s">
        <v>1552</v>
      </c>
      <c r="J55" s="1907">
        <f ca="1">ROUND(IF(J47="钢混",J57/J50,1-(1-2%)*(J50-J57)/J50),3)</f>
        <v>0.38</v>
      </c>
      <c r="K55" s="1908" t="s">
        <v>1553</v>
      </c>
      <c r="L55" s="1909" t="s">
        <v>1554</v>
      </c>
      <c r="O55" s="1873" t="s">
        <v>1523</v>
      </c>
      <c r="P55" s="1874" t="s">
        <v>1524</v>
      </c>
      <c r="Q55" s="1875" t="s">
        <v>1525</v>
      </c>
      <c r="R55" s="1875" t="s">
        <v>1526</v>
      </c>
    </row>
    <row r="56" spans="1:18" s="1838" customFormat="1" ht="25.5" thickTop="1" thickBot="1">
      <c r="A56" s="1172">
        <v>2</v>
      </c>
      <c r="B56" s="1173" t="s">
        <v>1415</v>
      </c>
      <c r="C56" s="276">
        <f ca="1">C13</f>
        <v>883</v>
      </c>
      <c r="D56" s="1910"/>
      <c r="E56" s="1911"/>
      <c r="F56" s="1903"/>
      <c r="I56" s="1912" t="s">
        <v>1555</v>
      </c>
      <c r="J56" s="1913" t="s">
        <v>3041</v>
      </c>
      <c r="K56" s="1883" t="s">
        <v>1556</v>
      </c>
      <c r="L56" s="1886" t="str">
        <f ca="1">IF(L48&lt;J51,"——",L48-J53)</f>
        <v>——</v>
      </c>
      <c r="O56" s="1880" t="s">
        <v>1040</v>
      </c>
      <c r="P56" s="1881" t="s">
        <v>1529</v>
      </c>
      <c r="Q56" s="1882">
        <f ca="1">C40+J29</f>
        <v>9773</v>
      </c>
      <c r="R56" s="1882" t="s">
        <v>1530</v>
      </c>
    </row>
    <row r="57" spans="1:18" s="1838" customFormat="1" ht="24.75" thickBot="1">
      <c r="A57" s="1914"/>
      <c r="B57" s="1165" t="s">
        <v>1479</v>
      </c>
      <c r="C57" s="282">
        <f ca="1">C29</f>
        <v>981</v>
      </c>
      <c r="D57" s="1915"/>
      <c r="E57" s="1916"/>
      <c r="F57" s="1917"/>
      <c r="I57" s="1918" t="s">
        <v>1557</v>
      </c>
      <c r="J57" s="1919">
        <f ca="1">IF(OR(M47="住宅",J51&lt;L48,J56="是"),"——",J51-L48)</f>
        <v>22.77</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3" t="s">
        <v>1425</v>
      </c>
      <c r="C58" s="361">
        <f ca="1">ROUND(C59+C64+C65+C66,0)</f>
        <v>99</v>
      </c>
      <c r="D58" s="1175" t="s">
        <v>1426</v>
      </c>
      <c r="E58" s="1176"/>
      <c r="F58" s="1177"/>
      <c r="I58" s="1918" t="s">
        <v>1561</v>
      </c>
      <c r="J58" s="1920">
        <f ca="1">IF(J55&lt;0.4,0.4,J55)</f>
        <v>0.4</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82.7</v>
      </c>
      <c r="D59" s="1178" t="s">
        <v>1431</v>
      </c>
      <c r="E59" s="1179" t="s">
        <v>1432</v>
      </c>
      <c r="F59" s="368" t="str">
        <f ca="1">IF(项目基本情况!B11="企业","",IF(INDIRECT("'数据-取费表'!c"&amp;$G$1)="住宅",5%,IF(F49*F50*F51/12/(1+'数据-取费表'!C42)&gt;20000,12%,7%)))</f>
        <v/>
      </c>
      <c r="I59" s="1918" t="s">
        <v>1564</v>
      </c>
      <c r="J59" s="1919">
        <f ca="1">IF(OR(M47="住宅",J51&lt;L48,J56="是"),"——",ROUND(C29*J58,0))</f>
        <v>392</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7">
        <f t="shared" ref="F60:F66" si="0">F32</f>
        <v>5.6000000000000001E-2</v>
      </c>
      <c r="I60" s="1921" t="s">
        <v>1566</v>
      </c>
      <c r="J60" s="1922">
        <f ca="1">IF(OR(M47="住宅",J51&lt;L48,J56="是"),"0",ROUND(J59/(1+J52)^J53,0))</f>
        <v>27</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1438</v>
      </c>
      <c r="C61" s="24">
        <f ca="1">IF(项目基本情况!B11="自然人","——",IF(D61="按租金收入计税",ROUND(C48*F61,2),IF(D61="按房产原值计税",ROUND(C57*F61*0.7,2),INDIRECT("'数据-取费表'!Aj"&amp;$G$1))))</f>
        <v>82.4</v>
      </c>
      <c r="D61" s="1824" t="s">
        <v>1439</v>
      </c>
      <c r="E61" s="1165"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7" t="s">
        <v>1496</v>
      </c>
      <c r="B62" s="1164" t="s">
        <v>1442</v>
      </c>
      <c r="C62" s="25">
        <f ca="1">IF(项目基本情况!B11="自然人","——",ROUND(F62*F63/10000,2))</f>
        <v>0.31</v>
      </c>
      <c r="D62" s="1180" t="s">
        <v>1443</v>
      </c>
      <c r="E62" s="1165" t="s">
        <v>1444</v>
      </c>
      <c r="F62" s="371">
        <f t="shared" si="0"/>
        <v>18</v>
      </c>
      <c r="I62" s="1925" t="s">
        <v>1571</v>
      </c>
      <c r="J62" s="1926" t="s">
        <v>1572</v>
      </c>
      <c r="K62" s="1926" t="s">
        <v>1573</v>
      </c>
      <c r="L62" s="1926" t="s">
        <v>1574</v>
      </c>
      <c r="M62" s="1927" t="s">
        <v>1575</v>
      </c>
      <c r="O62" s="1880" t="s">
        <v>1046</v>
      </c>
      <c r="P62" s="1881" t="s">
        <v>1550</v>
      </c>
      <c r="Q62" s="1882">
        <f ca="1">Q56+Q57</f>
        <v>9773</v>
      </c>
      <c r="R62" s="1882" t="s">
        <v>1047</v>
      </c>
    </row>
    <row r="63" spans="1:18" s="1838" customFormat="1" ht="13.5" thickBot="1">
      <c r="A63" s="372"/>
      <c r="B63" s="1171"/>
      <c r="C63" s="29"/>
      <c r="D63" s="1181"/>
      <c r="E63" s="1165" t="s">
        <v>1448</v>
      </c>
      <c r="F63" s="348">
        <f t="shared" ca="1" si="0"/>
        <v>174.99</v>
      </c>
      <c r="I63" s="1925" t="s">
        <v>1577</v>
      </c>
      <c r="J63" s="1926">
        <v>70</v>
      </c>
      <c r="K63" s="1926">
        <v>50</v>
      </c>
      <c r="L63" s="1926">
        <v>80</v>
      </c>
      <c r="M63" s="1928">
        <v>0.02</v>
      </c>
      <c r="O63" s="1865" t="s">
        <v>1578</v>
      </c>
      <c r="P63" s="1835"/>
      <c r="Q63" s="1835"/>
      <c r="R63" s="1835"/>
    </row>
    <row r="64" spans="1:18" s="1838" customFormat="1" ht="13.5" thickBot="1">
      <c r="A64" s="1197" t="s">
        <v>1039</v>
      </c>
      <c r="B64" s="1165" t="s">
        <v>1450</v>
      </c>
      <c r="C64" s="24">
        <f ca="1">ROUND(C57*F64,1)</f>
        <v>14.7</v>
      </c>
      <c r="D64" s="1179" t="s">
        <v>1483</v>
      </c>
      <c r="E64" s="1165" t="s">
        <v>1423</v>
      </c>
      <c r="F64" s="374">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1.3</v>
      </c>
      <c r="D65" s="1179" t="s">
        <v>1455</v>
      </c>
      <c r="E65" s="1165" t="s">
        <v>1423</v>
      </c>
      <c r="F65" s="376">
        <f t="shared" ca="1" si="0"/>
        <v>1.5E-3</v>
      </c>
      <c r="I65" s="1925" t="s">
        <v>1580</v>
      </c>
      <c r="J65" s="1926">
        <v>40</v>
      </c>
      <c r="K65" s="1926">
        <v>30</v>
      </c>
      <c r="L65" s="1926">
        <v>50</v>
      </c>
      <c r="M65" s="1928">
        <v>0.02</v>
      </c>
      <c r="O65" s="1880" t="s">
        <v>1040</v>
      </c>
      <c r="P65" s="1881" t="s">
        <v>1529</v>
      </c>
      <c r="Q65" s="1882">
        <f ca="1">C40+J29</f>
        <v>9773</v>
      </c>
      <c r="R65" s="1882" t="s">
        <v>1530</v>
      </c>
    </row>
    <row r="66" spans="1:18" s="1838" customFormat="1" ht="16.5" thickBot="1">
      <c r="A66" s="1197" t="s">
        <v>1505</v>
      </c>
      <c r="B66" s="1165" t="s">
        <v>1440</v>
      </c>
      <c r="C66" s="24">
        <f ca="1">ROUND(C48*F66,1)</f>
        <v>0</v>
      </c>
      <c r="D66" s="1179" t="s">
        <v>1460</v>
      </c>
      <c r="E66" s="1165" t="s">
        <v>1423</v>
      </c>
      <c r="F66" s="357">
        <f t="shared" ca="1" si="0"/>
        <v>0.01</v>
      </c>
      <c r="O66" s="1880" t="s">
        <v>1041</v>
      </c>
      <c r="P66" s="1881" t="s">
        <v>1559</v>
      </c>
      <c r="Q66" s="1882">
        <f ca="1">L60</f>
        <v>0</v>
      </c>
      <c r="R66" s="1882" t="s">
        <v>1582</v>
      </c>
    </row>
    <row r="67" spans="1:18" s="1838" customFormat="1" ht="16.5" thickBot="1">
      <c r="A67" s="1172" t="s">
        <v>1031</v>
      </c>
      <c r="B67" s="1182" t="s">
        <v>1464</v>
      </c>
      <c r="C67" s="361">
        <f ca="1">C48-C58</f>
        <v>-99</v>
      </c>
      <c r="D67" s="1178" t="s">
        <v>1465</v>
      </c>
      <c r="E67" s="1183"/>
      <c r="F67" s="1184"/>
      <c r="O67" s="1890" t="s">
        <v>1042</v>
      </c>
      <c r="P67" s="1881" t="s">
        <v>1563</v>
      </c>
      <c r="Q67" s="1929">
        <f ca="1">L51</f>
        <v>6100</v>
      </c>
      <c r="R67" s="1882" t="s">
        <v>1583</v>
      </c>
    </row>
    <row r="68" spans="1:18" s="1838" customFormat="1" ht="16.5" thickBot="1">
      <c r="A68" s="1162" t="s">
        <v>1032</v>
      </c>
      <c r="B68" s="1163" t="s">
        <v>1486</v>
      </c>
      <c r="C68" s="346">
        <f ca="1">ROUND(C67*(1-((1+F70)/(1+F68))^F69)/(F68-F70),0)</f>
        <v>-1383</v>
      </c>
      <c r="D68" s="1180" t="s">
        <v>1470</v>
      </c>
      <c r="E68" s="1165" t="s">
        <v>1471</v>
      </c>
      <c r="F68" s="357">
        <f ca="1">F40</f>
        <v>0.06</v>
      </c>
      <c r="O68" s="1890" t="s">
        <v>1043</v>
      </c>
      <c r="P68" s="1930" t="s">
        <v>1584</v>
      </c>
      <c r="Q68" s="1882">
        <f ca="1">ROUND(Q69-Q70*Q71,0)</f>
        <v>390</v>
      </c>
      <c r="R68" s="1882" t="s">
        <v>1051</v>
      </c>
    </row>
    <row r="69" spans="1:18" s="1838" customFormat="1" ht="13.5" thickBot="1">
      <c r="A69" s="1166"/>
      <c r="B69" s="1167"/>
      <c r="C69" s="351"/>
      <c r="D69" s="1185" t="s">
        <v>1474</v>
      </c>
      <c r="E69" s="1165" t="s">
        <v>1475</v>
      </c>
      <c r="F69" s="379">
        <f ca="1">F41</f>
        <v>31.23</v>
      </c>
      <c r="O69" s="1890" t="s">
        <v>1048</v>
      </c>
      <c r="P69" s="1930" t="s">
        <v>1585</v>
      </c>
      <c r="Q69" s="1882">
        <f ca="1">C39</f>
        <v>465</v>
      </c>
      <c r="R69" s="1882" t="s">
        <v>1530</v>
      </c>
    </row>
    <row r="70" spans="1:18" s="1838" customFormat="1" ht="13.5" thickBot="1">
      <c r="A70" s="1169"/>
      <c r="B70" s="1170"/>
      <c r="C70" s="355"/>
      <c r="D70" s="1181"/>
      <c r="E70" s="1165" t="s">
        <v>1478</v>
      </c>
      <c r="F70" s="1271"/>
      <c r="O70" s="1890" t="s">
        <v>1049</v>
      </c>
      <c r="P70" s="1930" t="s">
        <v>1586</v>
      </c>
      <c r="Q70" s="1882">
        <f ca="1">C13</f>
        <v>883</v>
      </c>
      <c r="R70" s="1882" t="s">
        <v>1530</v>
      </c>
    </row>
    <row r="71" spans="1:18" s="1838" customFormat="1" ht="13.5" thickBot="1">
      <c r="A71" s="1186" t="s">
        <v>1033</v>
      </c>
      <c r="B71" s="1187" t="s">
        <v>1488</v>
      </c>
      <c r="C71" s="382">
        <f ca="1">ROUND(C68*10000/F71,0)</f>
        <v>-6572</v>
      </c>
      <c r="D71" s="1188" t="s">
        <v>1489</v>
      </c>
      <c r="E71" s="1189" t="s">
        <v>1490</v>
      </c>
      <c r="F71" s="385">
        <f ca="1">F43</f>
        <v>2104.29</v>
      </c>
      <c r="O71" s="1890" t="s">
        <v>1050</v>
      </c>
      <c r="P71" s="1930" t="s">
        <v>1587</v>
      </c>
      <c r="Q71" s="1893">
        <f ca="1">C76</f>
        <v>8.5000000000000006E-2</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75</v>
      </c>
      <c r="D75" s="1838"/>
      <c r="E75" s="1838"/>
      <c r="F75" s="1838"/>
      <c r="K75" s="1864"/>
      <c r="L75" s="1838"/>
      <c r="O75" s="1880" t="s">
        <v>1046</v>
      </c>
      <c r="P75" s="1881" t="s">
        <v>1550</v>
      </c>
      <c r="Q75" s="1882">
        <f ca="1">Q65+Q66</f>
        <v>9773</v>
      </c>
      <c r="R75" s="1882" t="s">
        <v>1047</v>
      </c>
    </row>
    <row r="76" spans="1:18">
      <c r="B76" s="388" t="s">
        <v>1508</v>
      </c>
      <c r="C76" s="389">
        <f ca="1">INDIRECT("'数据-取费表'!j"&amp;$G$1)</f>
        <v>8.5000000000000006E-2</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0.83899999999999997</v>
      </c>
    </row>
    <row r="80" spans="1:18">
      <c r="B80" s="386" t="s">
        <v>1512</v>
      </c>
      <c r="C80" s="318">
        <f ca="1">ROUND(C75/C39,3)</f>
        <v>0.161</v>
      </c>
    </row>
    <row r="81" spans="2:3">
      <c r="B81" s="314" t="s">
        <v>1513</v>
      </c>
      <c r="C81" s="282"/>
    </row>
    <row r="82" spans="2:3">
      <c r="B82" s="317" t="s">
        <v>1514</v>
      </c>
      <c r="C82" s="319">
        <f ca="1">1-C83</f>
        <v>0.91</v>
      </c>
    </row>
    <row r="83" spans="2:3">
      <c r="B83" s="317" t="s">
        <v>1515</v>
      </c>
      <c r="C83" s="318">
        <f ca="1">ROUND(C13/C40,3)</f>
        <v>0.09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4" priority="4">
      <formula>$L$48&gt;$J$51</formula>
    </cfRule>
  </conditionalFormatting>
  <conditionalFormatting sqref="I55 I60">
    <cfRule type="expression" dxfId="83" priority="5">
      <formula>$J$51&gt;$L$48</formula>
    </cfRule>
  </conditionalFormatting>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4">
    <cfRule type="expression" dxfId="8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90" zoomScaleNormal="90" zoomScaleSheetLayoutView="90" zoomScalePageLayoutView="90" workbookViewId="0">
      <selection activeCell="D15" sqref="D15"/>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t="s">
        <v>3062</v>
      </c>
      <c r="D1" s="1816" t="s">
        <v>70</v>
      </c>
      <c r="E1" s="1817" t="s">
        <v>1387</v>
      </c>
      <c r="F1" s="1279">
        <f ca="1">J53</f>
        <v>41.23</v>
      </c>
      <c r="G1" s="1832">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1516</v>
      </c>
      <c r="B2" s="1840">
        <f ca="1">C40+J29+L46</f>
        <v>361</v>
      </c>
      <c r="C2" s="1841" t="s">
        <v>1517</v>
      </c>
      <c r="D2" s="1841"/>
      <c r="E2" s="1842"/>
      <c r="F2" s="1843"/>
      <c r="G2" s="1844"/>
      <c r="H2" s="1836"/>
      <c r="I2" s="1836"/>
      <c r="J2" s="1836"/>
      <c r="K2" s="1837"/>
      <c r="L2" s="1836"/>
      <c r="M2" s="1836"/>
    </row>
    <row r="3" spans="1:37" ht="18" customHeight="1" thickBot="1">
      <c r="A3" s="1845" t="s">
        <v>1518</v>
      </c>
      <c r="B3" s="1846">
        <f ca="1">IF(ISERROR(B2*10000/F43),0,ROUND(B2*10000/F43,0))</f>
        <v>3641</v>
      </c>
      <c r="C3" s="1841" t="s">
        <v>1519</v>
      </c>
      <c r="D3" s="1841"/>
      <c r="E3" s="1842"/>
      <c r="F3" s="1843"/>
      <c r="G3" s="1844"/>
      <c r="H3" s="742" t="s">
        <v>1589</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20</v>
      </c>
      <c r="D5" s="1818" t="s">
        <v>1402</v>
      </c>
      <c r="E5" s="1289"/>
      <c r="F5" s="1290"/>
      <c r="G5" s="1847"/>
      <c r="H5" s="344">
        <v>1</v>
      </c>
      <c r="I5" s="345" t="s">
        <v>1401</v>
      </c>
      <c r="J5" s="1288">
        <f ca="1">J6+J10+J12</f>
        <v>0</v>
      </c>
      <c r="K5" s="1818" t="s">
        <v>1402</v>
      </c>
      <c r="L5" s="1289"/>
      <c r="M5" s="1290"/>
    </row>
    <row r="6" spans="1:37" ht="18" customHeight="1">
      <c r="A6" s="1287" t="s">
        <v>1035</v>
      </c>
      <c r="B6" s="3336" t="s">
        <v>1403</v>
      </c>
      <c r="C6" s="1292">
        <f ca="1">ROUND(F6*F8*F7*(1-F9)/10000,0)</f>
        <v>20</v>
      </c>
      <c r="D6" s="164" t="s">
        <v>3022</v>
      </c>
      <c r="E6" s="347" t="s">
        <v>1405</v>
      </c>
      <c r="F6" s="348">
        <f ca="1">INDIRECT("'数据-取费表'!u"&amp;$G$1)</f>
        <v>800</v>
      </c>
      <c r="G6" s="1847"/>
      <c r="H6" s="1287" t="s">
        <v>1035</v>
      </c>
      <c r="I6" s="3336" t="s">
        <v>1403</v>
      </c>
      <c r="J6" s="346">
        <f ca="1">ROUND(M6*M8*M7*(1-M9)/10000,0)</f>
        <v>0</v>
      </c>
      <c r="K6" s="164" t="s">
        <v>3021</v>
      </c>
      <c r="L6" s="347" t="s">
        <v>1405</v>
      </c>
      <c r="M6" s="348">
        <f ca="1">INDIRECT("'数据-取费表'!z"&amp;$G$1)</f>
        <v>0</v>
      </c>
    </row>
    <row r="7" spans="1:37" ht="18" customHeight="1">
      <c r="A7" s="1291"/>
      <c r="B7" s="3337"/>
      <c r="C7" s="1293"/>
      <c r="D7" s="352"/>
      <c r="E7" s="2942" t="s">
        <v>1406</v>
      </c>
      <c r="F7" s="348">
        <f ca="1">IF(INDIRECT("'数据-取费表'!ah"&amp;$G$1)="",INDIRECT("'数据-取费表'!k"&amp;$G$1),INDIRECT("'数据-取费表'!ah"&amp;$G$1))</f>
        <v>23</v>
      </c>
      <c r="G7" s="1847"/>
      <c r="H7" s="349"/>
      <c r="I7" s="3337"/>
      <c r="J7" s="351"/>
      <c r="K7" s="352"/>
      <c r="L7" s="347" t="s">
        <v>1406</v>
      </c>
      <c r="M7" s="348">
        <f ca="1">F7</f>
        <v>23</v>
      </c>
    </row>
    <row r="8" spans="1:37" ht="18" customHeight="1">
      <c r="A8" s="349"/>
      <c r="B8" s="3337"/>
      <c r="C8" s="351"/>
      <c r="D8" s="352"/>
      <c r="E8" s="347" t="s">
        <v>1407</v>
      </c>
      <c r="F8" s="348">
        <f ca="1">INDIRECT("'数据-取费表'!ai"&amp;$G$1)</f>
        <v>12</v>
      </c>
      <c r="G8" s="1847"/>
      <c r="H8" s="349"/>
      <c r="I8" s="3337"/>
      <c r="J8" s="351"/>
      <c r="K8" s="352"/>
      <c r="L8" s="347" t="s">
        <v>1407</v>
      </c>
      <c r="M8" s="348">
        <f ca="1">INDIRECT("'数据-取费表'!ai"&amp;$G$1)</f>
        <v>12</v>
      </c>
    </row>
    <row r="9" spans="1:37" ht="18" customHeight="1">
      <c r="A9" s="349"/>
      <c r="B9" s="3338"/>
      <c r="C9" s="351"/>
      <c r="D9" s="352"/>
      <c r="E9" s="347" t="s">
        <v>1408</v>
      </c>
      <c r="F9" s="357">
        <f ca="1">INDIRECT("'数据-取费表'!w"&amp;$G$1)</f>
        <v>0.1</v>
      </c>
      <c r="G9" s="1847"/>
      <c r="H9" s="349"/>
      <c r="I9" s="3338"/>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ROUND(IF(F10="押一",F6*F8*F7/12*F11,IF(F10="押二",F6*F8*F7/12*2*F11,IF(F10="押三",F6*F8*F7/12*3*F11,C11*F11)))/10000,0)</f>
        <v>0</v>
      </c>
      <c r="D10" s="1820" t="s">
        <v>3018</v>
      </c>
      <c r="E10" s="358" t="s">
        <v>1411</v>
      </c>
      <c r="F10" s="1362" t="s">
        <v>3068</v>
      </c>
      <c r="G10" s="1847"/>
      <c r="H10" s="1287" t="s">
        <v>1039</v>
      </c>
      <c r="I10" s="1819" t="s">
        <v>1409</v>
      </c>
      <c r="J10" s="346">
        <f ca="1">ROUND(IF(M10="押一",M6*M8*M7/12*M11,IF(M10="押二",M6*M8*M7/12*2*M11,IF(M10="押三",M6*M8*M7/12*3*M11,J11*M11)))/10000,0)</f>
        <v>0</v>
      </c>
      <c r="K10" s="1820" t="s">
        <v>3018</v>
      </c>
      <c r="L10" s="358" t="s">
        <v>1411</v>
      </c>
      <c r="M10" s="1362" t="s">
        <v>1412</v>
      </c>
    </row>
    <row r="11" spans="1:37" ht="18" customHeight="1">
      <c r="A11" s="353"/>
      <c r="B11" s="1821" t="s">
        <v>1388</v>
      </c>
      <c r="C11" s="1174"/>
      <c r="D11" s="1822"/>
      <c r="E11" s="358" t="s">
        <v>1413</v>
      </c>
      <c r="F11" s="359">
        <f ca="1">'数据-取费表'!B39</f>
        <v>1.4999999999999999E-2</v>
      </c>
      <c r="G11" s="1847"/>
      <c r="H11" s="1295"/>
      <c r="I11" s="1821" t="s">
        <v>1388</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246</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INDIRECT("'数据-取费表'!m"&amp;$G$1)+INDIRECT("'数据-取费表'!t"&amp;$G$1)</f>
        <v>198</v>
      </c>
      <c r="D14" s="2936" t="s">
        <v>1419</v>
      </c>
      <c r="E14" s="2934"/>
      <c r="F14" s="364"/>
      <c r="G14" s="1847"/>
      <c r="H14" s="1197" t="s">
        <v>1035</v>
      </c>
      <c r="I14" s="347" t="s">
        <v>1420</v>
      </c>
      <c r="J14" s="24">
        <f ca="1">C29</f>
        <v>273</v>
      </c>
      <c r="K14" s="2941"/>
      <c r="L14" s="975"/>
      <c r="M14" s="976"/>
    </row>
    <row r="15" spans="1:37" s="1854" customFormat="1" ht="18" customHeight="1" thickBot="1">
      <c r="A15" s="1197" t="s">
        <v>1036</v>
      </c>
      <c r="B15" s="347" t="s">
        <v>1421</v>
      </c>
      <c r="C15" s="24">
        <f ca="1">ROUND(C14*F15,0)</f>
        <v>6</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ROUND(INDIRECT("'数据-取费表'!m"&amp;$G$1)*F16,0)</f>
        <v>0</v>
      </c>
      <c r="D16" s="347" t="s">
        <v>1422</v>
      </c>
      <c r="E16" s="347" t="s">
        <v>1423</v>
      </c>
      <c r="F16" s="367">
        <f ca="1">IF(INDIRECT("'数据-取费表'!c"&amp;$G$1)="住宅",'数据-取费表'!B34,0)</f>
        <v>0</v>
      </c>
      <c r="G16" s="1847"/>
      <c r="H16" s="1325" t="s">
        <v>1030</v>
      </c>
      <c r="I16" s="1326" t="s">
        <v>1425</v>
      </c>
      <c r="J16" s="355">
        <f ca="1">ROUND(J17+J22+J23+J24,0)</f>
        <v>7</v>
      </c>
      <c r="K16" s="1333" t="s">
        <v>1426</v>
      </c>
      <c r="L16" s="2937"/>
      <c r="M16" s="1290"/>
    </row>
    <row r="17" spans="1:37" s="1854" customFormat="1" ht="18" customHeight="1">
      <c r="A17" s="1197" t="s">
        <v>1390</v>
      </c>
      <c r="B17" s="347" t="s">
        <v>1427</v>
      </c>
      <c r="C17" s="24">
        <f ca="1">ROUND(F17*(F43+INDIRECT("'数据-取费表'!S"&amp;$G$1))/10000,0)</f>
        <v>20</v>
      </c>
      <c r="D17" s="347" t="s">
        <v>1428</v>
      </c>
      <c r="E17" s="347" t="s">
        <v>1429</v>
      </c>
      <c r="F17" s="26">
        <f>'数据-取费表'!B35</f>
        <v>200</v>
      </c>
      <c r="G17" s="1850"/>
      <c r="H17" s="1197" t="s">
        <v>1035</v>
      </c>
      <c r="I17" s="347" t="s">
        <v>1430</v>
      </c>
      <c r="J17" s="24">
        <f ca="1">ROUND(IF(项目基本情况!B11="自然人",J5*M17,J18+J19+J20),1)</f>
        <v>2.4</v>
      </c>
      <c r="K17" s="2936" t="s">
        <v>1431</v>
      </c>
      <c r="L17" s="2935"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3</v>
      </c>
      <c r="D18" s="347" t="s">
        <v>1422</v>
      </c>
      <c r="E18" s="347" t="s">
        <v>1423</v>
      </c>
      <c r="F18" s="367">
        <f>'数据-取费表'!B36</f>
        <v>1.4999999999999999E-2</v>
      </c>
      <c r="G18" s="1850"/>
      <c r="H18" s="1197" t="s">
        <v>1034</v>
      </c>
      <c r="I18" s="347" t="s">
        <v>1434</v>
      </c>
      <c r="J18" s="24">
        <f ca="1">ROUND(J5*M18/(1+'数据-取费表'!C42),2)</f>
        <v>0</v>
      </c>
      <c r="K18" s="2935"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227</v>
      </c>
      <c r="D19" s="140" t="s">
        <v>1437</v>
      </c>
      <c r="E19" s="2940"/>
      <c r="F19" s="26"/>
      <c r="G19" s="1847"/>
      <c r="H19" s="1197" t="s">
        <v>1036</v>
      </c>
      <c r="I19" s="347" t="s">
        <v>1438</v>
      </c>
      <c r="J19" s="24">
        <f ca="1">IF(K19="按租金收入计税",ROUND(J5*M19,2),ROUND(C29*M19*0.7,2))</f>
        <v>2.29</v>
      </c>
      <c r="K19" s="1824" t="s">
        <v>1439</v>
      </c>
      <c r="L19" s="347" t="s">
        <v>1423</v>
      </c>
      <c r="M19" s="367">
        <f>IF(K19="按租金收入计税",'数据-取费表'!B51,'数据-取费表'!B50)</f>
        <v>1.2E-2</v>
      </c>
    </row>
    <row r="20" spans="1:37" s="1854" customFormat="1" ht="18" customHeight="1">
      <c r="A20" s="1197" t="s">
        <v>1039</v>
      </c>
      <c r="B20" s="347" t="s">
        <v>1440</v>
      </c>
      <c r="C20" s="24">
        <f ca="1">ROUND(C19*F20,0)</f>
        <v>5</v>
      </c>
      <c r="D20" s="369" t="s">
        <v>1441</v>
      </c>
      <c r="E20" s="347" t="s">
        <v>1423</v>
      </c>
      <c r="F20" s="367">
        <f>'数据-取费表'!B37</f>
        <v>0.02</v>
      </c>
      <c r="G20" s="1850"/>
      <c r="H20" s="1197" t="s">
        <v>1389</v>
      </c>
      <c r="I20" s="164" t="s">
        <v>1442</v>
      </c>
      <c r="J20" s="25">
        <f ca="1">ROUND(M20*M21/10000,2)</f>
        <v>0.15</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18</v>
      </c>
      <c r="D21" s="369" t="s">
        <v>1446</v>
      </c>
      <c r="E21" s="347" t="s">
        <v>1447</v>
      </c>
      <c r="F21" s="367">
        <f>'数据-取费表'!B38</f>
        <v>0.03</v>
      </c>
      <c r="G21" s="1850"/>
      <c r="H21" s="372"/>
      <c r="I21" s="356"/>
      <c r="J21" s="29"/>
      <c r="K21" s="373"/>
      <c r="L21" s="347" t="s">
        <v>1448</v>
      </c>
      <c r="M21" s="348">
        <f ca="1">INDIRECT("'数据-取费表'!r"&amp;$G$1)</f>
        <v>82.45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2940"/>
      <c r="F22" s="26"/>
      <c r="G22" s="1847"/>
      <c r="H22" s="1197" t="s">
        <v>1039</v>
      </c>
      <c r="I22" s="347" t="s">
        <v>1450</v>
      </c>
      <c r="J22" s="24">
        <f ca="1">ROUND(J14*M22,1)</f>
        <v>4.0999999999999996</v>
      </c>
      <c r="K22" s="2935" t="s">
        <v>1451</v>
      </c>
      <c r="L22" s="347" t="s">
        <v>1423</v>
      </c>
      <c r="M22" s="374">
        <f ca="1">INDIRECT("'数据-取费表'!Ak"&amp;$G$1)</f>
        <v>1.4999999999999999E-2</v>
      </c>
    </row>
    <row r="23" spans="1:37" s="1854" customFormat="1" ht="18" customHeight="1">
      <c r="A23" s="1197" t="s">
        <v>1034</v>
      </c>
      <c r="B23" s="347" t="s">
        <v>1452</v>
      </c>
      <c r="C23" s="24">
        <f ca="1">IF('数据-取费表'!B22&lt;=1,ROUND(C19*F24*F23/2,0)+ROUND(C20*F24*F23/2,0),ROUND(C19*(POWER((1+F24),F23/2)-1),0)+ROUND(C20*(POWER((1+F24),F23/2)-1),0))</f>
        <v>11</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ROUND(J13*M23,1)</f>
        <v>0</v>
      </c>
      <c r="K23" s="2935" t="s">
        <v>1455</v>
      </c>
      <c r="L23" s="347" t="s">
        <v>1423</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1392</v>
      </c>
      <c r="I24" s="1336" t="s">
        <v>1440</v>
      </c>
      <c r="J24" s="1337">
        <f ca="1">ROUND(J5*M24,1)</f>
        <v>0</v>
      </c>
      <c r="K24" s="1338" t="s">
        <v>1460</v>
      </c>
      <c r="L24" s="1336" t="s">
        <v>1423</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7" t="s">
        <v>1462</v>
      </c>
      <c r="C25" s="24"/>
      <c r="D25" s="140" t="s">
        <v>1463</v>
      </c>
      <c r="E25" s="2940"/>
      <c r="F25" s="26"/>
      <c r="G25" s="1847"/>
      <c r="H25" s="1325" t="s">
        <v>1031</v>
      </c>
      <c r="I25" s="1340" t="s">
        <v>1464</v>
      </c>
      <c r="J25" s="355">
        <f ca="1">J5-J16</f>
        <v>-7</v>
      </c>
      <c r="K25" s="1341" t="s">
        <v>1465</v>
      </c>
      <c r="L25" s="1342"/>
      <c r="M25" s="1343"/>
    </row>
    <row r="26" spans="1:37">
      <c r="A26" s="1197" t="s">
        <v>1034</v>
      </c>
      <c r="B26" s="347" t="s">
        <v>1466</v>
      </c>
      <c r="C26" s="24">
        <f ca="1">ROUND((C19+C20)*F26,0)</f>
        <v>7</v>
      </c>
      <c r="D26" s="369" t="s">
        <v>1467</v>
      </c>
      <c r="E26" s="358" t="s">
        <v>1468</v>
      </c>
      <c r="F26" s="357">
        <f ca="1">INDIRECT("'数据-取费表'!q"&amp;$G$1)</f>
        <v>0.03</v>
      </c>
      <c r="G26" s="1847"/>
      <c r="H26" s="344" t="s">
        <v>1032</v>
      </c>
      <c r="I26" s="345" t="s">
        <v>1469</v>
      </c>
      <c r="J26" s="346">
        <f ca="1">IF(J5&lt;&gt;0,ROUND(J25*(1-((1+M28)/(1+M26))^M27)/(M26-M28),0),0)</f>
        <v>0</v>
      </c>
      <c r="K26" s="370" t="s">
        <v>1470</v>
      </c>
      <c r="L26" s="347" t="s">
        <v>1471</v>
      </c>
      <c r="M26" s="357">
        <f ca="1">INDIRECT("'数据-取费表'!I"&amp;$G$1)</f>
        <v>0.05</v>
      </c>
    </row>
    <row r="27" spans="1:37" ht="18" customHeight="1">
      <c r="A27" s="1197" t="s">
        <v>1036</v>
      </c>
      <c r="B27" s="347" t="s">
        <v>1472</v>
      </c>
      <c r="C27" s="24">
        <f ca="1">ROUND(F21*F26,4)</f>
        <v>8.9999999999999998E-4</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273</v>
      </c>
      <c r="D29" s="1338"/>
      <c r="E29" s="1336"/>
      <c r="F29" s="1339"/>
      <c r="G29" s="1850"/>
      <c r="H29" s="380" t="s">
        <v>1033</v>
      </c>
      <c r="I29" s="381" t="s">
        <v>1480</v>
      </c>
      <c r="J29" s="382">
        <f ca="1">ROUND(J26/(1+F40)^F41,0)</f>
        <v>0</v>
      </c>
      <c r="K29" s="383" t="s">
        <v>1481</v>
      </c>
      <c r="L29" s="384"/>
      <c r="M29" s="385">
        <f ca="1">INDIRECT("'数据-取费表'!k"&amp;$G$1)</f>
        <v>991.5300000000002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8</v>
      </c>
      <c r="D30" s="1333" t="s">
        <v>1426</v>
      </c>
      <c r="E30" s="2937"/>
      <c r="F30" s="1290"/>
      <c r="G30" s="1847"/>
      <c r="H30" s="743"/>
      <c r="I30" s="744"/>
      <c r="J30" s="745"/>
      <c r="K30" s="746"/>
      <c r="L30" s="747"/>
      <c r="M30" s="748"/>
    </row>
    <row r="31" spans="1:37" ht="18" customHeight="1">
      <c r="A31" s="1197" t="s">
        <v>1035</v>
      </c>
      <c r="B31" s="347" t="s">
        <v>1430</v>
      </c>
      <c r="C31" s="24">
        <f ca="1">ROUND(IF(项目基本情况!B11="自然人",C5*F31,C32+C33+C34),1)</f>
        <v>3.6</v>
      </c>
      <c r="D31" s="2936" t="s">
        <v>1431</v>
      </c>
      <c r="E31" s="2935"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IF(项目基本情况!B11="自然人","——",ROUND(C5*F32/(1+'数据-取费表'!C42),2))</f>
        <v>1.07</v>
      </c>
      <c r="D32" s="2935"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IF(项目基本情况!B11="自然人","——",IF(D33="按租金收入计税",ROUND(C5*F33,2),IF(D33="按房产原值计税",ROUND(C29*F33*0.7,2),INDIRECT("'数据-取费表'!Aj"&amp;$G$1))))</f>
        <v>2.4</v>
      </c>
      <c r="D33" s="1824" t="s">
        <v>3100</v>
      </c>
      <c r="E33" s="347" t="s">
        <v>1423</v>
      </c>
      <c r="F33" s="367">
        <f>IF(D33="按票据","——",IF(D33="按租金收入计税",'数据-取费表'!B51,'数据-取费表'!B50))</f>
        <v>0.12</v>
      </c>
      <c r="G33" s="1847"/>
      <c r="H33" s="1855"/>
      <c r="I33" s="1856"/>
      <c r="J33" s="1857"/>
      <c r="K33" s="1858"/>
      <c r="L33" s="1855"/>
      <c r="M33" s="1855"/>
    </row>
    <row r="34" spans="1:18" ht="18" customHeight="1">
      <c r="A34" s="1287" t="s">
        <v>1389</v>
      </c>
      <c r="B34" s="164" t="s">
        <v>1442</v>
      </c>
      <c r="C34" s="25">
        <f ca="1">IF(项目基本情况!B11="自然人","——",ROUND(F34*F35/10000,2))</f>
        <v>0.15</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82.45</v>
      </c>
      <c r="G35" s="1847"/>
      <c r="H35" s="743"/>
      <c r="I35" s="1856"/>
      <c r="J35" s="1857"/>
      <c r="K35" s="1858"/>
      <c r="L35" s="1855"/>
      <c r="M35" s="1855"/>
    </row>
    <row r="36" spans="1:18" ht="18" customHeight="1">
      <c r="A36" s="1348" t="s">
        <v>1039</v>
      </c>
      <c r="B36" s="347" t="s">
        <v>1450</v>
      </c>
      <c r="C36" s="24">
        <f ca="1">ROUND(C29*F36,1)</f>
        <v>4.0999999999999996</v>
      </c>
      <c r="D36" s="2935" t="s">
        <v>1483</v>
      </c>
      <c r="E36" s="347" t="s">
        <v>1423</v>
      </c>
      <c r="F36" s="374">
        <f ca="1">INDIRECT("'数据-取费表'!Ak"&amp;$G$1)</f>
        <v>1.4999999999999999E-2</v>
      </c>
      <c r="G36" s="1847"/>
      <c r="H36" s="1855"/>
      <c r="I36" s="1856"/>
      <c r="J36" s="1857"/>
      <c r="K36" s="749"/>
      <c r="L36" s="1855"/>
      <c r="M36" s="1855"/>
    </row>
    <row r="37" spans="1:18" ht="18" customHeight="1">
      <c r="A37" s="1197" t="s">
        <v>1075</v>
      </c>
      <c r="B37" s="347" t="s">
        <v>1454</v>
      </c>
      <c r="C37" s="24">
        <f ca="1">ROUND(C13*F37,1)</f>
        <v>0.4</v>
      </c>
      <c r="D37" s="2935" t="s">
        <v>1455</v>
      </c>
      <c r="E37" s="347" t="s">
        <v>1423</v>
      </c>
      <c r="F37" s="376">
        <f ca="1">INDIRECT("'数据-取费表'!Al"&amp;$G$1)</f>
        <v>1.5E-3</v>
      </c>
      <c r="G37" s="1847"/>
      <c r="H37" s="1855"/>
      <c r="I37" s="1856"/>
      <c r="J37" s="1857"/>
      <c r="K37" s="749"/>
      <c r="L37" s="1855"/>
      <c r="M37" s="1855"/>
    </row>
    <row r="38" spans="1:18" ht="18" customHeight="1" thickBot="1">
      <c r="A38" s="1335" t="s">
        <v>1392</v>
      </c>
      <c r="B38" s="1336" t="s">
        <v>1440</v>
      </c>
      <c r="C38" s="1337">
        <f ca="1">ROUND(C5*F38,1)</f>
        <v>0.2</v>
      </c>
      <c r="D38" s="1338" t="s">
        <v>1460</v>
      </c>
      <c r="E38" s="1336" t="s">
        <v>1423</v>
      </c>
      <c r="F38" s="1332">
        <f ca="1">INDIRECT("'数据-取费表'!Am"&amp;$G$1)</f>
        <v>0.01</v>
      </c>
      <c r="G38" s="1847"/>
      <c r="H38" s="1855"/>
      <c r="I38" s="1856"/>
      <c r="J38" s="1857"/>
      <c r="K38" s="1861"/>
      <c r="L38" s="1855"/>
      <c r="M38" s="1855"/>
    </row>
    <row r="39" spans="1:18" ht="24.6" customHeight="1" thickTop="1">
      <c r="A39" s="1325" t="s">
        <v>1031</v>
      </c>
      <c r="B39" s="1340" t="s">
        <v>1464</v>
      </c>
      <c r="C39" s="355">
        <f ca="1">C5-C30</f>
        <v>12</v>
      </c>
      <c r="D39" s="1341" t="s">
        <v>1465</v>
      </c>
      <c r="E39" s="1342"/>
      <c r="F39" s="1343"/>
      <c r="G39" s="1847"/>
      <c r="H39" s="1855"/>
      <c r="I39" s="1856"/>
      <c r="J39" s="1857"/>
      <c r="K39" s="1861"/>
      <c r="L39" s="1855"/>
      <c r="M39" s="1855"/>
    </row>
    <row r="40" spans="1:18" ht="18" customHeight="1">
      <c r="A40" s="344" t="s">
        <v>1032</v>
      </c>
      <c r="B40" s="345" t="s">
        <v>1486</v>
      </c>
      <c r="C40" s="346">
        <f ca="1">ROUND(C39*(1-((1+F42)/(1+F40))^F41)/(F40-F42),0)</f>
        <v>358</v>
      </c>
      <c r="D40" s="370" t="s">
        <v>1470</v>
      </c>
      <c r="E40" s="347" t="s">
        <v>1471</v>
      </c>
      <c r="F40" s="357">
        <f ca="1">INDIRECT("'数据-取费表'!I"&amp;$G$1)</f>
        <v>0.05</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41.23</v>
      </c>
      <c r="G41" s="1847"/>
      <c r="H41" s="730"/>
      <c r="I41" s="1856"/>
      <c r="J41" s="1857"/>
      <c r="K41" s="749"/>
      <c r="L41" s="730"/>
      <c r="M41" s="730"/>
    </row>
    <row r="42" spans="1:18" ht="18" customHeight="1">
      <c r="A42" s="353"/>
      <c r="B42" s="354"/>
      <c r="C42" s="355"/>
      <c r="D42" s="373"/>
      <c r="E42" s="347" t="s">
        <v>1478</v>
      </c>
      <c r="F42" s="357">
        <f ca="1">INDIRECT("'数据-取费表'!v"&amp;$G$1)</f>
        <v>3.5000000000000003E-2</v>
      </c>
      <c r="G42" s="1847"/>
      <c r="H42" s="730"/>
      <c r="I42" s="1856"/>
      <c r="J42" s="1857"/>
      <c r="K42" s="749"/>
      <c r="L42" s="730"/>
      <c r="M42" s="730"/>
    </row>
    <row r="43" spans="1:18" ht="18" customHeight="1" thickBot="1">
      <c r="A43" s="380" t="s">
        <v>1033</v>
      </c>
      <c r="B43" s="381" t="s">
        <v>1488</v>
      </c>
      <c r="C43" s="382">
        <f ca="1">ROUND(C40*10000/F43,0)</f>
        <v>3611</v>
      </c>
      <c r="D43" s="383" t="s">
        <v>1489</v>
      </c>
      <c r="E43" s="384" t="s">
        <v>1490</v>
      </c>
      <c r="F43" s="385">
        <f ca="1">INDIRECT("'数据-取费表'!k"&amp;$G$1)</f>
        <v>991.5300000000002</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1520</v>
      </c>
      <c r="P45" s="1835"/>
      <c r="Q45" s="1835"/>
      <c r="R45" s="1835"/>
    </row>
    <row r="46" spans="1:18" s="1838" customFormat="1" ht="13.5" thickBot="1">
      <c r="A46" s="1866" t="s">
        <v>1521</v>
      </c>
      <c r="C46" s="1867">
        <f ca="1">C68-C40</f>
        <v>-843</v>
      </c>
      <c r="D46" s="1868" t="str">
        <f>C2</f>
        <v>万元</v>
      </c>
      <c r="E46" s="1862"/>
      <c r="F46" s="1862"/>
      <c r="I46" s="1869" t="s">
        <v>1522</v>
      </c>
      <c r="J46" s="1870"/>
      <c r="K46" s="1871"/>
      <c r="L46" s="1872">
        <f ca="1">IF(M47="住宅",0,IF(L48&gt;J51,L60,J60))</f>
        <v>3</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0"/>
      <c r="I47" s="1876" t="s">
        <v>1527</v>
      </c>
      <c r="J47" s="1877" t="s">
        <v>3064</v>
      </c>
      <c r="K47" s="1878" t="s">
        <v>1528</v>
      </c>
      <c r="L47" s="1879">
        <f ca="1">INDIRECT("'数据-取费表'!d"&amp;$G$1)</f>
        <v>50</v>
      </c>
      <c r="M47" s="1834" t="str">
        <f>IF(ISNUMBER(FIND("住宅",C1)),"住宅","非住宅")</f>
        <v>非住宅</v>
      </c>
      <c r="O47" s="1880" t="s">
        <v>1040</v>
      </c>
      <c r="P47" s="1881" t="s">
        <v>1529</v>
      </c>
      <c r="Q47" s="1882">
        <f ca="1">C40+J29</f>
        <v>358</v>
      </c>
      <c r="R47" s="1882" t="s">
        <v>1530</v>
      </c>
    </row>
    <row r="48" spans="1:18" s="1838" customFormat="1" ht="28.5" thickBot="1">
      <c r="A48" s="1356" t="s">
        <v>1135</v>
      </c>
      <c r="B48" s="345" t="s">
        <v>1401</v>
      </c>
      <c r="C48" s="2939">
        <f ca="1">C49+C53+C55</f>
        <v>0</v>
      </c>
      <c r="D48" s="1358"/>
      <c r="E48" s="1359"/>
      <c r="F48" s="1177"/>
      <c r="G48" s="790"/>
      <c r="H48" s="791"/>
      <c r="I48" s="1883" t="s">
        <v>1531</v>
      </c>
      <c r="J48" s="1884" t="s">
        <v>3065</v>
      </c>
      <c r="K48" s="1885" t="s">
        <v>1532</v>
      </c>
      <c r="L48" s="1886">
        <f ca="1">INDIRECT("'数据-取费表'!f"&amp;$G$1)</f>
        <v>41.23</v>
      </c>
      <c r="O48" s="1880" t="s">
        <v>1041</v>
      </c>
      <c r="P48" s="1881" t="s">
        <v>1533</v>
      </c>
      <c r="Q48" s="1882">
        <f ca="1">J60</f>
        <v>3</v>
      </c>
      <c r="R48" s="1882" t="s">
        <v>1534</v>
      </c>
    </row>
    <row r="49" spans="1:18" s="1838" customFormat="1" ht="13.5" thickBot="1">
      <c r="A49" s="1190" t="s">
        <v>1136</v>
      </c>
      <c r="B49" s="1825" t="s">
        <v>1491</v>
      </c>
      <c r="C49" s="1360">
        <f ca="1">ROUND(F49*F51*F50*(1-F52)/10000,0)</f>
        <v>0</v>
      </c>
      <c r="D49" s="1272" t="s">
        <v>3021</v>
      </c>
      <c r="E49" s="1826" t="s">
        <v>1492</v>
      </c>
      <c r="F49" s="1277"/>
      <c r="G49" s="1887"/>
      <c r="H49" s="791"/>
      <c r="I49" s="1883" t="s">
        <v>1535</v>
      </c>
      <c r="J49" s="1888">
        <v>2012</v>
      </c>
      <c r="K49" s="1885" t="s">
        <v>1536</v>
      </c>
      <c r="L49" s="1889"/>
      <c r="O49" s="1890" t="s">
        <v>1042</v>
      </c>
      <c r="P49" s="1881" t="s">
        <v>1537</v>
      </c>
      <c r="Q49" s="1882">
        <f ca="1">C29</f>
        <v>273</v>
      </c>
      <c r="R49" s="1882" t="s">
        <v>1530</v>
      </c>
    </row>
    <row r="50" spans="1:18" s="1838" customFormat="1" ht="13.5" thickBot="1">
      <c r="A50" s="1191"/>
      <c r="B50" s="1194"/>
      <c r="C50" s="1364"/>
      <c r="D50" s="1168"/>
      <c r="E50" s="1273" t="s">
        <v>1406</v>
      </c>
      <c r="F50" s="1274">
        <f ca="1">F7</f>
        <v>23</v>
      </c>
      <c r="H50" s="791"/>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8">
        <f ca="1">F8</f>
        <v>12</v>
      </c>
      <c r="I51" s="1894" t="s">
        <v>1541</v>
      </c>
      <c r="J51" s="1895">
        <f>IF(J49="",J50,J49+J50-YEAR('数据-取费表'!B2))</f>
        <v>54</v>
      </c>
      <c r="K51" s="1896" t="s">
        <v>1542</v>
      </c>
      <c r="L51" s="1897">
        <f ca="1">ROUND(-PV(INDIRECT("'数据-取费表'!h"&amp;$G$1),L48,(C39-C13*C76),0),0)</f>
        <v>-154</v>
      </c>
      <c r="M51" s="1898"/>
      <c r="O51" s="1890" t="s">
        <v>1044</v>
      </c>
      <c r="P51" s="1881" t="s">
        <v>1543</v>
      </c>
      <c r="Q51" s="1893">
        <f>J52</f>
        <v>0.09</v>
      </c>
      <c r="R51" s="1882"/>
    </row>
    <row r="52" spans="1:18" s="1838" customFormat="1" ht="13.5" thickBot="1">
      <c r="A52" s="1192"/>
      <c r="B52" s="1194"/>
      <c r="C52" s="1195"/>
      <c r="D52" s="1168"/>
      <c r="E52" s="1196" t="s">
        <v>1408</v>
      </c>
      <c r="F52" s="1271"/>
      <c r="I52" s="1899" t="s">
        <v>1544</v>
      </c>
      <c r="J52" s="1900">
        <v>0.09</v>
      </c>
      <c r="K52" s="1899" t="s">
        <v>1545</v>
      </c>
      <c r="L52" s="1900"/>
      <c r="O52" s="1890" t="s">
        <v>1045</v>
      </c>
      <c r="P52" s="1881" t="s">
        <v>1546</v>
      </c>
      <c r="Q52" s="1882">
        <f ca="1">J53</f>
        <v>41.23</v>
      </c>
      <c r="R52" s="1882" t="s">
        <v>1547</v>
      </c>
    </row>
    <row r="53" spans="1:18" s="1838" customFormat="1" ht="24.75" thickBot="1">
      <c r="A53" s="1401" t="s">
        <v>1137</v>
      </c>
      <c r="B53" s="1827" t="s">
        <v>1409</v>
      </c>
      <c r="C53" s="361">
        <f ca="1">ROUND(IF(F53="押一",F49*F51*F50/12*F11,IF(F53="押二",F49*F51*F50/12*2*F11,IF(F53="押三",F49*F51*F50/12*3*F11,C54*F11)))/10000,0)</f>
        <v>0</v>
      </c>
      <c r="D53" s="1820" t="s">
        <v>3018</v>
      </c>
      <c r="E53" s="358" t="s">
        <v>1411</v>
      </c>
      <c r="F53" s="1362"/>
      <c r="I53" s="1901" t="s">
        <v>1548</v>
      </c>
      <c r="J53" s="1902">
        <f ca="1">IF(M47="住宅",J51,IF(D1="——",MIN(J51,L48),IF(D1="在建（套用方法）",MIN(J51,L48-'数据-取费表'!B24),IF(D1="土地（套用方法）",MIN(J51,L48-'数据-取费表'!B20)))))</f>
        <v>41.23</v>
      </c>
      <c r="K53" s="3334" t="s">
        <v>1549</v>
      </c>
      <c r="L53" s="3335"/>
      <c r="O53" s="1880" t="s">
        <v>1046</v>
      </c>
      <c r="P53" s="1881" t="s">
        <v>1550</v>
      </c>
      <c r="Q53" s="1882">
        <f ca="1">Q47+Q48</f>
        <v>361</v>
      </c>
      <c r="R53" s="1882" t="s">
        <v>1047</v>
      </c>
    </row>
    <row r="54" spans="1:18" s="1838" customFormat="1" ht="13.5" thickBot="1">
      <c r="A54" s="1402"/>
      <c r="B54" s="1821" t="s">
        <v>1388</v>
      </c>
      <c r="C54" s="1174"/>
      <c r="D54" s="1820"/>
      <c r="E54" s="293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38"/>
      <c r="F55" s="1903"/>
      <c r="I55" s="1906" t="s">
        <v>1552</v>
      </c>
      <c r="J55" s="1907">
        <f ca="1">ROUND(IF(J47="钢混",J57/J50,1-(1-2%)*(J50-J57)/J50),3)</f>
        <v>0.21299999999999999</v>
      </c>
      <c r="K55" s="1908" t="s">
        <v>1553</v>
      </c>
      <c r="L55" s="1909" t="s">
        <v>1554</v>
      </c>
      <c r="O55" s="1873" t="s">
        <v>1523</v>
      </c>
      <c r="P55" s="1874" t="s">
        <v>1524</v>
      </c>
      <c r="Q55" s="1875" t="s">
        <v>1525</v>
      </c>
      <c r="R55" s="1875" t="s">
        <v>1526</v>
      </c>
    </row>
    <row r="56" spans="1:18" s="1838" customFormat="1" ht="25.5" thickTop="1" thickBot="1">
      <c r="A56" s="1172">
        <v>2</v>
      </c>
      <c r="B56" s="1173" t="s">
        <v>1415</v>
      </c>
      <c r="C56" s="276">
        <f ca="1">C13</f>
        <v>246</v>
      </c>
      <c r="D56" s="1910"/>
      <c r="E56" s="1911"/>
      <c r="F56" s="1903"/>
      <c r="I56" s="1912" t="s">
        <v>1555</v>
      </c>
      <c r="J56" s="1913" t="s">
        <v>3041</v>
      </c>
      <c r="K56" s="1883" t="s">
        <v>1556</v>
      </c>
      <c r="L56" s="1886" t="str">
        <f ca="1">IF(L48&lt;J51,"——",L48-J53)</f>
        <v>——</v>
      </c>
      <c r="O56" s="1880" t="s">
        <v>1040</v>
      </c>
      <c r="P56" s="1881" t="s">
        <v>1529</v>
      </c>
      <c r="Q56" s="1882">
        <f ca="1">C40+J29</f>
        <v>358</v>
      </c>
      <c r="R56" s="1882" t="s">
        <v>1530</v>
      </c>
    </row>
    <row r="57" spans="1:18" s="1838" customFormat="1" ht="24.75" thickBot="1">
      <c r="A57" s="1914"/>
      <c r="B57" s="1165" t="s">
        <v>1479</v>
      </c>
      <c r="C57" s="282">
        <f ca="1">C29</f>
        <v>273</v>
      </c>
      <c r="D57" s="1915"/>
      <c r="E57" s="1916"/>
      <c r="F57" s="1917"/>
      <c r="I57" s="1918" t="s">
        <v>1557</v>
      </c>
      <c r="J57" s="1919">
        <f ca="1">IF(OR(M47="住宅",J51&lt;L48,J56="是"),"——",J51-L48)</f>
        <v>12.770000000000003</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3" t="s">
        <v>1425</v>
      </c>
      <c r="C58" s="361">
        <f ca="1">ROUND(C59+C64+C65+C66,0)</f>
        <v>28</v>
      </c>
      <c r="D58" s="1175" t="s">
        <v>1426</v>
      </c>
      <c r="E58" s="1176"/>
      <c r="F58" s="1177"/>
      <c r="I58" s="1918" t="s">
        <v>1561</v>
      </c>
      <c r="J58" s="1920">
        <f ca="1">IF(J55&lt;0.4,0.4,J55)</f>
        <v>0.4</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23.1</v>
      </c>
      <c r="D59" s="1178" t="s">
        <v>1431</v>
      </c>
      <c r="E59" s="1179" t="s">
        <v>1432</v>
      </c>
      <c r="F59" s="368" t="str">
        <f ca="1">IF(项目基本情况!B11="企业","",IF(INDIRECT("'数据-取费表'!c"&amp;$G$1)="住宅",5%,IF(F49*F50*F51/12/(1+'数据-取费表'!C42)&gt;20000,12%,7%)))</f>
        <v/>
      </c>
      <c r="I59" s="1918" t="s">
        <v>1564</v>
      </c>
      <c r="J59" s="1919">
        <f ca="1">IF(OR(M47="住宅",J51&lt;L48,J56="是"),"——",ROUND(C29*J58,0))</f>
        <v>109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7">
        <f t="shared" ref="F60:F66" si="0">F32</f>
        <v>5.6000000000000001E-2</v>
      </c>
      <c r="I60" s="1921" t="s">
        <v>1566</v>
      </c>
      <c r="J60" s="1922">
        <f ca="1">IF(OR(M47="住宅",J51&lt;L48,J56="是"),"0",ROUND(J59/(1+J52)^J53,0))</f>
        <v>3</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1438</v>
      </c>
      <c r="C61" s="24">
        <f ca="1">IF(项目基本情况!B11="自然人","——",IF(D61="按租金收入计税",ROUND(C48*F61,2),IF(D61="按房产原值计税",ROUND(C57*F61*0.7,2),INDIRECT("'数据-取费表'!Aj"&amp;$G$1))))</f>
        <v>22.93</v>
      </c>
      <c r="D61" s="1824" t="s">
        <v>1439</v>
      </c>
      <c r="E61" s="1165"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7" t="s">
        <v>1496</v>
      </c>
      <c r="B62" s="1164" t="s">
        <v>1442</v>
      </c>
      <c r="C62" s="25">
        <f ca="1">IF(项目基本情况!B11="自然人","——",ROUND(F62*F63/10000,2))</f>
        <v>0.15</v>
      </c>
      <c r="D62" s="1180" t="s">
        <v>1443</v>
      </c>
      <c r="E62" s="1165" t="s">
        <v>1444</v>
      </c>
      <c r="F62" s="371">
        <f t="shared" si="0"/>
        <v>18</v>
      </c>
      <c r="I62" s="1925" t="s">
        <v>1571</v>
      </c>
      <c r="J62" s="1926" t="s">
        <v>1572</v>
      </c>
      <c r="K62" s="1926" t="s">
        <v>1573</v>
      </c>
      <c r="L62" s="1926" t="s">
        <v>1574</v>
      </c>
      <c r="M62" s="1927" t="s">
        <v>1575</v>
      </c>
      <c r="O62" s="1880" t="s">
        <v>1046</v>
      </c>
      <c r="P62" s="1881" t="s">
        <v>1550</v>
      </c>
      <c r="Q62" s="1882">
        <f ca="1">Q56+Q57</f>
        <v>358</v>
      </c>
      <c r="R62" s="1882" t="s">
        <v>1047</v>
      </c>
    </row>
    <row r="63" spans="1:18" s="1838" customFormat="1" ht="13.5" thickBot="1">
      <c r="A63" s="372"/>
      <c r="B63" s="1171"/>
      <c r="C63" s="29"/>
      <c r="D63" s="1181"/>
      <c r="E63" s="1165" t="s">
        <v>1448</v>
      </c>
      <c r="F63" s="348">
        <f t="shared" ca="1" si="0"/>
        <v>82.45</v>
      </c>
      <c r="I63" s="1925" t="s">
        <v>1577</v>
      </c>
      <c r="J63" s="1926">
        <v>70</v>
      </c>
      <c r="K63" s="1926">
        <v>50</v>
      </c>
      <c r="L63" s="1926">
        <v>80</v>
      </c>
      <c r="M63" s="1928">
        <v>0.02</v>
      </c>
      <c r="O63" s="1865" t="s">
        <v>1578</v>
      </c>
      <c r="P63" s="1835"/>
      <c r="Q63" s="1835"/>
      <c r="R63" s="1835"/>
    </row>
    <row r="64" spans="1:18" s="1838" customFormat="1" ht="13.5" thickBot="1">
      <c r="A64" s="1197" t="s">
        <v>1039</v>
      </c>
      <c r="B64" s="1165" t="s">
        <v>1450</v>
      </c>
      <c r="C64" s="24">
        <f ca="1">ROUND(C57*F64,1)</f>
        <v>4.0999999999999996</v>
      </c>
      <c r="D64" s="1179" t="s">
        <v>1483</v>
      </c>
      <c r="E64" s="1165" t="s">
        <v>1423</v>
      </c>
      <c r="F64" s="374">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0.4</v>
      </c>
      <c r="D65" s="1179" t="s">
        <v>1455</v>
      </c>
      <c r="E65" s="1165" t="s">
        <v>1423</v>
      </c>
      <c r="F65" s="376">
        <f t="shared" ca="1" si="0"/>
        <v>1.5E-3</v>
      </c>
      <c r="I65" s="1925" t="s">
        <v>1580</v>
      </c>
      <c r="J65" s="1926">
        <v>40</v>
      </c>
      <c r="K65" s="1926">
        <v>30</v>
      </c>
      <c r="L65" s="1926">
        <v>50</v>
      </c>
      <c r="M65" s="1928">
        <v>0.02</v>
      </c>
      <c r="O65" s="1880" t="s">
        <v>1040</v>
      </c>
      <c r="P65" s="1881" t="s">
        <v>1529</v>
      </c>
      <c r="Q65" s="1882">
        <f ca="1">C40+J29</f>
        <v>358</v>
      </c>
      <c r="R65" s="1882" t="s">
        <v>1530</v>
      </c>
    </row>
    <row r="66" spans="1:18" s="1838" customFormat="1" ht="16.5" thickBot="1">
      <c r="A66" s="1197" t="s">
        <v>1505</v>
      </c>
      <c r="B66" s="1165" t="s">
        <v>1440</v>
      </c>
      <c r="C66" s="24">
        <f ca="1">ROUND(C48*F66,1)</f>
        <v>0</v>
      </c>
      <c r="D66" s="1179" t="s">
        <v>1460</v>
      </c>
      <c r="E66" s="1165" t="s">
        <v>1423</v>
      </c>
      <c r="F66" s="357">
        <f t="shared" ca="1" si="0"/>
        <v>0.01</v>
      </c>
      <c r="O66" s="1880" t="s">
        <v>1041</v>
      </c>
      <c r="P66" s="1881" t="s">
        <v>1559</v>
      </c>
      <c r="Q66" s="1882">
        <f ca="1">L60</f>
        <v>0</v>
      </c>
      <c r="R66" s="1882" t="s">
        <v>1582</v>
      </c>
    </row>
    <row r="67" spans="1:18" s="1838" customFormat="1" ht="16.5" thickBot="1">
      <c r="A67" s="1172" t="s">
        <v>1031</v>
      </c>
      <c r="B67" s="1182" t="s">
        <v>1464</v>
      </c>
      <c r="C67" s="361">
        <f ca="1">C48-C58</f>
        <v>-28</v>
      </c>
      <c r="D67" s="1178" t="s">
        <v>1465</v>
      </c>
      <c r="E67" s="1183"/>
      <c r="F67" s="1184"/>
      <c r="O67" s="1890" t="s">
        <v>1042</v>
      </c>
      <c r="P67" s="1881" t="s">
        <v>1563</v>
      </c>
      <c r="Q67" s="1929">
        <f ca="1">L51</f>
        <v>-154</v>
      </c>
      <c r="R67" s="1882" t="s">
        <v>1583</v>
      </c>
    </row>
    <row r="68" spans="1:18" s="1838" customFormat="1" ht="16.5" thickBot="1">
      <c r="A68" s="1162" t="s">
        <v>1032</v>
      </c>
      <c r="B68" s="1163" t="s">
        <v>1486</v>
      </c>
      <c r="C68" s="346">
        <f ca="1">ROUND(C67*(1-((1+F70)/(1+F68))^F69)/(F68-F70),0)</f>
        <v>-485</v>
      </c>
      <c r="D68" s="1180" t="s">
        <v>1470</v>
      </c>
      <c r="E68" s="1165" t="s">
        <v>1471</v>
      </c>
      <c r="F68" s="357">
        <f ca="1">F40</f>
        <v>0.05</v>
      </c>
      <c r="O68" s="1890" t="s">
        <v>1043</v>
      </c>
      <c r="P68" s="1930" t="s">
        <v>1584</v>
      </c>
      <c r="Q68" s="1882">
        <f ca="1">ROUND(Q69-Q70*Q71,0)</f>
        <v>-9</v>
      </c>
      <c r="R68" s="1882" t="s">
        <v>1051</v>
      </c>
    </row>
    <row r="69" spans="1:18" s="1838" customFormat="1" ht="13.5" thickBot="1">
      <c r="A69" s="1166"/>
      <c r="B69" s="1167"/>
      <c r="C69" s="351"/>
      <c r="D69" s="1185" t="s">
        <v>1474</v>
      </c>
      <c r="E69" s="1165" t="s">
        <v>1475</v>
      </c>
      <c r="F69" s="379">
        <f ca="1">F41</f>
        <v>41.23</v>
      </c>
      <c r="O69" s="1890" t="s">
        <v>1048</v>
      </c>
      <c r="P69" s="1930" t="s">
        <v>1585</v>
      </c>
      <c r="Q69" s="1882">
        <f ca="1">C39</f>
        <v>12</v>
      </c>
      <c r="R69" s="1882" t="s">
        <v>1530</v>
      </c>
    </row>
    <row r="70" spans="1:18" s="1838" customFormat="1" ht="13.5" thickBot="1">
      <c r="A70" s="1169"/>
      <c r="B70" s="1170"/>
      <c r="C70" s="355"/>
      <c r="D70" s="1181"/>
      <c r="E70" s="1165" t="s">
        <v>1478</v>
      </c>
      <c r="F70" s="1271"/>
      <c r="O70" s="1890" t="s">
        <v>1049</v>
      </c>
      <c r="P70" s="1930" t="s">
        <v>1586</v>
      </c>
      <c r="Q70" s="1882">
        <f ca="1">C13</f>
        <v>246</v>
      </c>
      <c r="R70" s="1882" t="s">
        <v>1530</v>
      </c>
    </row>
    <row r="71" spans="1:18" s="1838" customFormat="1" ht="13.5" thickBot="1">
      <c r="A71" s="1186" t="s">
        <v>1033</v>
      </c>
      <c r="B71" s="1187" t="s">
        <v>1488</v>
      </c>
      <c r="C71" s="382">
        <f ca="1">ROUND(C68*10000/F71,0)</f>
        <v>-4891</v>
      </c>
      <c r="D71" s="1188" t="s">
        <v>1489</v>
      </c>
      <c r="E71" s="1189" t="s">
        <v>1490</v>
      </c>
      <c r="F71" s="385">
        <f ca="1">F43</f>
        <v>991.5300000000002</v>
      </c>
      <c r="O71" s="1890" t="s">
        <v>1050</v>
      </c>
      <c r="P71" s="1930" t="s">
        <v>1587</v>
      </c>
      <c r="Q71" s="1893">
        <f ca="1">C76</f>
        <v>8.5000000000000006E-2</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21</v>
      </c>
      <c r="D75" s="1838"/>
      <c r="E75" s="1838"/>
      <c r="F75" s="1838"/>
      <c r="K75" s="1864"/>
      <c r="L75" s="1838"/>
      <c r="O75" s="1880" t="s">
        <v>1046</v>
      </c>
      <c r="P75" s="1881" t="s">
        <v>1550</v>
      </c>
      <c r="Q75" s="1882">
        <f ca="1">Q65+Q66</f>
        <v>358</v>
      </c>
      <c r="R75" s="1882" t="s">
        <v>1047</v>
      </c>
    </row>
    <row r="76" spans="1:18">
      <c r="B76" s="388" t="s">
        <v>1508</v>
      </c>
      <c r="C76" s="389">
        <f ca="1">INDIRECT("'数据-取费表'!j"&amp;$G$1)</f>
        <v>8.5000000000000006E-2</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-0.75</v>
      </c>
    </row>
    <row r="80" spans="1:18">
      <c r="B80" s="386" t="s">
        <v>1512</v>
      </c>
      <c r="C80" s="318">
        <f ca="1">ROUND(C75/C39,3)</f>
        <v>1.75</v>
      </c>
    </row>
    <row r="81" spans="2:3">
      <c r="B81" s="314" t="s">
        <v>1513</v>
      </c>
      <c r="C81" s="282"/>
    </row>
    <row r="82" spans="2:3">
      <c r="B82" s="317" t="s">
        <v>1514</v>
      </c>
      <c r="C82" s="319">
        <f ca="1">1-C83</f>
        <v>0.31299999999999994</v>
      </c>
    </row>
    <row r="83" spans="2:3">
      <c r="B83" s="317" t="s">
        <v>1515</v>
      </c>
      <c r="C83" s="318">
        <f ca="1">ROUND(C13/C40,3)</f>
        <v>0.68700000000000006</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79" priority="4">
      <formula>$L$48&gt;$J$51</formula>
    </cfRule>
  </conditionalFormatting>
  <conditionalFormatting sqref="I55 I60">
    <cfRule type="expression" dxfId="78" priority="5">
      <formula>$J$51&gt;$L$48</formula>
    </cfRule>
  </conditionalFormatting>
  <conditionalFormatting sqref="C11">
    <cfRule type="expression" dxfId="77" priority="3">
      <formula>$F$10="自定义"</formula>
    </cfRule>
  </conditionalFormatting>
  <conditionalFormatting sqref="J11">
    <cfRule type="expression" dxfId="76" priority="2">
      <formula>$M$10="自定义"</formula>
    </cfRule>
  </conditionalFormatting>
  <conditionalFormatting sqref="C54">
    <cfRule type="expression" dxfId="7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activeCell="E3" sqref="E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664" t="s">
        <v>2689</v>
      </c>
      <c r="C1" s="1616" t="s">
        <v>2518</v>
      </c>
      <c r="D1" s="1617"/>
      <c r="E1" s="1626"/>
      <c r="F1" s="2579"/>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2315</v>
      </c>
      <c r="B2" s="1414" t="e">
        <f ca="1">IF(C2="——",ROUND(C43*D3/10000,0),ROUND(C43*D3/10000,0)-D2)</f>
        <v>#DIV/0!</v>
      </c>
      <c r="C2" s="2581"/>
      <c r="D2" s="1120" t="e">
        <f ca="1">SUMIF(INDIRECT("'"&amp;F2&amp;"'"&amp;"!A:A"),"承租人权益价值",INDIRECT("'"&amp;F2&amp;"'"&amp;"!c:c"))</f>
        <v>#REF!</v>
      </c>
      <c r="E2" s="2582" t="s">
        <v>2316</v>
      </c>
      <c r="F2" s="2583"/>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8" customFormat="1" ht="28.5" customHeight="1" thickBot="1">
      <c r="A3" s="247" t="s">
        <v>2317</v>
      </c>
      <c r="B3" s="609" t="e">
        <f ca="1">IF(C2="——",C43,ROUND(B2*10000/D3,0))</f>
        <v>#DIV/0!</v>
      </c>
      <c r="C3" s="400" t="s">
        <v>2632</v>
      </c>
      <c r="D3" s="399">
        <f>IF(D1="",'数据-汇总表'!E3,SUMIF('数据-汇总表'!$C19:$C33,D1,'数据-汇总表'!$E19:$E33))</f>
        <v>11628.210000000001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2633</v>
      </c>
      <c r="B4" s="402"/>
      <c r="C4" s="3282" t="s">
        <v>2634</v>
      </c>
      <c r="D4" s="3283"/>
      <c r="E4" s="3284" t="s">
        <v>2635</v>
      </c>
      <c r="F4" s="3285"/>
      <c r="G4" s="3282" t="s">
        <v>2636</v>
      </c>
      <c r="H4" s="3283"/>
      <c r="I4" s="3282" t="s">
        <v>2637</v>
      </c>
      <c r="J4" s="3283"/>
      <c r="K4" s="610" t="s">
        <v>2638</v>
      </c>
      <c r="L4" s="1126"/>
      <c r="M4" s="1127"/>
      <c r="N4" s="1127"/>
      <c r="O4" s="1127"/>
      <c r="P4" s="3323" t="s">
        <v>2639</v>
      </c>
      <c r="Q4" s="3324"/>
      <c r="R4" s="3327" t="s">
        <v>2635</v>
      </c>
      <c r="S4" s="3328"/>
      <c r="T4" s="3327" t="s">
        <v>2636</v>
      </c>
      <c r="U4" s="3328"/>
      <c r="V4" s="3299" t="s">
        <v>2637</v>
      </c>
      <c r="W4" s="3299"/>
      <c r="X4" s="1809"/>
      <c r="Y4" s="3327" t="s">
        <v>2639</v>
      </c>
      <c r="Z4" s="3328"/>
      <c r="AA4" s="3320" t="s">
        <v>2635</v>
      </c>
      <c r="AB4" s="3313" t="s">
        <v>2636</v>
      </c>
      <c r="AC4" s="3320" t="s">
        <v>2637</v>
      </c>
    </row>
    <row r="5" spans="1:29" ht="15">
      <c r="A5" s="404"/>
      <c r="B5" s="405"/>
      <c r="C5" s="3308" t="s">
        <v>2530</v>
      </c>
      <c r="D5" s="3303"/>
      <c r="E5" s="3360" t="s">
        <v>2531</v>
      </c>
      <c r="F5" s="3316"/>
      <c r="G5" s="3308" t="s">
        <v>2532</v>
      </c>
      <c r="H5" s="3303"/>
      <c r="I5" s="3308" t="s">
        <v>2533</v>
      </c>
      <c r="J5" s="3303"/>
      <c r="K5" s="610"/>
      <c r="L5" s="1126"/>
      <c r="M5" s="1127"/>
      <c r="N5" s="1127"/>
      <c r="O5" s="1127"/>
      <c r="P5" s="3325"/>
      <c r="Q5" s="3289"/>
      <c r="R5" s="3294"/>
      <c r="S5" s="3295"/>
      <c r="T5" s="3294"/>
      <c r="U5" s="3295"/>
      <c r="V5" s="3299"/>
      <c r="W5" s="3299"/>
      <c r="X5" s="1809"/>
      <c r="Y5" s="3294"/>
      <c r="Z5" s="3295"/>
      <c r="AA5" s="3313"/>
      <c r="AB5" s="3313"/>
      <c r="AC5" s="3313"/>
    </row>
    <row r="6" spans="1:29" ht="15.75" thickBot="1">
      <c r="A6" s="406"/>
      <c r="B6" s="407"/>
      <c r="C6" s="3309" t="s">
        <v>2534</v>
      </c>
      <c r="D6" s="3301"/>
      <c r="E6" s="3331" t="s">
        <v>2534</v>
      </c>
      <c r="F6" s="3311"/>
      <c r="G6" s="3309" t="s">
        <v>2534</v>
      </c>
      <c r="H6" s="3301"/>
      <c r="I6" s="3309" t="s">
        <v>2534</v>
      </c>
      <c r="J6" s="3301"/>
      <c r="K6" s="610" t="s">
        <v>2535</v>
      </c>
      <c r="L6" s="1126"/>
      <c r="M6" s="1127"/>
      <c r="N6" s="1127"/>
      <c r="O6" s="1127"/>
      <c r="P6" s="3326"/>
      <c r="Q6" s="3291"/>
      <c r="R6" s="3294"/>
      <c r="S6" s="3295"/>
      <c r="T6" s="3296"/>
      <c r="U6" s="3297"/>
      <c r="V6" s="3299"/>
      <c r="W6" s="3299"/>
      <c r="X6" s="1809"/>
      <c r="Y6" s="3296"/>
      <c r="Z6" s="3297"/>
      <c r="AA6" s="3314"/>
      <c r="AB6" s="3314"/>
      <c r="AC6" s="3314"/>
    </row>
    <row r="7" spans="1:29" s="117" customFormat="1" ht="15.75" thickBot="1">
      <c r="A7" s="408" t="s">
        <v>2536</v>
      </c>
      <c r="B7" s="409"/>
      <c r="C7" s="410">
        <f>'数据-取费表'!B2</f>
        <v>43185</v>
      </c>
      <c r="D7" s="411">
        <v>100</v>
      </c>
      <c r="E7" s="412"/>
      <c r="F7" s="413">
        <f>SUMIF(52:52,YEAR(E7)&amp;"-"&amp;MONTH(E7),53:53)</f>
        <v>0</v>
      </c>
      <c r="G7" s="412"/>
      <c r="H7" s="411">
        <f>SUMIF(52:52,YEAR(G7)&amp;"-"&amp;MONTH(G7),53:53)</f>
        <v>0</v>
      </c>
      <c r="I7" s="412"/>
      <c r="J7" s="411">
        <f>SUMIF(52:52,YEAR(I7)&amp;"-"&amp;MONTH(I7),53:53)</f>
        <v>0</v>
      </c>
      <c r="K7" s="611"/>
      <c r="L7" s="1128"/>
      <c r="M7" s="1129"/>
      <c r="N7" s="1129"/>
      <c r="O7" s="1129"/>
      <c r="P7" s="3306" t="s">
        <v>2537</v>
      </c>
      <c r="Q7" s="3307"/>
      <c r="R7" s="768" t="s">
        <v>17</v>
      </c>
      <c r="S7" s="769">
        <f t="shared" ref="S7:S15" si="0">F7</f>
        <v>0</v>
      </c>
      <c r="T7" s="768" t="s">
        <v>17</v>
      </c>
      <c r="U7" s="769">
        <f t="shared" ref="U7:U15" si="1">H7</f>
        <v>0</v>
      </c>
      <c r="V7" s="768" t="s">
        <v>17</v>
      </c>
      <c r="W7" s="769">
        <f t="shared" ref="W7:W15" si="2">J7</f>
        <v>0</v>
      </c>
      <c r="X7" s="770"/>
      <c r="Y7" s="3306" t="s">
        <v>2537</v>
      </c>
      <c r="Z7" s="3305"/>
      <c r="AA7" s="771" t="e">
        <f>D7/F7</f>
        <v>#DIV/0!</v>
      </c>
      <c r="AB7" s="771" t="e">
        <f>D7/H7</f>
        <v>#DIV/0!</v>
      </c>
      <c r="AC7" s="771"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306" t="s">
        <v>2540</v>
      </c>
      <c r="Q8" s="3305"/>
      <c r="R8" s="768" t="s">
        <v>17</v>
      </c>
      <c r="S8" s="769">
        <f t="shared" si="0"/>
        <v>0</v>
      </c>
      <c r="T8" s="768" t="s">
        <v>17</v>
      </c>
      <c r="U8" s="769">
        <f t="shared" si="1"/>
        <v>0</v>
      </c>
      <c r="V8" s="768" t="s">
        <v>17</v>
      </c>
      <c r="W8" s="769">
        <f t="shared" si="2"/>
        <v>0</v>
      </c>
      <c r="X8" s="770"/>
      <c r="Y8" s="3306" t="s">
        <v>2540</v>
      </c>
      <c r="Z8" s="3305"/>
      <c r="AA8" s="771" t="e">
        <f t="shared" ref="AA8:AA40" si="3">D8/F8</f>
        <v>#DIV/0!</v>
      </c>
      <c r="AB8" s="771" t="e">
        <f t="shared" ref="AB8:AB40" si="4">D8/H8</f>
        <v>#DIV/0!</v>
      </c>
      <c r="AC8" s="771"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65" t="s">
        <v>2543</v>
      </c>
      <c r="Q9" s="1791" t="str">
        <f t="shared" ref="Q9:Q15" si="6">B9</f>
        <v>用途</v>
      </c>
      <c r="R9" s="768" t="s">
        <v>17</v>
      </c>
      <c r="S9" s="769">
        <f t="shared" si="0"/>
        <v>100</v>
      </c>
      <c r="T9" s="768" t="s">
        <v>17</v>
      </c>
      <c r="U9" s="769">
        <f t="shared" si="1"/>
        <v>100</v>
      </c>
      <c r="V9" s="768" t="s">
        <v>17</v>
      </c>
      <c r="W9" s="769">
        <f t="shared" si="2"/>
        <v>100</v>
      </c>
      <c r="X9" s="770"/>
      <c r="Y9" s="3106" t="s">
        <v>2544</v>
      </c>
      <c r="Z9" s="55" t="str">
        <f t="shared" ref="Z9:Z15" si="7">Q9</f>
        <v>用途</v>
      </c>
      <c r="AA9" s="771">
        <f t="shared" si="3"/>
        <v>1</v>
      </c>
      <c r="AB9" s="771">
        <f t="shared" si="4"/>
        <v>1</v>
      </c>
      <c r="AC9" s="771">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65"/>
      <c r="Q10" s="1791" t="str">
        <f t="shared" si="6"/>
        <v>土地使用年限（年）</v>
      </c>
      <c r="R10" s="768" t="s">
        <v>17</v>
      </c>
      <c r="S10" s="769">
        <f t="shared" si="0"/>
        <v>100</v>
      </c>
      <c r="T10" s="768" t="s">
        <v>17</v>
      </c>
      <c r="U10" s="769">
        <f t="shared" si="1"/>
        <v>100</v>
      </c>
      <c r="V10" s="768" t="s">
        <v>17</v>
      </c>
      <c r="W10" s="769">
        <f t="shared" si="2"/>
        <v>100</v>
      </c>
      <c r="X10" s="770"/>
      <c r="Y10" s="3106"/>
      <c r="Z10" s="55" t="str">
        <f t="shared" si="7"/>
        <v>土地使用年限（年）</v>
      </c>
      <c r="AA10" s="771">
        <f t="shared" si="3"/>
        <v>1</v>
      </c>
      <c r="AB10" s="771">
        <f t="shared" si="4"/>
        <v>1</v>
      </c>
      <c r="AC10" s="771">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65"/>
      <c r="Q11" s="1791" t="str">
        <f t="shared" si="6"/>
        <v>容积率</v>
      </c>
      <c r="R11" s="768" t="s">
        <v>17</v>
      </c>
      <c r="S11" s="769" t="e">
        <f t="shared" si="0"/>
        <v>#N/A</v>
      </c>
      <c r="T11" s="768" t="s">
        <v>17</v>
      </c>
      <c r="U11" s="769" t="e">
        <f t="shared" si="1"/>
        <v>#N/A</v>
      </c>
      <c r="V11" s="768" t="s">
        <v>17</v>
      </c>
      <c r="W11" s="769" t="e">
        <f t="shared" si="2"/>
        <v>#N/A</v>
      </c>
      <c r="X11" s="770"/>
      <c r="Y11" s="3106"/>
      <c r="Z11" s="55" t="str">
        <f t="shared" si="7"/>
        <v>容积率</v>
      </c>
      <c r="AA11" s="771" t="e">
        <f t="shared" si="3"/>
        <v>#N/A</v>
      </c>
      <c r="AB11" s="771" t="e">
        <f t="shared" si="4"/>
        <v>#N/A</v>
      </c>
      <c r="AC11" s="771"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8"/>
      <c r="M12" s="1129"/>
      <c r="N12" s="1129"/>
      <c r="O12" s="1130"/>
      <c r="P12" s="3265"/>
      <c r="Q12" s="1791">
        <f t="shared" si="6"/>
        <v>111</v>
      </c>
      <c r="R12" s="768" t="s">
        <v>17</v>
      </c>
      <c r="S12" s="769">
        <f t="shared" si="0"/>
        <v>100</v>
      </c>
      <c r="T12" s="768" t="s">
        <v>17</v>
      </c>
      <c r="U12" s="769">
        <f t="shared" si="1"/>
        <v>100</v>
      </c>
      <c r="V12" s="768" t="s">
        <v>17</v>
      </c>
      <c r="W12" s="769">
        <f t="shared" si="2"/>
        <v>100</v>
      </c>
      <c r="X12" s="770"/>
      <c r="Y12" s="3106"/>
      <c r="Z12" s="55">
        <f t="shared" si="7"/>
        <v>111</v>
      </c>
      <c r="AA12" s="771">
        <f>D12/F12</f>
        <v>1</v>
      </c>
      <c r="AB12" s="771">
        <f>D12/H12</f>
        <v>1</v>
      </c>
      <c r="AC12" s="771">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6"/>
      <c r="M13" s="1127"/>
      <c r="N13" s="1127"/>
      <c r="O13" s="1135"/>
      <c r="P13" s="3265"/>
      <c r="Q13" s="1791">
        <f t="shared" si="6"/>
        <v>111</v>
      </c>
      <c r="R13" s="768" t="s">
        <v>17</v>
      </c>
      <c r="S13" s="769">
        <f t="shared" si="0"/>
        <v>100</v>
      </c>
      <c r="T13" s="768" t="s">
        <v>17</v>
      </c>
      <c r="U13" s="769">
        <f t="shared" si="1"/>
        <v>100</v>
      </c>
      <c r="V13" s="768" t="s">
        <v>17</v>
      </c>
      <c r="W13" s="769">
        <f t="shared" si="2"/>
        <v>100</v>
      </c>
      <c r="X13" s="770"/>
      <c r="Y13" s="3106"/>
      <c r="Z13" s="55">
        <f t="shared" si="7"/>
        <v>111</v>
      </c>
      <c r="AA13" s="771">
        <f t="shared" si="3"/>
        <v>1</v>
      </c>
      <c r="AB13" s="771">
        <f t="shared" si="4"/>
        <v>1</v>
      </c>
      <c r="AC13" s="771">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6"/>
      <c r="M14" s="1127"/>
      <c r="N14" s="1127"/>
      <c r="O14" s="1135"/>
      <c r="P14" s="3265"/>
      <c r="Q14" s="1791">
        <f t="shared" si="6"/>
        <v>111</v>
      </c>
      <c r="R14" s="768" t="s">
        <v>17</v>
      </c>
      <c r="S14" s="769">
        <f t="shared" si="0"/>
        <v>100</v>
      </c>
      <c r="T14" s="768" t="s">
        <v>17</v>
      </c>
      <c r="U14" s="769">
        <f t="shared" si="1"/>
        <v>100</v>
      </c>
      <c r="V14" s="768" t="s">
        <v>17</v>
      </c>
      <c r="W14" s="769">
        <f t="shared" si="2"/>
        <v>100</v>
      </c>
      <c r="X14" s="770"/>
      <c r="Y14" s="3106"/>
      <c r="Z14" s="55">
        <f t="shared" si="7"/>
        <v>111</v>
      </c>
      <c r="AA14" s="771">
        <f t="shared" si="3"/>
        <v>1</v>
      </c>
      <c r="AB14" s="771">
        <f t="shared" si="4"/>
        <v>1</v>
      </c>
      <c r="AC14" s="771">
        <f t="shared" si="5"/>
        <v>1</v>
      </c>
    </row>
    <row r="15" spans="1:29" ht="15">
      <c r="A15" s="440" t="s">
        <v>2547</v>
      </c>
      <c r="B15" s="69" t="s">
        <v>2690</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72" t="s">
        <v>2548</v>
      </c>
      <c r="Q15" s="1806" t="str">
        <f t="shared" si="6"/>
        <v>产业集聚程度</v>
      </c>
      <c r="R15" s="772" t="s">
        <v>17</v>
      </c>
      <c r="S15" s="773">
        <f t="shared" si="0"/>
        <v>100</v>
      </c>
      <c r="T15" s="772" t="s">
        <v>17</v>
      </c>
      <c r="U15" s="773">
        <f t="shared" si="1"/>
        <v>100</v>
      </c>
      <c r="V15" s="772" t="s">
        <v>17</v>
      </c>
      <c r="W15" s="773">
        <f t="shared" si="2"/>
        <v>100</v>
      </c>
      <c r="X15" s="1809"/>
      <c r="Y15" s="3272" t="s">
        <v>2548</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273"/>
      <c r="Q16" s="1806"/>
      <c r="R16" s="772"/>
      <c r="S16" s="773"/>
      <c r="T16" s="772"/>
      <c r="U16" s="773"/>
      <c r="V16" s="772"/>
      <c r="W16" s="773"/>
      <c r="X16" s="1809"/>
      <c r="Y16" s="3273"/>
      <c r="Z16" s="1810"/>
      <c r="AA16" s="1807">
        <v>1</v>
      </c>
      <c r="AB16" s="1807">
        <v>1</v>
      </c>
      <c r="AC16" s="1807">
        <v>1</v>
      </c>
    </row>
    <row r="17" spans="1:29" ht="15">
      <c r="A17" s="428"/>
      <c r="B17" s="451" t="s">
        <v>2088</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73"/>
      <c r="Q17" s="1806" t="str">
        <f>B17</f>
        <v>交通便捷度</v>
      </c>
      <c r="R17" s="772" t="s">
        <v>17</v>
      </c>
      <c r="S17" s="773">
        <f>F17</f>
        <v>100</v>
      </c>
      <c r="T17" s="772" t="s">
        <v>17</v>
      </c>
      <c r="U17" s="773">
        <f>H17</f>
        <v>100</v>
      </c>
      <c r="V17" s="772" t="s">
        <v>17</v>
      </c>
      <c r="W17" s="773">
        <f>J17</f>
        <v>100</v>
      </c>
      <c r="X17" s="1809"/>
      <c r="Y17" s="3273"/>
      <c r="Z17" s="1810" t="str">
        <f>Q17</f>
        <v>交通便捷度</v>
      </c>
      <c r="AA17" s="1807">
        <f t="shared" si="3"/>
        <v>1</v>
      </c>
      <c r="AB17" s="1807">
        <f t="shared" si="4"/>
        <v>1</v>
      </c>
      <c r="AC17" s="1807">
        <f t="shared" si="5"/>
        <v>1</v>
      </c>
    </row>
    <row r="18" spans="1:29" ht="15">
      <c r="A18" s="428"/>
      <c r="B18" s="456"/>
      <c r="C18" s="2603"/>
      <c r="D18" s="450"/>
      <c r="E18" s="2605"/>
      <c r="F18" s="453"/>
      <c r="G18" s="2604"/>
      <c r="H18" s="448"/>
      <c r="I18" s="2605"/>
      <c r="J18" s="448"/>
      <c r="K18" s="615"/>
      <c r="L18" s="1136"/>
      <c r="M18" s="1127"/>
      <c r="N18" s="1127"/>
      <c r="O18" s="1135"/>
      <c r="P18" s="3273"/>
      <c r="Q18" s="1806"/>
      <c r="R18" s="772"/>
      <c r="S18" s="773"/>
      <c r="T18" s="772"/>
      <c r="U18" s="773"/>
      <c r="V18" s="772"/>
      <c r="W18" s="773"/>
      <c r="X18" s="1809"/>
      <c r="Y18" s="3273"/>
      <c r="Z18" s="1810"/>
      <c r="AA18" s="1807">
        <v>1</v>
      </c>
      <c r="AB18" s="1807">
        <v>1</v>
      </c>
      <c r="AC18" s="1807">
        <v>1</v>
      </c>
    </row>
    <row r="19" spans="1:29" ht="15">
      <c r="A19" s="428"/>
      <c r="B19" s="451" t="s">
        <v>2675</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73"/>
      <c r="Q19" s="1806" t="str">
        <f>B19</f>
        <v>公共配套设施</v>
      </c>
      <c r="R19" s="772" t="s">
        <v>17</v>
      </c>
      <c r="S19" s="773">
        <f>F19</f>
        <v>100</v>
      </c>
      <c r="T19" s="772" t="s">
        <v>17</v>
      </c>
      <c r="U19" s="773">
        <f>H19</f>
        <v>100</v>
      </c>
      <c r="V19" s="772" t="s">
        <v>17</v>
      </c>
      <c r="W19" s="773">
        <f>J19</f>
        <v>100</v>
      </c>
      <c r="X19" s="1809"/>
      <c r="Y19" s="3273"/>
      <c r="Z19" s="1810" t="str">
        <f>Q19</f>
        <v>公共配套设施</v>
      </c>
      <c r="AA19" s="1807">
        <f t="shared" si="3"/>
        <v>1</v>
      </c>
      <c r="AB19" s="1807">
        <f t="shared" si="4"/>
        <v>1</v>
      </c>
      <c r="AC19" s="1807">
        <f t="shared" si="5"/>
        <v>1</v>
      </c>
    </row>
    <row r="20" spans="1:29" ht="15">
      <c r="A20" s="428"/>
      <c r="B20" s="456"/>
      <c r="C20" s="447"/>
      <c r="D20" s="448"/>
      <c r="E20" s="2600"/>
      <c r="F20" s="449"/>
      <c r="G20" s="2599"/>
      <c r="H20" s="448"/>
      <c r="I20" s="2600"/>
      <c r="J20" s="448"/>
      <c r="K20" s="615"/>
      <c r="L20" s="1136"/>
      <c r="M20" s="1127"/>
      <c r="N20" s="1127"/>
      <c r="O20" s="1135"/>
      <c r="P20" s="3273"/>
      <c r="Q20" s="1806"/>
      <c r="R20" s="772"/>
      <c r="S20" s="773"/>
      <c r="T20" s="772"/>
      <c r="U20" s="773"/>
      <c r="V20" s="772"/>
      <c r="W20" s="773"/>
      <c r="X20" s="1809"/>
      <c r="Y20" s="3273"/>
      <c r="Z20" s="1810"/>
      <c r="AA20" s="1807">
        <v>1</v>
      </c>
      <c r="AB20" s="1807">
        <v>1</v>
      </c>
      <c r="AC20" s="1807">
        <v>1</v>
      </c>
    </row>
    <row r="21" spans="1:29" ht="15">
      <c r="A21" s="428"/>
      <c r="B21" s="1380" t="s">
        <v>2676</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73"/>
      <c r="Q21" s="1806" t="str">
        <f>B21</f>
        <v>基础设施水平</v>
      </c>
      <c r="R21" s="772" t="s">
        <v>17</v>
      </c>
      <c r="S21" s="773">
        <f>F21</f>
        <v>100</v>
      </c>
      <c r="T21" s="772" t="s">
        <v>17</v>
      </c>
      <c r="U21" s="773">
        <f>H21</f>
        <v>100</v>
      </c>
      <c r="V21" s="772" t="s">
        <v>17</v>
      </c>
      <c r="W21" s="773">
        <f>J21</f>
        <v>100</v>
      </c>
      <c r="X21" s="1809"/>
      <c r="Y21" s="3273"/>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9"/>
      <c r="G22" s="447"/>
      <c r="H22" s="448"/>
      <c r="I22" s="447"/>
      <c r="J22" s="448"/>
      <c r="K22" s="1379"/>
      <c r="L22" s="1136"/>
      <c r="M22" s="1127"/>
      <c r="N22" s="1127"/>
      <c r="O22" s="1135"/>
      <c r="P22" s="3273"/>
      <c r="Q22" s="1806"/>
      <c r="R22" s="772"/>
      <c r="S22" s="773"/>
      <c r="T22" s="772"/>
      <c r="U22" s="773"/>
      <c r="V22" s="772"/>
      <c r="W22" s="773"/>
      <c r="X22" s="1809"/>
      <c r="Y22" s="3273"/>
      <c r="Z22" s="1810"/>
      <c r="AA22" s="1807">
        <v>1</v>
      </c>
      <c r="AB22" s="1807">
        <v>1</v>
      </c>
      <c r="AC22" s="1807">
        <v>1</v>
      </c>
    </row>
    <row r="23" spans="1:29" ht="15">
      <c r="A23" s="428"/>
      <c r="B23" s="451" t="s">
        <v>2677</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73"/>
      <c r="Q23" s="1806" t="str">
        <f>B23</f>
        <v>环境质量</v>
      </c>
      <c r="R23" s="772" t="s">
        <v>17</v>
      </c>
      <c r="S23" s="773">
        <f>F23</f>
        <v>100</v>
      </c>
      <c r="T23" s="772" t="s">
        <v>17</v>
      </c>
      <c r="U23" s="773">
        <f>H23</f>
        <v>100</v>
      </c>
      <c r="V23" s="772" t="s">
        <v>17</v>
      </c>
      <c r="W23" s="773">
        <f>J23</f>
        <v>100</v>
      </c>
      <c r="X23" s="1809"/>
      <c r="Y23" s="3273"/>
      <c r="Z23" s="1810" t="str">
        <f>Q23</f>
        <v>环境质量</v>
      </c>
      <c r="AA23" s="1807">
        <f t="shared" si="3"/>
        <v>1</v>
      </c>
      <c r="AB23" s="1807">
        <f t="shared" si="4"/>
        <v>1</v>
      </c>
      <c r="AC23" s="1807">
        <f t="shared" si="5"/>
        <v>1</v>
      </c>
    </row>
    <row r="24" spans="1:29" ht="15">
      <c r="A24" s="428"/>
      <c r="B24" s="1380"/>
      <c r="C24" s="447"/>
      <c r="D24" s="448"/>
      <c r="E24" s="2600"/>
      <c r="F24" s="449"/>
      <c r="G24" s="2599"/>
      <c r="H24" s="448"/>
      <c r="I24" s="2600"/>
      <c r="J24" s="448"/>
      <c r="K24" s="615"/>
      <c r="L24" s="1136"/>
      <c r="M24" s="1127"/>
      <c r="N24" s="1127"/>
      <c r="O24" s="1135"/>
      <c r="P24" s="3273"/>
      <c r="Q24" s="1806"/>
      <c r="R24" s="772"/>
      <c r="S24" s="773"/>
      <c r="T24" s="772"/>
      <c r="U24" s="773"/>
      <c r="V24" s="772"/>
      <c r="W24" s="773"/>
      <c r="X24" s="1809"/>
      <c r="Y24" s="3273"/>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73"/>
      <c r="Q25" s="1806">
        <f>B25</f>
        <v>111</v>
      </c>
      <c r="R25" s="772" t="s">
        <v>17</v>
      </c>
      <c r="S25" s="773">
        <f>F25</f>
        <v>100</v>
      </c>
      <c r="T25" s="772" t="s">
        <v>17</v>
      </c>
      <c r="U25" s="773">
        <f>H25</f>
        <v>100</v>
      </c>
      <c r="V25" s="772" t="s">
        <v>17</v>
      </c>
      <c r="W25" s="773">
        <f>J25</f>
        <v>100</v>
      </c>
      <c r="X25" s="1809"/>
      <c r="Y25" s="3273"/>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73"/>
      <c r="Q26" s="1806">
        <f t="shared" ref="Q26:Q40" si="11">B26</f>
        <v>111</v>
      </c>
      <c r="R26" s="772" t="s">
        <v>17</v>
      </c>
      <c r="S26" s="773">
        <f>F26</f>
        <v>100</v>
      </c>
      <c r="T26" s="772" t="s">
        <v>17</v>
      </c>
      <c r="U26" s="773">
        <f>H26</f>
        <v>100</v>
      </c>
      <c r="V26" s="772" t="s">
        <v>17</v>
      </c>
      <c r="W26" s="773">
        <f>J26</f>
        <v>100</v>
      </c>
      <c r="X26" s="1809"/>
      <c r="Y26" s="3273"/>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73"/>
      <c r="Q27" s="1791">
        <f t="shared" si="11"/>
        <v>111</v>
      </c>
      <c r="R27" s="768" t="s">
        <v>17</v>
      </c>
      <c r="S27" s="769">
        <f>F27</f>
        <v>100</v>
      </c>
      <c r="T27" s="768" t="s">
        <v>17</v>
      </c>
      <c r="U27" s="769">
        <f>H27</f>
        <v>100</v>
      </c>
      <c r="V27" s="768" t="s">
        <v>17</v>
      </c>
      <c r="W27" s="769">
        <f>J27</f>
        <v>100</v>
      </c>
      <c r="X27" s="770"/>
      <c r="Y27" s="3273"/>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73"/>
      <c r="Q28" s="1806">
        <f t="shared" si="11"/>
        <v>111</v>
      </c>
      <c r="R28" s="772" t="s">
        <v>17</v>
      </c>
      <c r="S28" s="773">
        <f t="shared" ref="S28:S40" si="12">F28</f>
        <v>100</v>
      </c>
      <c r="T28" s="772" t="s">
        <v>17</v>
      </c>
      <c r="U28" s="773">
        <f t="shared" ref="U28:U40" si="13">H28</f>
        <v>100</v>
      </c>
      <c r="V28" s="772" t="s">
        <v>17</v>
      </c>
      <c r="W28" s="773">
        <f t="shared" ref="W28:W40" si="14">J28</f>
        <v>100</v>
      </c>
      <c r="X28" s="1809"/>
      <c r="Y28" s="3273"/>
      <c r="Z28" s="1810">
        <f t="shared" ref="Z28:Z40" si="15">Q28</f>
        <v>111</v>
      </c>
      <c r="AA28" s="1807">
        <f t="shared" si="3"/>
        <v>1</v>
      </c>
      <c r="AB28" s="1807">
        <f t="shared" si="4"/>
        <v>1</v>
      </c>
      <c r="AC28" s="1807">
        <f t="shared" si="5"/>
        <v>1</v>
      </c>
    </row>
    <row r="29" spans="1:29" ht="15">
      <c r="A29" s="466" t="s">
        <v>2551</v>
      </c>
      <c r="B29" s="71" t="s">
        <v>2680</v>
      </c>
      <c r="C29" s="2674"/>
      <c r="D29" s="467">
        <v>100</v>
      </c>
      <c r="E29" s="2674"/>
      <c r="F29" s="461">
        <f>SUMIF(88:88,E29,89:89)-SUMIF(88:88,C29,89:89)+100</f>
        <v>100</v>
      </c>
      <c r="G29" s="2674"/>
      <c r="H29" s="435">
        <f>SUMIF(88:88,G29,89:89)-SUMIF(88:88,C29,89:89)+100</f>
        <v>100</v>
      </c>
      <c r="I29" s="2674"/>
      <c r="J29" s="467">
        <f>SUMIF(88:88,I29,89:89)-SUMIF(88:88,C29,89:89)+100</f>
        <v>100</v>
      </c>
      <c r="K29" s="612"/>
      <c r="L29" s="1136"/>
      <c r="M29" s="1127"/>
      <c r="N29" s="1127"/>
      <c r="O29" s="1135"/>
      <c r="P29" s="3332" t="s">
        <v>2553</v>
      </c>
      <c r="Q29" s="1806" t="str">
        <f t="shared" si="11"/>
        <v>建筑类型</v>
      </c>
      <c r="R29" s="772" t="s">
        <v>17</v>
      </c>
      <c r="S29" s="773">
        <f t="shared" si="12"/>
        <v>100</v>
      </c>
      <c r="T29" s="772" t="s">
        <v>17</v>
      </c>
      <c r="U29" s="773">
        <f t="shared" si="13"/>
        <v>100</v>
      </c>
      <c r="V29" s="772" t="s">
        <v>17</v>
      </c>
      <c r="W29" s="773">
        <f t="shared" si="14"/>
        <v>100</v>
      </c>
      <c r="X29" s="1809"/>
      <c r="Y29" s="3277" t="s">
        <v>2553</v>
      </c>
      <c r="Z29" s="1810" t="str">
        <f t="shared" si="15"/>
        <v>建筑类型</v>
      </c>
      <c r="AA29" s="1807">
        <f t="shared" si="3"/>
        <v>1</v>
      </c>
      <c r="AB29" s="1807">
        <f t="shared" si="4"/>
        <v>1</v>
      </c>
      <c r="AC29" s="1807">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77"/>
      <c r="Q30" s="774" t="str">
        <f t="shared" si="11"/>
        <v>项目建筑规模</v>
      </c>
      <c r="R30" s="775" t="s">
        <v>17</v>
      </c>
      <c r="S30" s="776" t="e">
        <f t="shared" si="12"/>
        <v>#N/A</v>
      </c>
      <c r="T30" s="775" t="s">
        <v>17</v>
      </c>
      <c r="U30" s="776" t="e">
        <f t="shared" si="13"/>
        <v>#N/A</v>
      </c>
      <c r="V30" s="775" t="s">
        <v>17</v>
      </c>
      <c r="W30" s="776" t="e">
        <f t="shared" si="14"/>
        <v>#N/A</v>
      </c>
      <c r="X30" s="777"/>
      <c r="Y30" s="3277"/>
      <c r="Z30" s="778" t="str">
        <f t="shared" si="15"/>
        <v>项目建筑规模</v>
      </c>
      <c r="AA30" s="1807" t="e">
        <f t="shared" si="3"/>
        <v>#N/A</v>
      </c>
      <c r="AB30" s="1807" t="e">
        <f t="shared" si="4"/>
        <v>#N/A</v>
      </c>
      <c r="AC30" s="1807"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77"/>
      <c r="Q31" s="1806" t="str">
        <f t="shared" si="11"/>
        <v>建筑结构</v>
      </c>
      <c r="R31" s="772" t="s">
        <v>17</v>
      </c>
      <c r="S31" s="773">
        <f t="shared" si="12"/>
        <v>100</v>
      </c>
      <c r="T31" s="772" t="s">
        <v>17</v>
      </c>
      <c r="U31" s="773">
        <f t="shared" si="13"/>
        <v>100</v>
      </c>
      <c r="V31" s="772" t="s">
        <v>17</v>
      </c>
      <c r="W31" s="773">
        <f t="shared" si="14"/>
        <v>100</v>
      </c>
      <c r="X31" s="1809"/>
      <c r="Y31" s="3277"/>
      <c r="Z31" s="1810" t="str">
        <f t="shared" si="15"/>
        <v>建筑结构</v>
      </c>
      <c r="AA31" s="1807">
        <f t="shared" si="3"/>
        <v>1</v>
      </c>
      <c r="AB31" s="1807">
        <f t="shared" si="4"/>
        <v>1</v>
      </c>
      <c r="AC31" s="1807">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77"/>
      <c r="Q32" s="1806" t="str">
        <f t="shared" si="11"/>
        <v>公共部分装修</v>
      </c>
      <c r="R32" s="772" t="s">
        <v>17</v>
      </c>
      <c r="S32" s="773">
        <f t="shared" si="12"/>
        <v>100</v>
      </c>
      <c r="T32" s="772" t="s">
        <v>17</v>
      </c>
      <c r="U32" s="773">
        <f t="shared" si="13"/>
        <v>100</v>
      </c>
      <c r="V32" s="772" t="s">
        <v>17</v>
      </c>
      <c r="W32" s="773">
        <f t="shared" si="14"/>
        <v>100</v>
      </c>
      <c r="X32" s="1809"/>
      <c r="Y32" s="3277"/>
      <c r="Z32" s="1810" t="str">
        <f t="shared" si="15"/>
        <v>公共部分装修</v>
      </c>
      <c r="AA32" s="1807">
        <f t="shared" si="3"/>
        <v>1</v>
      </c>
      <c r="AB32" s="1807">
        <f t="shared" si="4"/>
        <v>1</v>
      </c>
      <c r="AC32" s="1807">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77"/>
      <c r="Q33" s="1806" t="str">
        <f t="shared" si="11"/>
        <v>成新度</v>
      </c>
      <c r="R33" s="772" t="s">
        <v>17</v>
      </c>
      <c r="S33" s="773" t="e">
        <f t="shared" si="12"/>
        <v>#N/A</v>
      </c>
      <c r="T33" s="772" t="s">
        <v>17</v>
      </c>
      <c r="U33" s="773" t="e">
        <f t="shared" si="13"/>
        <v>#N/A</v>
      </c>
      <c r="V33" s="772" t="s">
        <v>17</v>
      </c>
      <c r="W33" s="773" t="e">
        <f t="shared" si="14"/>
        <v>#N/A</v>
      </c>
      <c r="X33" s="1809"/>
      <c r="Y33" s="3277"/>
      <c r="Z33" s="1810" t="str">
        <f t="shared" si="15"/>
        <v>成新度</v>
      </c>
      <c r="AA33" s="1807" t="e">
        <f t="shared" si="3"/>
        <v>#N/A</v>
      </c>
      <c r="AB33" s="1807" t="e">
        <f t="shared" si="4"/>
        <v>#N/A</v>
      </c>
      <c r="AC33" s="1807"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77"/>
      <c r="Q34" s="1791" t="str">
        <f t="shared" si="11"/>
        <v>物业管理</v>
      </c>
      <c r="R34" s="768" t="s">
        <v>17</v>
      </c>
      <c r="S34" s="769">
        <f t="shared" si="12"/>
        <v>100</v>
      </c>
      <c r="T34" s="768" t="s">
        <v>17</v>
      </c>
      <c r="U34" s="769">
        <f t="shared" si="13"/>
        <v>100</v>
      </c>
      <c r="V34" s="768" t="s">
        <v>17</v>
      </c>
      <c r="W34" s="769">
        <f t="shared" si="14"/>
        <v>100</v>
      </c>
      <c r="X34" s="770"/>
      <c r="Y34" s="3277"/>
      <c r="Z34" s="55" t="str">
        <f t="shared" si="15"/>
        <v>物业管理</v>
      </c>
      <c r="AA34" s="771">
        <f t="shared" si="3"/>
        <v>1</v>
      </c>
      <c r="AB34" s="771">
        <f t="shared" si="4"/>
        <v>1</v>
      </c>
      <c r="AC34" s="771">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77" t="s">
        <v>2553</v>
      </c>
      <c r="Q35" s="1806" t="str">
        <f t="shared" si="11"/>
        <v>市政基础设施</v>
      </c>
      <c r="R35" s="772" t="s">
        <v>17</v>
      </c>
      <c r="S35" s="773">
        <f t="shared" si="12"/>
        <v>100</v>
      </c>
      <c r="T35" s="772" t="s">
        <v>17</v>
      </c>
      <c r="U35" s="773">
        <f t="shared" si="13"/>
        <v>100</v>
      </c>
      <c r="V35" s="772" t="s">
        <v>17</v>
      </c>
      <c r="W35" s="773">
        <f t="shared" si="14"/>
        <v>100</v>
      </c>
      <c r="X35" s="1809"/>
      <c r="Y35" s="3277" t="s">
        <v>2553</v>
      </c>
      <c r="Z35" s="1810" t="str">
        <f t="shared" si="15"/>
        <v>市政基础设施</v>
      </c>
      <c r="AA35" s="1807">
        <f t="shared" si="3"/>
        <v>1</v>
      </c>
      <c r="AB35" s="1807">
        <f t="shared" si="4"/>
        <v>1</v>
      </c>
      <c r="AC35" s="1807">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77"/>
      <c r="Q36" s="1806" t="str">
        <f t="shared" si="11"/>
        <v>内部装修</v>
      </c>
      <c r="R36" s="772" t="s">
        <v>17</v>
      </c>
      <c r="S36" s="773">
        <f t="shared" si="12"/>
        <v>100</v>
      </c>
      <c r="T36" s="772" t="s">
        <v>17</v>
      </c>
      <c r="U36" s="773">
        <f t="shared" si="13"/>
        <v>100</v>
      </c>
      <c r="V36" s="772" t="s">
        <v>17</v>
      </c>
      <c r="W36" s="773">
        <f t="shared" si="14"/>
        <v>100</v>
      </c>
      <c r="X36" s="1809"/>
      <c r="Y36" s="3277"/>
      <c r="Z36" s="1810" t="str">
        <f t="shared" si="15"/>
        <v>内部装修</v>
      </c>
      <c r="AA36" s="1807">
        <f t="shared" si="3"/>
        <v>1</v>
      </c>
      <c r="AB36" s="1807">
        <f t="shared" si="4"/>
        <v>1</v>
      </c>
      <c r="AC36" s="1807">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77"/>
      <c r="Q37" s="1806" t="str">
        <f t="shared" si="11"/>
        <v>内部装修状况</v>
      </c>
      <c r="R37" s="772" t="s">
        <v>17</v>
      </c>
      <c r="S37" s="773">
        <f t="shared" si="12"/>
        <v>100</v>
      </c>
      <c r="T37" s="772" t="s">
        <v>17</v>
      </c>
      <c r="U37" s="773">
        <f t="shared" si="13"/>
        <v>100</v>
      </c>
      <c r="V37" s="772" t="s">
        <v>17</v>
      </c>
      <c r="W37" s="773">
        <f t="shared" si="14"/>
        <v>100</v>
      </c>
      <c r="X37" s="1809"/>
      <c r="Y37" s="3277"/>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77"/>
      <c r="Q38" s="774">
        <f t="shared" si="11"/>
        <v>111</v>
      </c>
      <c r="R38" s="775" t="s">
        <v>17</v>
      </c>
      <c r="S38" s="776">
        <f t="shared" si="12"/>
        <v>100</v>
      </c>
      <c r="T38" s="775" t="s">
        <v>17</v>
      </c>
      <c r="U38" s="776">
        <f t="shared" si="13"/>
        <v>100</v>
      </c>
      <c r="V38" s="775" t="s">
        <v>17</v>
      </c>
      <c r="W38" s="776">
        <f t="shared" si="14"/>
        <v>100</v>
      </c>
      <c r="X38" s="777"/>
      <c r="Y38" s="3277"/>
      <c r="Z38" s="778">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77"/>
      <c r="Q39" s="1806">
        <f t="shared" si="11"/>
        <v>111</v>
      </c>
      <c r="R39" s="772" t="s">
        <v>17</v>
      </c>
      <c r="S39" s="773">
        <f t="shared" si="12"/>
        <v>100</v>
      </c>
      <c r="T39" s="772" t="s">
        <v>17</v>
      </c>
      <c r="U39" s="773">
        <f t="shared" si="13"/>
        <v>100</v>
      </c>
      <c r="V39" s="772" t="s">
        <v>17</v>
      </c>
      <c r="W39" s="773">
        <f t="shared" si="14"/>
        <v>100</v>
      </c>
      <c r="X39" s="1809"/>
      <c r="Y39" s="3277"/>
      <c r="Z39" s="1810">
        <f t="shared" si="15"/>
        <v>111</v>
      </c>
      <c r="AA39" s="1807">
        <f t="shared" si="3"/>
        <v>1</v>
      </c>
      <c r="AB39" s="1807">
        <f t="shared" si="4"/>
        <v>1</v>
      </c>
      <c r="AC39" s="1807">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78"/>
      <c r="Q40" s="1806">
        <f t="shared" si="11"/>
        <v>111</v>
      </c>
      <c r="R40" s="772" t="s">
        <v>17</v>
      </c>
      <c r="S40" s="773">
        <f t="shared" si="12"/>
        <v>100</v>
      </c>
      <c r="T40" s="772" t="s">
        <v>17</v>
      </c>
      <c r="U40" s="773">
        <f t="shared" si="13"/>
        <v>100</v>
      </c>
      <c r="V40" s="772" t="s">
        <v>17</v>
      </c>
      <c r="W40" s="773">
        <f t="shared" si="14"/>
        <v>100</v>
      </c>
      <c r="X40" s="1809"/>
      <c r="Y40" s="3278"/>
      <c r="Z40" s="1810">
        <f t="shared" si="15"/>
        <v>111</v>
      </c>
      <c r="AA40" s="1807">
        <f t="shared" si="3"/>
        <v>1</v>
      </c>
      <c r="AB40" s="1807">
        <f t="shared" si="4"/>
        <v>1</v>
      </c>
      <c r="AC40" s="1807">
        <f t="shared" si="5"/>
        <v>1</v>
      </c>
    </row>
    <row r="41" spans="1:29" ht="15">
      <c r="A41" s="479" t="s">
        <v>2565</v>
      </c>
      <c r="B41" s="480"/>
      <c r="C41" s="1403" t="s">
        <v>1</v>
      </c>
      <c r="D41" s="1404"/>
      <c r="E41" s="1405"/>
      <c r="F41" s="1406"/>
      <c r="G41" s="1407"/>
      <c r="H41" s="1408"/>
      <c r="I41" s="1405"/>
      <c r="J41" s="1408"/>
      <c r="K41" s="781"/>
      <c r="L41" s="1139"/>
      <c r="M41" s="1140"/>
      <c r="N41" s="1127"/>
      <c r="O41" s="1140"/>
      <c r="P41" s="3265" t="str">
        <f>A41</f>
        <v>成交单价（元/平方米）</v>
      </c>
      <c r="Q41" s="3265"/>
      <c r="R41" s="3266">
        <f>E41</f>
        <v>0</v>
      </c>
      <c r="S41" s="3266"/>
      <c r="T41" s="3266">
        <f>G41</f>
        <v>0</v>
      </c>
      <c r="U41" s="3266"/>
      <c r="V41" s="3266">
        <f>I41</f>
        <v>0</v>
      </c>
      <c r="W41" s="3266"/>
      <c r="X41" s="757"/>
      <c r="Y41" s="779"/>
      <c r="Z41" s="757"/>
      <c r="AA41" s="757"/>
      <c r="AB41" s="757"/>
      <c r="AC41" s="757"/>
    </row>
    <row r="42" spans="1:29" ht="15.75" thickBot="1">
      <c r="A42" s="486" t="s">
        <v>2656</v>
      </c>
      <c r="B42" s="487"/>
      <c r="C42" s="1409" t="e">
        <f>R43</f>
        <v>#DIV/0!</v>
      </c>
      <c r="D42" s="1410"/>
      <c r="E42" s="1411" t="e">
        <f>R42</f>
        <v>#DIV/0!</v>
      </c>
      <c r="F42" s="1411"/>
      <c r="G42" s="1409" t="e">
        <f>T42</f>
        <v>#DIV/0!</v>
      </c>
      <c r="H42" s="1410"/>
      <c r="I42" s="1411" t="e">
        <f>V42</f>
        <v>#DIV/0!</v>
      </c>
      <c r="J42" s="1410"/>
      <c r="K42" s="782"/>
      <c r="L42" s="1139"/>
      <c r="M42" s="1140"/>
      <c r="N42" s="1127"/>
      <c r="O42" s="1140"/>
      <c r="P42" s="3265" t="str">
        <f>A42</f>
        <v>比较价值（元/平方米）</v>
      </c>
      <c r="Q42" s="3265"/>
      <c r="R42" s="3266" t="e">
        <f>IF(F1="售价",ROUND(PRODUCT(R41,AA7:AA40),0),ROUND(PRODUCT(R41,AA7:AA40),1))</f>
        <v>#DIV/0!</v>
      </c>
      <c r="S42" s="3266"/>
      <c r="T42" s="3266" t="e">
        <f>IF(F1="售价",ROUND(PRODUCT(T41,AB7:AB40),0),ROUND(PRODUCT(T41,AB7:AB40),1))</f>
        <v>#DIV/0!</v>
      </c>
      <c r="U42" s="3266"/>
      <c r="V42" s="3266" t="e">
        <f>IF(F1="售价",ROUND(PRODUCT(V41,AC7:AC40),0),ROUND(PRODUCT(V41,AC7:AC40),1))</f>
        <v>#DIV/0!</v>
      </c>
      <c r="W42" s="3266"/>
      <c r="X42" s="757"/>
      <c r="Y42" s="757"/>
      <c r="Z42" s="757"/>
      <c r="AA42" s="757"/>
      <c r="AB42" s="757"/>
      <c r="AC42" s="757"/>
    </row>
    <row r="43" spans="1:29" ht="15.75" thickBot="1">
      <c r="A43" s="492" t="s">
        <v>2657</v>
      </c>
      <c r="B43" s="493"/>
      <c r="C43" s="1413" t="e">
        <f>R43</f>
        <v>#DIV/0!</v>
      </c>
      <c r="D43" s="1413"/>
      <c r="E43" s="1413"/>
      <c r="F43" s="1413"/>
      <c r="G43" s="1413"/>
      <c r="H43" s="1413"/>
      <c r="I43" s="1413"/>
      <c r="J43" s="1413"/>
      <c r="K43" s="783"/>
      <c r="L43" s="1139"/>
      <c r="M43" s="1140"/>
      <c r="N43" s="1140"/>
      <c r="O43" s="1140"/>
      <c r="P43" s="3317" t="str">
        <f>A43</f>
        <v>估价对象XX用房的比较价值（楼面单价，元/平方米）</v>
      </c>
      <c r="Q43" s="3318"/>
      <c r="R43" s="3319" t="e">
        <f>IF(F1="售价",ROUND(AVERAGE(R42:V42),0),ROUND(AVERAGE(R42:V42),1))</f>
        <v>#DIV/0!</v>
      </c>
      <c r="S43" s="3319"/>
      <c r="T43" s="3319"/>
      <c r="U43" s="3319"/>
      <c r="V43" s="3319"/>
      <c r="W43" s="3319"/>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2661</v>
      </c>
      <c r="B51" s="757"/>
      <c r="C51" s="762"/>
      <c r="D51" s="762"/>
      <c r="E51" s="762"/>
      <c r="F51" s="763"/>
      <c r="G51" s="763"/>
      <c r="H51" s="762"/>
      <c r="I51" s="762"/>
      <c r="J51" s="762"/>
      <c r="K51" s="1156"/>
      <c r="L51" s="1157"/>
      <c r="M51" s="1155"/>
      <c r="N51" s="1155"/>
      <c r="O51" s="1155"/>
      <c r="P51" s="503"/>
      <c r="Q51" s="504"/>
    </row>
    <row r="52" spans="1:17" s="508" customFormat="1" ht="15">
      <c r="A52" s="505" t="s">
        <v>2536</v>
      </c>
      <c r="B52" s="506"/>
      <c r="C52" s="1570" t="str">
        <f>YEAR(C7)&amp;"-"&amp;MONTH(C7)</f>
        <v>2018-3</v>
      </c>
      <c r="D52" s="1571">
        <f>EDATE(C52,-1)</f>
        <v>43132</v>
      </c>
      <c r="E52" s="1571">
        <f t="shared" ref="E52:O52" si="16">EDATE(D52,-1)</f>
        <v>43101</v>
      </c>
      <c r="F52" s="1571">
        <f t="shared" si="16"/>
        <v>43070</v>
      </c>
      <c r="G52" s="1571">
        <f t="shared" si="16"/>
        <v>43040</v>
      </c>
      <c r="H52" s="1571">
        <f t="shared" si="16"/>
        <v>43009</v>
      </c>
      <c r="I52" s="1571">
        <f t="shared" si="16"/>
        <v>42979</v>
      </c>
      <c r="J52" s="1571">
        <f t="shared" si="16"/>
        <v>42948</v>
      </c>
      <c r="K52" s="1571">
        <f t="shared" si="16"/>
        <v>42917</v>
      </c>
      <c r="L52" s="1571">
        <f t="shared" si="16"/>
        <v>42887</v>
      </c>
      <c r="M52" s="1571">
        <f t="shared" si="16"/>
        <v>42856</v>
      </c>
      <c r="N52" s="1571">
        <f t="shared" si="16"/>
        <v>42826</v>
      </c>
      <c r="O52" s="1571">
        <f t="shared" si="16"/>
        <v>42795</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47"/>
      <c r="O55" s="1147"/>
      <c r="P55" s="526"/>
      <c r="Q55" s="504"/>
    </row>
    <row r="56" spans="1:17" s="117" customFormat="1" ht="15.75" thickBot="1">
      <c r="A56" s="521"/>
      <c r="B56" s="510"/>
      <c r="C56" s="637">
        <v>100</v>
      </c>
      <c r="D56" s="512"/>
      <c r="E56" s="512"/>
      <c r="F56" s="512"/>
      <c r="G56" s="512"/>
      <c r="H56" s="512"/>
      <c r="I56" s="512"/>
      <c r="J56" s="512"/>
      <c r="K56" s="512"/>
      <c r="L56" s="512"/>
      <c r="M56" s="514"/>
      <c r="N56" s="1147"/>
      <c r="O56" s="1147"/>
      <c r="P56" s="504"/>
      <c r="Q56" s="504"/>
    </row>
    <row r="57" spans="1:17">
      <c r="A57" s="527" t="s">
        <v>2576</v>
      </c>
      <c r="B57" s="528" t="s">
        <v>2542</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2547</v>
      </c>
      <c r="B70" s="528" t="s">
        <v>2692</v>
      </c>
      <c r="C70" s="573" t="s">
        <v>2585</v>
      </c>
      <c r="D70" s="573" t="s">
        <v>2586</v>
      </c>
      <c r="E70" s="573" t="s">
        <v>2587</v>
      </c>
      <c r="F70" s="573" t="s">
        <v>2588</v>
      </c>
      <c r="G70" s="573" t="s">
        <v>2589</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2676</v>
      </c>
      <c r="C76" s="658" t="s">
        <v>2662</v>
      </c>
      <c r="D76" s="658" t="s">
        <v>2663</v>
      </c>
      <c r="E76" s="658" t="s">
        <v>2664</v>
      </c>
      <c r="F76" s="658" t="s">
        <v>2665</v>
      </c>
      <c r="G76" s="658" t="s">
        <v>2666</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49"/>
      <c r="O77" s="1149"/>
      <c r="P77" s="45"/>
      <c r="Q77" s="504"/>
    </row>
    <row r="78" spans="1:17" ht="15.75" thickTop="1">
      <c r="A78" s="534"/>
      <c r="B78" s="538" t="s">
        <v>2685</v>
      </c>
      <c r="C78" s="578" t="s">
        <v>2585</v>
      </c>
      <c r="D78" s="578" t="s">
        <v>2586</v>
      </c>
      <c r="E78" s="578" t="s">
        <v>2587</v>
      </c>
      <c r="F78" s="578" t="s">
        <v>2588</v>
      </c>
      <c r="G78" s="578" t="s">
        <v>2589</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1"/>
      <c r="B87" s="569"/>
      <c r="C87" s="570"/>
      <c r="D87" s="570"/>
      <c r="E87" s="570"/>
      <c r="F87" s="570"/>
      <c r="G87" s="591"/>
      <c r="H87" s="591"/>
      <c r="I87" s="591"/>
      <c r="J87" s="591"/>
      <c r="K87" s="591"/>
      <c r="L87" s="591"/>
      <c r="M87" s="592"/>
      <c r="N87" s="1149"/>
      <c r="O87" s="1149"/>
      <c r="P87" s="45"/>
      <c r="Q87" s="504"/>
    </row>
    <row r="88" spans="1:17">
      <c r="A88" s="527" t="s">
        <v>2551</v>
      </c>
      <c r="B88" s="528" t="s">
        <v>2600</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2602</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2604</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1"/>
      <c r="J98" s="621"/>
      <c r="K98" s="622"/>
      <c r="L98" s="623"/>
      <c r="M98" s="624"/>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2605</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2606</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2608</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4" t="s">
        <v>2693</v>
      </c>
      <c r="C106" s="578" t="s">
        <v>2585</v>
      </c>
      <c r="D106" s="578" t="s">
        <v>2586</v>
      </c>
      <c r="E106" s="578" t="s">
        <v>2587</v>
      </c>
      <c r="F106" s="578" t="s">
        <v>2588</v>
      </c>
      <c r="G106" s="578" t="s">
        <v>2589</v>
      </c>
      <c r="H106" s="539"/>
      <c r="I106" s="539"/>
      <c r="J106" s="539"/>
      <c r="K106" s="540"/>
      <c r="L106" s="541"/>
      <c r="M106" s="542"/>
      <c r="N106" s="1149"/>
      <c r="O106" s="1149"/>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1"/>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5" type="noConversion"/>
  <conditionalFormatting sqref="F46 H46">
    <cfRule type="containsText" dxfId="74" priority="16" stopIfTrue="1" operator="containsText" text="超过">
      <formula>NOT(ISERROR(SEARCH("超过",F46)))</formula>
    </cfRule>
  </conditionalFormatting>
  <conditionalFormatting sqref="H48">
    <cfRule type="containsText" dxfId="73" priority="15" stopIfTrue="1" operator="containsText" text="超过">
      <formula>NOT(ISERROR(SEARCH("超过",H48)))</formula>
    </cfRule>
  </conditionalFormatting>
  <conditionalFormatting sqref="F48">
    <cfRule type="containsText" dxfId="72" priority="14" stopIfTrue="1" operator="containsText" text="超过">
      <formula>NOT(ISERROR(SEARCH("超过",F48)))</formula>
    </cfRule>
  </conditionalFormatting>
  <conditionalFormatting sqref="F47 H47">
    <cfRule type="containsText" dxfId="71" priority="13" stopIfTrue="1" operator="containsText" text="超过">
      <formula>NOT(ISERROR(SEARCH("超过",F47)))</formula>
    </cfRule>
  </conditionalFormatting>
  <conditionalFormatting sqref="E46">
    <cfRule type="expression" dxfId="70" priority="12" stopIfTrue="1">
      <formula>$F$46="超过30%"</formula>
    </cfRule>
  </conditionalFormatting>
  <conditionalFormatting sqref="E47">
    <cfRule type="expression" dxfId="69" priority="11" stopIfTrue="1">
      <formula>$F$47="超过20%"</formula>
    </cfRule>
  </conditionalFormatting>
  <conditionalFormatting sqref="E48">
    <cfRule type="expression" dxfId="68" priority="10" stopIfTrue="1">
      <formula>$F$48="超过30%"</formula>
    </cfRule>
  </conditionalFormatting>
  <conditionalFormatting sqref="G48">
    <cfRule type="expression" dxfId="67" priority="9" stopIfTrue="1">
      <formula>$H$48="超过30%"</formula>
    </cfRule>
  </conditionalFormatting>
  <conditionalFormatting sqref="G46">
    <cfRule type="expression" dxfId="66" priority="8" stopIfTrue="1">
      <formula>$H$46="超过30%"</formula>
    </cfRule>
  </conditionalFormatting>
  <conditionalFormatting sqref="G47">
    <cfRule type="expression" dxfId="65" priority="7" stopIfTrue="1">
      <formula>$H$47="超过20%"</formula>
    </cfRule>
  </conditionalFormatting>
  <conditionalFormatting sqref="J46">
    <cfRule type="containsText" dxfId="64" priority="6" stopIfTrue="1" operator="containsText" text="超过">
      <formula>NOT(ISERROR(SEARCH("超过",J46)))</formula>
    </cfRule>
  </conditionalFormatting>
  <conditionalFormatting sqref="J48">
    <cfRule type="containsText" dxfId="63" priority="5" stopIfTrue="1" operator="containsText" text="超过">
      <formula>NOT(ISERROR(SEARCH("超过",J48)))</formula>
    </cfRule>
  </conditionalFormatting>
  <conditionalFormatting sqref="J47">
    <cfRule type="containsText" dxfId="62" priority="4" stopIfTrue="1" operator="containsText" text="超过">
      <formula>NOT(ISERROR(SEARCH("超过",J47)))</formula>
    </cfRule>
  </conditionalFormatting>
  <conditionalFormatting sqref="I46">
    <cfRule type="expression" dxfId="61" priority="3" stopIfTrue="1">
      <formula>$J$46="超过30%"</formula>
    </cfRule>
  </conditionalFormatting>
  <conditionalFormatting sqref="I47">
    <cfRule type="expression" dxfId="60" priority="2" stopIfTrue="1">
      <formula>$J$47="超过20%"</formula>
    </cfRule>
  </conditionalFormatting>
  <conditionalFormatting sqref="I48">
    <cfRule type="expression" dxfId="5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activeCell="W3" sqref="W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2694</v>
      </c>
      <c r="B1" s="1615"/>
      <c r="C1" s="1616" t="s">
        <v>2518</v>
      </c>
      <c r="D1" s="1617"/>
      <c r="E1" s="1626"/>
      <c r="F1" s="2579"/>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2315</v>
      </c>
      <c r="B2" s="1414" t="e">
        <f ca="1">IF(C2="——",ROUND(C37*D3/10000,0),ROUND(C37*D3/10000,0)-D2)</f>
        <v>#DIV/0!</v>
      </c>
      <c r="C2" s="2581"/>
      <c r="D2" s="1120" t="e">
        <f ca="1">SUMIF(INDIRECT("'"&amp;F2&amp;"'"&amp;"!A:A"),"承租人权益价值",INDIRECT("'"&amp;F2&amp;"'"&amp;"!c:c"))</f>
        <v>#REF!</v>
      </c>
      <c r="E2" s="2582" t="s">
        <v>2316</v>
      </c>
      <c r="F2" s="2583"/>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2317</v>
      </c>
      <c r="B3" s="609" t="e">
        <f ca="1">IF(C2="——",C37,ROUND(B2*10000/D3,0))</f>
        <v>#DIV/0!</v>
      </c>
      <c r="C3" s="400" t="s">
        <v>2632</v>
      </c>
      <c r="D3" s="399">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2633</v>
      </c>
      <c r="B4" s="402"/>
      <c r="C4" s="3282" t="s">
        <v>2634</v>
      </c>
      <c r="D4" s="3283"/>
      <c r="E4" s="3284" t="s">
        <v>2635</v>
      </c>
      <c r="F4" s="3285"/>
      <c r="G4" s="3282" t="s">
        <v>2636</v>
      </c>
      <c r="H4" s="3283"/>
      <c r="I4" s="3282" t="s">
        <v>2637</v>
      </c>
      <c r="J4" s="3283"/>
      <c r="K4" s="610" t="s">
        <v>2638</v>
      </c>
      <c r="L4" s="1126"/>
      <c r="M4" s="1127"/>
      <c r="N4" s="1127"/>
      <c r="O4" s="1127"/>
      <c r="P4" s="3323" t="s">
        <v>2639</v>
      </c>
      <c r="Q4" s="3324"/>
      <c r="R4" s="3327" t="s">
        <v>2635</v>
      </c>
      <c r="S4" s="3328"/>
      <c r="T4" s="3327" t="s">
        <v>2636</v>
      </c>
      <c r="U4" s="3328"/>
      <c r="V4" s="3299" t="s">
        <v>2637</v>
      </c>
      <c r="W4" s="3299"/>
      <c r="X4" s="1809"/>
      <c r="Y4" s="3327" t="s">
        <v>2639</v>
      </c>
      <c r="Z4" s="3328"/>
      <c r="AA4" s="3320" t="s">
        <v>2635</v>
      </c>
      <c r="AB4" s="3313" t="s">
        <v>2636</v>
      </c>
      <c r="AC4" s="3320" t="s">
        <v>2637</v>
      </c>
    </row>
    <row r="5" spans="1:29" ht="15">
      <c r="A5" s="404"/>
      <c r="B5" s="405"/>
      <c r="C5" s="3308" t="s">
        <v>2530</v>
      </c>
      <c r="D5" s="3303"/>
      <c r="E5" s="3360" t="s">
        <v>2531</v>
      </c>
      <c r="F5" s="3316"/>
      <c r="G5" s="3308" t="s">
        <v>2532</v>
      </c>
      <c r="H5" s="3303"/>
      <c r="I5" s="3308" t="s">
        <v>2533</v>
      </c>
      <c r="J5" s="3303"/>
      <c r="K5" s="610"/>
      <c r="L5" s="1126"/>
      <c r="M5" s="1127"/>
      <c r="N5" s="1127"/>
      <c r="O5" s="1127"/>
      <c r="P5" s="3325"/>
      <c r="Q5" s="3289"/>
      <c r="R5" s="3294"/>
      <c r="S5" s="3295"/>
      <c r="T5" s="3294"/>
      <c r="U5" s="3295"/>
      <c r="V5" s="3299"/>
      <c r="W5" s="3299"/>
      <c r="X5" s="1809"/>
      <c r="Y5" s="3294"/>
      <c r="Z5" s="3295"/>
      <c r="AA5" s="3313"/>
      <c r="AB5" s="3313"/>
      <c r="AC5" s="3313"/>
    </row>
    <row r="6" spans="1:29" ht="15.75" thickBot="1">
      <c r="A6" s="406"/>
      <c r="B6" s="407"/>
      <c r="C6" s="3309" t="s">
        <v>2534</v>
      </c>
      <c r="D6" s="3301"/>
      <c r="E6" s="3331" t="s">
        <v>2534</v>
      </c>
      <c r="F6" s="3311"/>
      <c r="G6" s="3309" t="s">
        <v>2534</v>
      </c>
      <c r="H6" s="3301"/>
      <c r="I6" s="3309" t="s">
        <v>2534</v>
      </c>
      <c r="J6" s="3301"/>
      <c r="K6" s="610" t="s">
        <v>2535</v>
      </c>
      <c r="L6" s="1126"/>
      <c r="M6" s="1127"/>
      <c r="N6" s="1127"/>
      <c r="O6" s="1127"/>
      <c r="P6" s="3326"/>
      <c r="Q6" s="3291"/>
      <c r="R6" s="3294"/>
      <c r="S6" s="3295"/>
      <c r="T6" s="3296"/>
      <c r="U6" s="3297"/>
      <c r="V6" s="3299"/>
      <c r="W6" s="3299"/>
      <c r="X6" s="1809"/>
      <c r="Y6" s="3296"/>
      <c r="Z6" s="3297"/>
      <c r="AA6" s="3314"/>
      <c r="AB6" s="3314"/>
      <c r="AC6" s="3314"/>
    </row>
    <row r="7" spans="1:29" s="117" customFormat="1" ht="15.75" thickBot="1">
      <c r="A7" s="408" t="s">
        <v>2536</v>
      </c>
      <c r="B7" s="409"/>
      <c r="C7" s="410">
        <f>'数据-取费表'!B2</f>
        <v>43185</v>
      </c>
      <c r="D7" s="411">
        <v>100</v>
      </c>
      <c r="E7" s="412"/>
      <c r="F7" s="413">
        <f>SUMIF(46:46,YEAR(E7)&amp;"-"&amp;MONTH(E7),47:47)</f>
        <v>0</v>
      </c>
      <c r="G7" s="2691"/>
      <c r="H7" s="411">
        <f>SUMIF(46:46,YEAR(G7)&amp;"-"&amp;MONTH(G7),47:47)</f>
        <v>0</v>
      </c>
      <c r="I7" s="412"/>
      <c r="J7" s="411">
        <f>SUMIF(46:46,YEAR(I7)&amp;"-"&amp;MONTH(I7),47:47)</f>
        <v>0</v>
      </c>
      <c r="K7" s="611"/>
      <c r="L7" s="1128"/>
      <c r="M7" s="1129"/>
      <c r="N7" s="1129"/>
      <c r="O7" s="1129"/>
      <c r="P7" s="3306" t="s">
        <v>2537</v>
      </c>
      <c r="Q7" s="3307"/>
      <c r="R7" s="768" t="s">
        <v>17</v>
      </c>
      <c r="S7" s="769">
        <f t="shared" ref="S7:S14" si="0">F7</f>
        <v>0</v>
      </c>
      <c r="T7" s="768" t="s">
        <v>17</v>
      </c>
      <c r="U7" s="769">
        <f t="shared" ref="U7:U14" si="1">H7</f>
        <v>0</v>
      </c>
      <c r="V7" s="768" t="s">
        <v>17</v>
      </c>
      <c r="W7" s="769">
        <f t="shared" ref="W7:W14" si="2">J7</f>
        <v>0</v>
      </c>
      <c r="X7" s="770"/>
      <c r="Y7" s="3306" t="s">
        <v>2537</v>
      </c>
      <c r="Z7" s="3305"/>
      <c r="AA7" s="771" t="e">
        <f>D7/F7</f>
        <v>#DIV/0!</v>
      </c>
      <c r="AB7" s="771" t="e">
        <f>D7/H7</f>
        <v>#DIV/0!</v>
      </c>
      <c r="AC7" s="771"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306" t="s">
        <v>2540</v>
      </c>
      <c r="Q8" s="3305"/>
      <c r="R8" s="768" t="s">
        <v>17</v>
      </c>
      <c r="S8" s="769">
        <f t="shared" si="0"/>
        <v>0</v>
      </c>
      <c r="T8" s="768" t="s">
        <v>17</v>
      </c>
      <c r="U8" s="769">
        <f t="shared" si="1"/>
        <v>0</v>
      </c>
      <c r="V8" s="768" t="s">
        <v>17</v>
      </c>
      <c r="W8" s="769">
        <f t="shared" si="2"/>
        <v>0</v>
      </c>
      <c r="X8" s="770"/>
      <c r="Y8" s="3306" t="s">
        <v>2540</v>
      </c>
      <c r="Z8" s="3305"/>
      <c r="AA8" s="771" t="e">
        <f t="shared" ref="AA8:AA34" si="3">D8/F8</f>
        <v>#DIV/0!</v>
      </c>
      <c r="AB8" s="771" t="e">
        <f t="shared" ref="AB8:AB34" si="4">D8/H8</f>
        <v>#DIV/0!</v>
      </c>
      <c r="AC8" s="771"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65" t="s">
        <v>2543</v>
      </c>
      <c r="Q9" s="1791" t="str">
        <f t="shared" ref="Q9:Q14" si="6">B9</f>
        <v>用途</v>
      </c>
      <c r="R9" s="768" t="s">
        <v>17</v>
      </c>
      <c r="S9" s="769">
        <f t="shared" si="0"/>
        <v>100</v>
      </c>
      <c r="T9" s="768" t="s">
        <v>17</v>
      </c>
      <c r="U9" s="769">
        <f t="shared" si="1"/>
        <v>100</v>
      </c>
      <c r="V9" s="768" t="s">
        <v>17</v>
      </c>
      <c r="W9" s="769">
        <f t="shared" si="2"/>
        <v>100</v>
      </c>
      <c r="X9" s="770"/>
      <c r="Y9" s="3106" t="s">
        <v>2544</v>
      </c>
      <c r="Z9" s="55" t="str">
        <f t="shared" ref="Z9:Z14" si="7">Q9</f>
        <v>用途</v>
      </c>
      <c r="AA9" s="771">
        <f t="shared" si="3"/>
        <v>1</v>
      </c>
      <c r="AB9" s="771">
        <f t="shared" si="4"/>
        <v>1</v>
      </c>
      <c r="AC9" s="771">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65"/>
      <c r="Q10" s="1791" t="str">
        <f t="shared" si="6"/>
        <v>土地使用年限（年）</v>
      </c>
      <c r="R10" s="768" t="s">
        <v>17</v>
      </c>
      <c r="S10" s="769">
        <f t="shared" si="0"/>
        <v>100</v>
      </c>
      <c r="T10" s="768" t="s">
        <v>17</v>
      </c>
      <c r="U10" s="769">
        <f t="shared" si="1"/>
        <v>100</v>
      </c>
      <c r="V10" s="768" t="s">
        <v>17</v>
      </c>
      <c r="W10" s="769">
        <f t="shared" si="2"/>
        <v>100</v>
      </c>
      <c r="X10" s="770"/>
      <c r="Y10" s="3106"/>
      <c r="Z10" s="55" t="str">
        <f t="shared" si="7"/>
        <v>土地使用年限（年）</v>
      </c>
      <c r="AA10" s="771">
        <f t="shared" si="3"/>
        <v>1</v>
      </c>
      <c r="AB10" s="771">
        <f t="shared" si="4"/>
        <v>1</v>
      </c>
      <c r="AC10" s="771">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65"/>
      <c r="Q11" s="1791">
        <f t="shared" si="6"/>
        <v>111</v>
      </c>
      <c r="R11" s="768" t="s">
        <v>17</v>
      </c>
      <c r="S11" s="769">
        <f t="shared" si="0"/>
        <v>100</v>
      </c>
      <c r="T11" s="768" t="s">
        <v>17</v>
      </c>
      <c r="U11" s="769">
        <f t="shared" si="1"/>
        <v>100</v>
      </c>
      <c r="V11" s="768" t="s">
        <v>17</v>
      </c>
      <c r="W11" s="769">
        <f t="shared" si="2"/>
        <v>100</v>
      </c>
      <c r="X11" s="770"/>
      <c r="Y11" s="3106"/>
      <c r="Z11" s="55">
        <f t="shared" si="7"/>
        <v>111</v>
      </c>
      <c r="AA11" s="771">
        <f t="shared" si="3"/>
        <v>1</v>
      </c>
      <c r="AB11" s="771">
        <f t="shared" si="4"/>
        <v>1</v>
      </c>
      <c r="AC11" s="771">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65"/>
      <c r="Q12" s="1791">
        <f t="shared" si="6"/>
        <v>111</v>
      </c>
      <c r="R12" s="768" t="s">
        <v>17</v>
      </c>
      <c r="S12" s="769">
        <f t="shared" si="0"/>
        <v>100</v>
      </c>
      <c r="T12" s="768" t="s">
        <v>17</v>
      </c>
      <c r="U12" s="769">
        <f t="shared" si="1"/>
        <v>100</v>
      </c>
      <c r="V12" s="768" t="s">
        <v>17</v>
      </c>
      <c r="W12" s="769">
        <f t="shared" si="2"/>
        <v>100</v>
      </c>
      <c r="X12" s="770"/>
      <c r="Y12" s="3106"/>
      <c r="Z12" s="55">
        <f t="shared" si="7"/>
        <v>111</v>
      </c>
      <c r="AA12" s="771">
        <f>D12/F12</f>
        <v>1</v>
      </c>
      <c r="AB12" s="771">
        <f>D12/H12</f>
        <v>1</v>
      </c>
      <c r="AC12" s="771">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6"/>
      <c r="M13" s="1127"/>
      <c r="N13" s="1127"/>
      <c r="O13" s="1135"/>
      <c r="P13" s="3265"/>
      <c r="Q13" s="1791">
        <f t="shared" si="6"/>
        <v>111</v>
      </c>
      <c r="R13" s="768" t="s">
        <v>17</v>
      </c>
      <c r="S13" s="769">
        <f t="shared" si="0"/>
        <v>100</v>
      </c>
      <c r="T13" s="768" t="s">
        <v>17</v>
      </c>
      <c r="U13" s="769">
        <f t="shared" si="1"/>
        <v>100</v>
      </c>
      <c r="V13" s="768" t="s">
        <v>17</v>
      </c>
      <c r="W13" s="769">
        <f t="shared" si="2"/>
        <v>100</v>
      </c>
      <c r="X13" s="770"/>
      <c r="Y13" s="3106"/>
      <c r="Z13" s="55">
        <f t="shared" si="7"/>
        <v>111</v>
      </c>
      <c r="AA13" s="771">
        <f t="shared" si="3"/>
        <v>1</v>
      </c>
      <c r="AB13" s="771">
        <f t="shared" si="4"/>
        <v>1</v>
      </c>
      <c r="AC13" s="771">
        <f t="shared" si="5"/>
        <v>1</v>
      </c>
    </row>
    <row r="14" spans="1:29" ht="128.25">
      <c r="A14" s="440" t="s">
        <v>2547</v>
      </c>
      <c r="B14" s="69" t="s">
        <v>2696</v>
      </c>
      <c r="C14" s="2688" t="str">
        <f>IF(B1="工业",估价对象房地状况!G4,估价对象房地状况!C6)</f>
        <v>周边道路状况、公共交通通达情况、停车便捷程度（快速路西四环北路 六号线海淀五路居站 五路桥公交站  61路 79路 121路 地上停车位）</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72" t="s">
        <v>2548</v>
      </c>
      <c r="Q14" s="1806" t="str">
        <f t="shared" si="6"/>
        <v>交通便捷度</v>
      </c>
      <c r="R14" s="772" t="s">
        <v>17</v>
      </c>
      <c r="S14" s="773">
        <f t="shared" si="0"/>
        <v>100</v>
      </c>
      <c r="T14" s="772" t="s">
        <v>17</v>
      </c>
      <c r="U14" s="773">
        <f t="shared" si="1"/>
        <v>100</v>
      </c>
      <c r="V14" s="772" t="s">
        <v>17</v>
      </c>
      <c r="W14" s="773">
        <f t="shared" si="2"/>
        <v>100</v>
      </c>
      <c r="X14" s="1809"/>
      <c r="Y14" s="3272" t="s">
        <v>2548</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273"/>
      <c r="Q15" s="1806"/>
      <c r="R15" s="772"/>
      <c r="S15" s="773"/>
      <c r="T15" s="772"/>
      <c r="U15" s="773"/>
      <c r="V15" s="772"/>
      <c r="W15" s="773"/>
      <c r="X15" s="1809"/>
      <c r="Y15" s="3273"/>
      <c r="Z15" s="1810"/>
      <c r="AA15" s="1807">
        <v>1</v>
      </c>
      <c r="AB15" s="1807">
        <v>1</v>
      </c>
      <c r="AC15" s="1807">
        <v>1</v>
      </c>
    </row>
    <row r="16" spans="1:29" ht="199.5">
      <c r="A16" s="428"/>
      <c r="B16" s="451" t="s">
        <v>2675</v>
      </c>
      <c r="C16" s="2602"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73"/>
      <c r="Q16" s="1806" t="str">
        <f>B16</f>
        <v>公共配套设施</v>
      </c>
      <c r="R16" s="772" t="s">
        <v>17</v>
      </c>
      <c r="S16" s="773">
        <f>F16</f>
        <v>100</v>
      </c>
      <c r="T16" s="772" t="s">
        <v>17</v>
      </c>
      <c r="U16" s="773">
        <f>H16</f>
        <v>100</v>
      </c>
      <c r="V16" s="772" t="s">
        <v>17</v>
      </c>
      <c r="W16" s="773">
        <f>J16</f>
        <v>100</v>
      </c>
      <c r="X16" s="1809"/>
      <c r="Y16" s="3273"/>
      <c r="Z16" s="1810" t="str">
        <f>Q16</f>
        <v>公共配套设施</v>
      </c>
      <c r="AA16" s="1807">
        <f t="shared" si="3"/>
        <v>1</v>
      </c>
      <c r="AB16" s="1807">
        <f t="shared" si="4"/>
        <v>1</v>
      </c>
      <c r="AC16" s="1807">
        <f t="shared" si="5"/>
        <v>1</v>
      </c>
    </row>
    <row r="17" spans="1:29" ht="15">
      <c r="A17" s="428"/>
      <c r="B17" s="456"/>
      <c r="C17" s="2603"/>
      <c r="D17" s="448"/>
      <c r="E17" s="447"/>
      <c r="F17" s="449"/>
      <c r="G17" s="447"/>
      <c r="H17" s="448"/>
      <c r="I17" s="447"/>
      <c r="J17" s="448"/>
      <c r="K17" s="615"/>
      <c r="L17" s="1136"/>
      <c r="M17" s="1127"/>
      <c r="N17" s="1127"/>
      <c r="O17" s="1135"/>
      <c r="P17" s="3273"/>
      <c r="Q17" s="1806"/>
      <c r="R17" s="772"/>
      <c r="S17" s="773"/>
      <c r="T17" s="772"/>
      <c r="U17" s="773"/>
      <c r="V17" s="772"/>
      <c r="W17" s="773"/>
      <c r="X17" s="1809"/>
      <c r="Y17" s="3273"/>
      <c r="Z17" s="1810"/>
      <c r="AA17" s="1807">
        <v>1</v>
      </c>
      <c r="AB17" s="1807">
        <v>1</v>
      </c>
      <c r="AC17" s="1807">
        <v>1</v>
      </c>
    </row>
    <row r="18" spans="1:29" ht="15">
      <c r="A18" s="428"/>
      <c r="B18" s="1380" t="s">
        <v>2676</v>
      </c>
      <c r="C18" s="2602">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73"/>
      <c r="Q18" s="1806" t="str">
        <f>B18</f>
        <v>基础设施水平</v>
      </c>
      <c r="R18" s="772" t="s">
        <v>17</v>
      </c>
      <c r="S18" s="773">
        <f>F18</f>
        <v>100</v>
      </c>
      <c r="T18" s="772" t="s">
        <v>17</v>
      </c>
      <c r="U18" s="773">
        <f>H18</f>
        <v>100</v>
      </c>
      <c r="V18" s="772" t="s">
        <v>17</v>
      </c>
      <c r="W18" s="773">
        <f>J18</f>
        <v>100</v>
      </c>
      <c r="X18" s="1809"/>
      <c r="Y18" s="3273"/>
      <c r="Z18" s="1810" t="str">
        <f>Q18</f>
        <v>基础设施水平</v>
      </c>
      <c r="AA18" s="1807">
        <f t="shared" ref="AA18" si="8">D18/F18</f>
        <v>1</v>
      </c>
      <c r="AB18" s="1807">
        <f t="shared" ref="AB18" si="9">D18/H18</f>
        <v>1</v>
      </c>
      <c r="AC18" s="1807">
        <f t="shared" ref="AC18" si="10">D18/J18</f>
        <v>1</v>
      </c>
    </row>
    <row r="19" spans="1:29" ht="15">
      <c r="A19" s="428"/>
      <c r="B19" s="1380"/>
      <c r="C19" s="2603"/>
      <c r="D19" s="450"/>
      <c r="E19" s="2603"/>
      <c r="F19" s="453"/>
      <c r="G19" s="2603"/>
      <c r="H19" s="448"/>
      <c r="I19" s="447"/>
      <c r="J19" s="448"/>
      <c r="K19" s="1379"/>
      <c r="L19" s="1136"/>
      <c r="M19" s="1127"/>
      <c r="N19" s="1127"/>
      <c r="O19" s="1135"/>
      <c r="P19" s="3273"/>
      <c r="Q19" s="1806"/>
      <c r="R19" s="772"/>
      <c r="S19" s="773"/>
      <c r="T19" s="772"/>
      <c r="U19" s="773"/>
      <c r="V19" s="772"/>
      <c r="W19" s="773"/>
      <c r="X19" s="1809"/>
      <c r="Y19" s="3273"/>
      <c r="Z19" s="1810"/>
      <c r="AA19" s="1807">
        <v>1</v>
      </c>
      <c r="AB19" s="1807">
        <v>1</v>
      </c>
      <c r="AC19" s="1807">
        <v>1</v>
      </c>
    </row>
    <row r="20" spans="1:29" ht="15">
      <c r="A20" s="428"/>
      <c r="B20" s="451" t="s">
        <v>2697</v>
      </c>
      <c r="C20" s="2602">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73"/>
      <c r="Q20" s="1806" t="str">
        <f>B20</f>
        <v>自然及人文环境</v>
      </c>
      <c r="R20" s="772" t="s">
        <v>17</v>
      </c>
      <c r="S20" s="773">
        <f>F20</f>
        <v>100</v>
      </c>
      <c r="T20" s="772" t="s">
        <v>17</v>
      </c>
      <c r="U20" s="773">
        <f>H20</f>
        <v>100</v>
      </c>
      <c r="V20" s="772" t="s">
        <v>17</v>
      </c>
      <c r="W20" s="773">
        <f>J20</f>
        <v>100</v>
      </c>
      <c r="X20" s="1809"/>
      <c r="Y20" s="3273"/>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273"/>
      <c r="Q21" s="1806"/>
      <c r="R21" s="772"/>
      <c r="S21" s="773"/>
      <c r="T21" s="772"/>
      <c r="U21" s="773"/>
      <c r="V21" s="772"/>
      <c r="W21" s="773"/>
      <c r="X21" s="1809"/>
      <c r="Y21" s="3273"/>
      <c r="Z21" s="1810"/>
      <c r="AA21" s="1807">
        <v>1</v>
      </c>
      <c r="AB21" s="1807">
        <v>1</v>
      </c>
      <c r="AC21" s="1807">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73"/>
      <c r="Q22" s="1806" t="str">
        <f>B22</f>
        <v>楼层</v>
      </c>
      <c r="R22" s="772" t="s">
        <v>17</v>
      </c>
      <c r="S22" s="773">
        <f>F22</f>
        <v>100</v>
      </c>
      <c r="T22" s="772" t="s">
        <v>17</v>
      </c>
      <c r="U22" s="773">
        <f>H22</f>
        <v>100</v>
      </c>
      <c r="V22" s="772" t="s">
        <v>17</v>
      </c>
      <c r="W22" s="773">
        <f>J22</f>
        <v>100</v>
      </c>
      <c r="X22" s="1809"/>
      <c r="Y22" s="3273"/>
      <c r="Z22" s="1810" t="str">
        <f>Q22</f>
        <v>楼层</v>
      </c>
      <c r="AA22" s="1807">
        <f t="shared" si="3"/>
        <v>1</v>
      </c>
      <c r="AB22" s="1807">
        <f t="shared" si="4"/>
        <v>1</v>
      </c>
      <c r="AC22" s="1807">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73"/>
      <c r="Q23" s="1806">
        <f>B23</f>
        <v>111</v>
      </c>
      <c r="R23" s="772" t="s">
        <v>17</v>
      </c>
      <c r="S23" s="773">
        <f>F23</f>
        <v>100</v>
      </c>
      <c r="T23" s="772" t="s">
        <v>17</v>
      </c>
      <c r="U23" s="773">
        <f>H23</f>
        <v>100</v>
      </c>
      <c r="V23" s="772" t="s">
        <v>17</v>
      </c>
      <c r="W23" s="773">
        <f>J23</f>
        <v>100</v>
      </c>
      <c r="X23" s="1809"/>
      <c r="Y23" s="3273"/>
      <c r="Z23" s="1810">
        <f>Q23</f>
        <v>111</v>
      </c>
      <c r="AA23" s="1807">
        <f t="shared" si="3"/>
        <v>1</v>
      </c>
      <c r="AB23" s="1807">
        <f t="shared" si="4"/>
        <v>1</v>
      </c>
      <c r="AC23" s="1807">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73"/>
      <c r="Q24" s="1806">
        <f t="shared" ref="Q24:Q34" si="11">B24</f>
        <v>111</v>
      </c>
      <c r="R24" s="772" t="s">
        <v>17</v>
      </c>
      <c r="S24" s="773">
        <f>F24</f>
        <v>100</v>
      </c>
      <c r="T24" s="772" t="s">
        <v>17</v>
      </c>
      <c r="U24" s="773">
        <f>H24</f>
        <v>100</v>
      </c>
      <c r="V24" s="772" t="s">
        <v>17</v>
      </c>
      <c r="W24" s="773">
        <f>J24</f>
        <v>100</v>
      </c>
      <c r="X24" s="1809"/>
      <c r="Y24" s="3273"/>
      <c r="Z24" s="1810">
        <f>Q24</f>
        <v>111</v>
      </c>
      <c r="AA24" s="1807">
        <f t="shared" si="3"/>
        <v>1</v>
      </c>
      <c r="AB24" s="1807">
        <f t="shared" si="4"/>
        <v>1</v>
      </c>
      <c r="AC24" s="1807">
        <f t="shared" si="5"/>
        <v>1</v>
      </c>
    </row>
    <row r="25" spans="1:29" s="117" customFormat="1" ht="15.75" thickBot="1">
      <c r="A25" s="431"/>
      <c r="B25" s="2595">
        <v>111</v>
      </c>
      <c r="C25" s="2693"/>
      <c r="D25" s="663">
        <v>100</v>
      </c>
      <c r="E25" s="2693"/>
      <c r="F25" s="664">
        <f>SUMIF(75:75,E25,76:76)-SUMIF(75:75,C25,76:76)+100</f>
        <v>100</v>
      </c>
      <c r="G25" s="2693"/>
      <c r="H25" s="663">
        <f>SUMIF(75:75,G25,76:76)-SUMIF(75:75,C25,76:76)+100</f>
        <v>100</v>
      </c>
      <c r="I25" s="2693"/>
      <c r="J25" s="663">
        <f>SUMIF(75:75,I25,76:76)-SUMIF(75:75,C25,76:76)+100</f>
        <v>100</v>
      </c>
      <c r="K25" s="613"/>
      <c r="L25" s="1128"/>
      <c r="M25" s="1129"/>
      <c r="N25" s="1129"/>
      <c r="O25" s="1130"/>
      <c r="P25" s="3273"/>
      <c r="Q25" s="1791">
        <f t="shared" si="11"/>
        <v>111</v>
      </c>
      <c r="R25" s="768" t="s">
        <v>17</v>
      </c>
      <c r="S25" s="769">
        <f>F25</f>
        <v>100</v>
      </c>
      <c r="T25" s="768" t="s">
        <v>17</v>
      </c>
      <c r="U25" s="769">
        <f>H25</f>
        <v>100</v>
      </c>
      <c r="V25" s="768" t="s">
        <v>17</v>
      </c>
      <c r="W25" s="769">
        <f>J25</f>
        <v>100</v>
      </c>
      <c r="X25" s="770"/>
      <c r="Y25" s="3273"/>
      <c r="Z25" s="55">
        <f>Q25</f>
        <v>111</v>
      </c>
      <c r="AA25" s="1807">
        <f>D25/F25</f>
        <v>1</v>
      </c>
      <c r="AB25" s="1807">
        <f>D25/H25</f>
        <v>1</v>
      </c>
      <c r="AC25" s="1807">
        <f>D25/J25</f>
        <v>1</v>
      </c>
    </row>
    <row r="26" spans="1:29" ht="15">
      <c r="A26" s="466" t="s">
        <v>2551</v>
      </c>
      <c r="B26" s="71" t="s">
        <v>2701</v>
      </c>
      <c r="C26" s="2674"/>
      <c r="D26" s="467">
        <v>100</v>
      </c>
      <c r="E26" s="2674"/>
      <c r="F26" s="665">
        <f>SUMIF(77:77,E26,78:78)-SUMIF(77:77,C26,78:78)+100</f>
        <v>100</v>
      </c>
      <c r="G26" s="2674"/>
      <c r="H26" s="467">
        <f>SUMIF(77:77,G26,78:78)-SUMIF(77:77,C26,78:78)+100</f>
        <v>100</v>
      </c>
      <c r="I26" s="2674"/>
      <c r="J26" s="467">
        <f>SUMIF(77:77,I26,78:78)-SUMIF(77:77,C26,78:78)+100</f>
        <v>100</v>
      </c>
      <c r="K26" s="612"/>
      <c r="L26" s="1136"/>
      <c r="M26" s="1127"/>
      <c r="N26" s="1127"/>
      <c r="O26" s="1135"/>
      <c r="P26" s="3332" t="s">
        <v>2553</v>
      </c>
      <c r="Q26" s="1806" t="str">
        <f t="shared" si="11"/>
        <v>公共部分装修</v>
      </c>
      <c r="R26" s="772" t="s">
        <v>17</v>
      </c>
      <c r="S26" s="773">
        <f t="shared" ref="S26:S34" si="12">F26</f>
        <v>100</v>
      </c>
      <c r="T26" s="772" t="s">
        <v>17</v>
      </c>
      <c r="U26" s="773">
        <f t="shared" ref="U26:U34" si="13">H26</f>
        <v>100</v>
      </c>
      <c r="V26" s="772" t="s">
        <v>17</v>
      </c>
      <c r="W26" s="773">
        <f t="shared" ref="W26:W34" si="14">J26</f>
        <v>100</v>
      </c>
      <c r="X26" s="1809"/>
      <c r="Y26" s="3277" t="s">
        <v>2553</v>
      </c>
      <c r="Z26" s="1810" t="str">
        <f t="shared" ref="Z26:Z34" si="15">Q26</f>
        <v>公共部分装修</v>
      </c>
      <c r="AA26" s="1807">
        <f t="shared" si="3"/>
        <v>1</v>
      </c>
      <c r="AB26" s="1807">
        <f t="shared" si="4"/>
        <v>1</v>
      </c>
      <c r="AC26" s="1807">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77"/>
      <c r="Q27" s="774" t="str">
        <f t="shared" si="11"/>
        <v>成新率</v>
      </c>
      <c r="R27" s="775" t="s">
        <v>17</v>
      </c>
      <c r="S27" s="776" t="e">
        <f t="shared" si="12"/>
        <v>#N/A</v>
      </c>
      <c r="T27" s="775" t="s">
        <v>17</v>
      </c>
      <c r="U27" s="776" t="e">
        <f t="shared" si="13"/>
        <v>#N/A</v>
      </c>
      <c r="V27" s="775" t="s">
        <v>17</v>
      </c>
      <c r="W27" s="776" t="e">
        <f t="shared" si="14"/>
        <v>#N/A</v>
      </c>
      <c r="X27" s="777"/>
      <c r="Y27" s="3277"/>
      <c r="Z27" s="778" t="str">
        <f t="shared" si="15"/>
        <v>成新率</v>
      </c>
      <c r="AA27" s="1807" t="e">
        <f t="shared" si="3"/>
        <v>#N/A</v>
      </c>
      <c r="AB27" s="1807" t="e">
        <f t="shared" si="4"/>
        <v>#N/A</v>
      </c>
      <c r="AC27" s="1807"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77"/>
      <c r="Q28" s="1806" t="str">
        <f t="shared" si="11"/>
        <v>物业等级</v>
      </c>
      <c r="R28" s="772" t="s">
        <v>17</v>
      </c>
      <c r="S28" s="773">
        <f t="shared" si="12"/>
        <v>100</v>
      </c>
      <c r="T28" s="772" t="s">
        <v>17</v>
      </c>
      <c r="U28" s="773">
        <f t="shared" si="13"/>
        <v>100</v>
      </c>
      <c r="V28" s="772" t="s">
        <v>17</v>
      </c>
      <c r="W28" s="773">
        <f t="shared" si="14"/>
        <v>100</v>
      </c>
      <c r="X28" s="1809"/>
      <c r="Y28" s="3277"/>
      <c r="Z28" s="1810" t="str">
        <f t="shared" si="15"/>
        <v>物业等级</v>
      </c>
      <c r="AA28" s="1807">
        <f t="shared" si="3"/>
        <v>1</v>
      </c>
      <c r="AB28" s="1807">
        <f t="shared" si="4"/>
        <v>1</v>
      </c>
      <c r="AC28" s="1807">
        <f t="shared" si="5"/>
        <v>1</v>
      </c>
    </row>
    <row r="29" spans="1:29" ht="15">
      <c r="A29" s="472"/>
      <c r="B29" s="422" t="s">
        <v>2723</v>
      </c>
      <c r="C29" s="655"/>
      <c r="D29" s="435">
        <v>100</v>
      </c>
      <c r="E29" s="655"/>
      <c r="F29" s="461">
        <f>SUMIF(84:84,E29,85:85)-SUMIF(84:84,C29,85:85)+100</f>
        <v>100</v>
      </c>
      <c r="G29" s="655"/>
      <c r="H29" s="435">
        <f>SUMIF(84:84,G29,85:85)-SUMIF(84:84,C29,85:85)+100</f>
        <v>100</v>
      </c>
      <c r="I29" s="655"/>
      <c r="J29" s="435">
        <f>SUMIF(84:84,I29,85:85)-SUMIF(84:84,C29,85:85)+100</f>
        <v>100</v>
      </c>
      <c r="K29" s="612"/>
      <c r="L29" s="1136"/>
      <c r="M29" s="1127"/>
      <c r="N29" s="1127"/>
      <c r="O29" s="1135"/>
      <c r="P29" s="3277"/>
      <c r="Q29" s="1806" t="str">
        <f t="shared" si="11"/>
        <v>有无电梯</v>
      </c>
      <c r="R29" s="772" t="s">
        <v>17</v>
      </c>
      <c r="S29" s="773">
        <f t="shared" si="12"/>
        <v>100</v>
      </c>
      <c r="T29" s="772" t="s">
        <v>17</v>
      </c>
      <c r="U29" s="773">
        <f t="shared" si="13"/>
        <v>100</v>
      </c>
      <c r="V29" s="772" t="s">
        <v>17</v>
      </c>
      <c r="W29" s="773">
        <f t="shared" si="14"/>
        <v>100</v>
      </c>
      <c r="X29" s="1809"/>
      <c r="Y29" s="3277"/>
      <c r="Z29" s="1810" t="str">
        <f t="shared" si="15"/>
        <v>有无电梯</v>
      </c>
      <c r="AA29" s="1807">
        <f t="shared" si="3"/>
        <v>1</v>
      </c>
      <c r="AB29" s="1807">
        <f t="shared" si="4"/>
        <v>1</v>
      </c>
      <c r="AC29" s="1807">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77"/>
      <c r="Q30" s="1806" t="str">
        <f t="shared" si="11"/>
        <v>建筑面积</v>
      </c>
      <c r="R30" s="772" t="s">
        <v>17</v>
      </c>
      <c r="S30" s="773" t="e">
        <f t="shared" si="12"/>
        <v>#N/A</v>
      </c>
      <c r="T30" s="772" t="s">
        <v>17</v>
      </c>
      <c r="U30" s="773" t="e">
        <f t="shared" si="13"/>
        <v>#N/A</v>
      </c>
      <c r="V30" s="772" t="s">
        <v>17</v>
      </c>
      <c r="W30" s="773" t="e">
        <f t="shared" si="14"/>
        <v>#N/A</v>
      </c>
      <c r="X30" s="1809"/>
      <c r="Y30" s="3277"/>
      <c r="Z30" s="1810" t="str">
        <f t="shared" si="15"/>
        <v>建筑面积</v>
      </c>
      <c r="AA30" s="1807" t="e">
        <f t="shared" si="3"/>
        <v>#N/A</v>
      </c>
      <c r="AB30" s="1807" t="e">
        <f t="shared" si="4"/>
        <v>#N/A</v>
      </c>
      <c r="AC30" s="1807" t="e">
        <f t="shared" si="5"/>
        <v>#N/A</v>
      </c>
    </row>
    <row r="31" spans="1:29" s="117" customFormat="1" ht="15">
      <c r="A31" s="473"/>
      <c r="B31" s="422" t="s">
        <v>2725</v>
      </c>
      <c r="C31" s="655"/>
      <c r="D31" s="136">
        <v>100</v>
      </c>
      <c r="E31" s="655"/>
      <c r="F31" s="461">
        <f>SUMIF(89:89,E31,90:90)-SUMIF(89:89,C31,90:90)+100</f>
        <v>100</v>
      </c>
      <c r="G31" s="655"/>
      <c r="H31" s="435">
        <f>SUMIF(89:89,G31,90:90)-SUMIF(89:89,C31,90:90)+100</f>
        <v>100</v>
      </c>
      <c r="I31" s="655"/>
      <c r="J31" s="435">
        <f>SUMIF(89:89,I31,90:90)-SUMIF(89:89,C31,90:90)+100</f>
        <v>100</v>
      </c>
      <c r="K31" s="612"/>
      <c r="L31" s="1128"/>
      <c r="M31" s="1129"/>
      <c r="N31" s="1129"/>
      <c r="O31" s="1130"/>
      <c r="P31" s="3277"/>
      <c r="Q31" s="1791" t="str">
        <f t="shared" si="11"/>
        <v>是否封闭</v>
      </c>
      <c r="R31" s="768" t="s">
        <v>17</v>
      </c>
      <c r="S31" s="769">
        <f t="shared" si="12"/>
        <v>100</v>
      </c>
      <c r="T31" s="768" t="s">
        <v>17</v>
      </c>
      <c r="U31" s="769">
        <f t="shared" si="13"/>
        <v>100</v>
      </c>
      <c r="V31" s="768" t="s">
        <v>17</v>
      </c>
      <c r="W31" s="769">
        <f t="shared" si="14"/>
        <v>100</v>
      </c>
      <c r="X31" s="770"/>
      <c r="Y31" s="3277"/>
      <c r="Z31" s="55" t="str">
        <f t="shared" si="15"/>
        <v>是否封闭</v>
      </c>
      <c r="AA31" s="771">
        <f t="shared" si="3"/>
        <v>1</v>
      </c>
      <c r="AB31" s="771">
        <f t="shared" si="4"/>
        <v>1</v>
      </c>
      <c r="AC31" s="771">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77" t="s">
        <v>2553</v>
      </c>
      <c r="Q32" s="1806">
        <f t="shared" si="11"/>
        <v>111</v>
      </c>
      <c r="R32" s="772" t="s">
        <v>17</v>
      </c>
      <c r="S32" s="773">
        <f t="shared" si="12"/>
        <v>100</v>
      </c>
      <c r="T32" s="772" t="s">
        <v>17</v>
      </c>
      <c r="U32" s="773">
        <f t="shared" si="13"/>
        <v>100</v>
      </c>
      <c r="V32" s="772" t="s">
        <v>17</v>
      </c>
      <c r="W32" s="773">
        <f t="shared" si="14"/>
        <v>100</v>
      </c>
      <c r="X32" s="1809"/>
      <c r="Y32" s="3277" t="s">
        <v>2553</v>
      </c>
      <c r="Z32" s="1810">
        <f t="shared" si="15"/>
        <v>111</v>
      </c>
      <c r="AA32" s="1807">
        <f t="shared" si="3"/>
        <v>1</v>
      </c>
      <c r="AB32" s="1807">
        <f t="shared" si="4"/>
        <v>1</v>
      </c>
      <c r="AC32" s="1807">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77"/>
      <c r="Q33" s="1806">
        <f t="shared" si="11"/>
        <v>111</v>
      </c>
      <c r="R33" s="772" t="s">
        <v>17</v>
      </c>
      <c r="S33" s="773">
        <f t="shared" si="12"/>
        <v>100</v>
      </c>
      <c r="T33" s="772" t="s">
        <v>17</v>
      </c>
      <c r="U33" s="773">
        <f t="shared" si="13"/>
        <v>100</v>
      </c>
      <c r="V33" s="772" t="s">
        <v>17</v>
      </c>
      <c r="W33" s="773">
        <f t="shared" si="14"/>
        <v>100</v>
      </c>
      <c r="X33" s="1809"/>
      <c r="Y33" s="3277"/>
      <c r="Z33" s="1810">
        <f t="shared" si="15"/>
        <v>111</v>
      </c>
      <c r="AA33" s="1807">
        <f t="shared" si="3"/>
        <v>1</v>
      </c>
      <c r="AB33" s="1807">
        <f t="shared" si="4"/>
        <v>1</v>
      </c>
      <c r="AC33" s="1807">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6"/>
      <c r="M34" s="1127"/>
      <c r="N34" s="1127"/>
      <c r="O34" s="1135"/>
      <c r="P34" s="3277"/>
      <c r="Q34" s="1806">
        <f t="shared" si="11"/>
        <v>111</v>
      </c>
      <c r="R34" s="772" t="s">
        <v>17</v>
      </c>
      <c r="S34" s="773">
        <f t="shared" si="12"/>
        <v>100</v>
      </c>
      <c r="T34" s="772" t="s">
        <v>17</v>
      </c>
      <c r="U34" s="773">
        <f t="shared" si="13"/>
        <v>100</v>
      </c>
      <c r="V34" s="772" t="s">
        <v>17</v>
      </c>
      <c r="W34" s="773">
        <f t="shared" si="14"/>
        <v>100</v>
      </c>
      <c r="X34" s="1809"/>
      <c r="Y34" s="3277"/>
      <c r="Z34" s="1810">
        <f t="shared" si="15"/>
        <v>111</v>
      </c>
      <c r="AA34" s="1807">
        <f t="shared" si="3"/>
        <v>1</v>
      </c>
      <c r="AB34" s="1807">
        <f t="shared" si="4"/>
        <v>1</v>
      </c>
      <c r="AC34" s="1807">
        <f t="shared" si="5"/>
        <v>1</v>
      </c>
    </row>
    <row r="35" spans="1:29" ht="15">
      <c r="A35" s="479" t="s">
        <v>2565</v>
      </c>
      <c r="B35" s="480"/>
      <c r="C35" s="1403" t="s">
        <v>1</v>
      </c>
      <c r="D35" s="1404"/>
      <c r="E35" s="1405"/>
      <c r="F35" s="1406"/>
      <c r="G35" s="1407"/>
      <c r="H35" s="1408"/>
      <c r="I35" s="1405"/>
      <c r="J35" s="1408"/>
      <c r="K35" s="781"/>
      <c r="L35" s="1139"/>
      <c r="M35" s="1140"/>
      <c r="N35" s="1127"/>
      <c r="O35" s="1140"/>
      <c r="P35" s="3265" t="str">
        <f>A35</f>
        <v>成交单价（元/平方米）</v>
      </c>
      <c r="Q35" s="3265"/>
      <c r="R35" s="3266">
        <f>E35</f>
        <v>0</v>
      </c>
      <c r="S35" s="3266"/>
      <c r="T35" s="3266">
        <f>G35</f>
        <v>0</v>
      </c>
      <c r="U35" s="3266"/>
      <c r="V35" s="3266">
        <f>I35</f>
        <v>0</v>
      </c>
      <c r="W35" s="3266"/>
      <c r="X35" s="757"/>
      <c r="Y35" s="779"/>
      <c r="Z35" s="757"/>
      <c r="AA35" s="757"/>
      <c r="AB35" s="757"/>
      <c r="AC35" s="757"/>
    </row>
    <row r="36" spans="1:29" ht="15.75" thickBot="1">
      <c r="A36" s="486" t="s">
        <v>2656</v>
      </c>
      <c r="B36" s="487"/>
      <c r="C36" s="1409" t="e">
        <f>R37</f>
        <v>#DIV/0!</v>
      </c>
      <c r="D36" s="1410"/>
      <c r="E36" s="1411" t="e">
        <f>R36</f>
        <v>#DIV/0!</v>
      </c>
      <c r="F36" s="1411"/>
      <c r="G36" s="1409" t="e">
        <f>T36</f>
        <v>#DIV/0!</v>
      </c>
      <c r="H36" s="1410"/>
      <c r="I36" s="1411" t="e">
        <f>V36</f>
        <v>#DIV/0!</v>
      </c>
      <c r="J36" s="1410"/>
      <c r="K36" s="782"/>
      <c r="L36" s="1139"/>
      <c r="M36" s="1140"/>
      <c r="N36" s="1127"/>
      <c r="O36" s="1140"/>
      <c r="P36" s="3265" t="str">
        <f>A36</f>
        <v>比较价值（元/平方米）</v>
      </c>
      <c r="Q36" s="3265"/>
      <c r="R36" s="3266" t="e">
        <f>IF(F1="售价",ROUND(PRODUCT(R35,AA7:AA34),0),ROUND(PRODUCT(R35,AA7:AA34),1))</f>
        <v>#DIV/0!</v>
      </c>
      <c r="S36" s="3266"/>
      <c r="T36" s="3266" t="e">
        <f>IF(F1="售价",ROUND(PRODUCT(T35,AB7:AB34),0),ROUND(PRODUCT(T35,AB7:AB34),1))</f>
        <v>#DIV/0!</v>
      </c>
      <c r="U36" s="3266"/>
      <c r="V36" s="3266" t="e">
        <f>IF(F1="售价",ROUND(PRODUCT(V35,AC7:AC34),0),ROUND(PRODUCT(V35,AC7:AC34),1))</f>
        <v>#DIV/0!</v>
      </c>
      <c r="W36" s="3266"/>
      <c r="X36" s="757"/>
      <c r="Y36" s="757"/>
      <c r="Z36" s="757"/>
      <c r="AA36" s="757"/>
      <c r="AB36" s="757"/>
      <c r="AC36" s="757"/>
    </row>
    <row r="37" spans="1:29" ht="15.75" thickBot="1">
      <c r="A37" s="492" t="s">
        <v>2657</v>
      </c>
      <c r="B37" s="493"/>
      <c r="C37" s="1413" t="e">
        <f>R37</f>
        <v>#DIV/0!</v>
      </c>
      <c r="D37" s="1413"/>
      <c r="E37" s="1413"/>
      <c r="F37" s="1413"/>
      <c r="G37" s="1413"/>
      <c r="H37" s="1413"/>
      <c r="I37" s="1413"/>
      <c r="J37" s="1413"/>
      <c r="K37" s="783"/>
      <c r="L37" s="1139"/>
      <c r="M37" s="1140"/>
      <c r="N37" s="1140"/>
      <c r="O37" s="1140"/>
      <c r="P37" s="3317" t="str">
        <f>A37</f>
        <v>估价对象XX用房的比较价值（楼面单价，元/平方米）</v>
      </c>
      <c r="Q37" s="3318"/>
      <c r="R37" s="3319" t="e">
        <f>IF(F1="售价",ROUND(AVERAGE(R36:V36),0),ROUND(AVERAGE(R36:V36),1))</f>
        <v>#DIV/0!</v>
      </c>
      <c r="S37" s="3319"/>
      <c r="T37" s="3319"/>
      <c r="U37" s="3319"/>
      <c r="V37" s="3319"/>
      <c r="W37" s="3319"/>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2661</v>
      </c>
      <c r="B45" s="757"/>
      <c r="C45" s="762"/>
      <c r="D45" s="762"/>
      <c r="E45" s="762"/>
      <c r="F45" s="763"/>
      <c r="G45" s="763"/>
      <c r="H45" s="762"/>
      <c r="I45" s="762"/>
      <c r="J45" s="762"/>
      <c r="K45" s="764"/>
      <c r="L45" s="765"/>
      <c r="M45" s="762"/>
      <c r="N45" s="762"/>
      <c r="O45" s="762"/>
      <c r="P45" s="503"/>
      <c r="Q45" s="504"/>
    </row>
    <row r="46" spans="1:29" s="508" customFormat="1" ht="15">
      <c r="A46" s="505" t="s">
        <v>2536</v>
      </c>
      <c r="B46" s="506"/>
      <c r="C46" s="1570" t="str">
        <f>YEAR(C7)&amp;"-"&amp;MONTH(C7)</f>
        <v>2018-3</v>
      </c>
      <c r="D46" s="1571">
        <f>EDATE(C46,-1)</f>
        <v>43132</v>
      </c>
      <c r="E46" s="1571">
        <f t="shared" ref="E46:O46" si="16">EDATE(D46,-1)</f>
        <v>43101</v>
      </c>
      <c r="F46" s="1571">
        <f t="shared" si="16"/>
        <v>43070</v>
      </c>
      <c r="G46" s="1571">
        <f t="shared" si="16"/>
        <v>43040</v>
      </c>
      <c r="H46" s="1571">
        <f t="shared" si="16"/>
        <v>43009</v>
      </c>
      <c r="I46" s="1571">
        <f t="shared" si="16"/>
        <v>42979</v>
      </c>
      <c r="J46" s="1571">
        <f t="shared" si="16"/>
        <v>42948</v>
      </c>
      <c r="K46" s="1571">
        <f t="shared" si="16"/>
        <v>42917</v>
      </c>
      <c r="L46" s="1571">
        <f t="shared" si="16"/>
        <v>42887</v>
      </c>
      <c r="M46" s="1571">
        <f t="shared" si="16"/>
        <v>42856</v>
      </c>
      <c r="N46" s="1571">
        <f t="shared" si="16"/>
        <v>42826</v>
      </c>
      <c r="O46" s="1571">
        <f t="shared" si="16"/>
        <v>42795</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47"/>
      <c r="O49" s="1147"/>
      <c r="P49" s="526"/>
      <c r="Q49" s="504"/>
    </row>
    <row r="50" spans="1:17" s="117" customFormat="1" ht="15.75" thickBot="1">
      <c r="A50" s="521"/>
      <c r="B50" s="510"/>
      <c r="C50" s="637">
        <v>100</v>
      </c>
      <c r="D50" s="512"/>
      <c r="E50" s="512"/>
      <c r="F50" s="512"/>
      <c r="G50" s="512"/>
      <c r="H50" s="512"/>
      <c r="I50" s="512"/>
      <c r="J50" s="512"/>
      <c r="K50" s="512"/>
      <c r="L50" s="512"/>
      <c r="M50" s="514"/>
      <c r="N50" s="1147"/>
      <c r="O50" s="1147"/>
      <c r="P50" s="504"/>
      <c r="Q50" s="504"/>
    </row>
    <row r="51" spans="1:17">
      <c r="A51" s="527" t="s">
        <v>2576</v>
      </c>
      <c r="B51" s="528" t="s">
        <v>2542</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58">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2726</v>
      </c>
      <c r="C63" s="578" t="s">
        <v>2585</v>
      </c>
      <c r="D63" s="578" t="s">
        <v>2586</v>
      </c>
      <c r="E63" s="578" t="s">
        <v>2587</v>
      </c>
      <c r="F63" s="578" t="s">
        <v>2588</v>
      </c>
      <c r="G63" s="578" t="s">
        <v>2589</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2676</v>
      </c>
      <c r="C65" s="658" t="s">
        <v>2662</v>
      </c>
      <c r="D65" s="658" t="s">
        <v>2663</v>
      </c>
      <c r="E65" s="658" t="s">
        <v>2664</v>
      </c>
      <c r="F65" s="658" t="s">
        <v>2665</v>
      </c>
      <c r="G65" s="658" t="s">
        <v>2666</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49"/>
      <c r="O66" s="1149"/>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2715</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2551</v>
      </c>
      <c r="B77" s="528" t="s">
        <v>2604</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58"/>
      <c r="J80" s="658"/>
      <c r="K80" s="666"/>
      <c r="L80" s="667"/>
      <c r="M80" s="668"/>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2719</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2727</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2729</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4">
        <f>B34</f>
        <v>111</v>
      </c>
      <c r="C95" s="549"/>
      <c r="D95" s="549"/>
      <c r="E95" s="549"/>
      <c r="F95" s="549"/>
      <c r="G95" s="554"/>
      <c r="H95" s="555"/>
      <c r="I95" s="555"/>
      <c r="J95" s="555"/>
      <c r="K95" s="555"/>
      <c r="L95" s="556"/>
      <c r="M95" s="557"/>
      <c r="N95" s="1149"/>
      <c r="O95" s="1149"/>
      <c r="P95" s="635"/>
      <c r="Q95" s="636"/>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5"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zoomScale="80" zoomScaleNormal="80" zoomScalePageLayoutView="80" workbookViewId="0">
      <selection activeCell="W3" sqref="W3"/>
    </sheetView>
  </sheetViews>
  <sheetFormatPr defaultColWidth="8.875" defaultRowHeight="14.25"/>
  <cols>
    <col min="1" max="1" width="14.375" style="403" customWidth="1"/>
    <col min="2" max="2" width="15.62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30" s="398" customFormat="1" ht="28.5" customHeight="1">
      <c r="A1" s="394" t="s">
        <v>2730</v>
      </c>
      <c r="B1" s="395"/>
      <c r="C1" s="396" t="s">
        <v>2731</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2315</v>
      </c>
      <c r="B2" s="669" t="e">
        <f>F66</f>
        <v>#DIV/0!</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7"/>
    </row>
    <row r="3" spans="1:30" s="398" customFormat="1" ht="28.5" customHeight="1" thickBot="1">
      <c r="A3" s="247" t="s">
        <v>2317</v>
      </c>
      <c r="B3" s="609" t="e">
        <f>ROUND(IF(D3="",B2*10000/'数据-汇总表'!E3,B2*10000/D3),0)</f>
        <v>#DIV/0!</v>
      </c>
      <c r="C3" s="247" t="s">
        <v>2732</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401" t="s">
        <v>2633</v>
      </c>
      <c r="B4" s="402"/>
      <c r="C4" s="3282" t="s">
        <v>2634</v>
      </c>
      <c r="D4" s="3283"/>
      <c r="E4" s="3284" t="s">
        <v>2635</v>
      </c>
      <c r="F4" s="3285"/>
      <c r="G4" s="3282" t="s">
        <v>2636</v>
      </c>
      <c r="H4" s="3283"/>
      <c r="I4" s="3282" t="s">
        <v>2637</v>
      </c>
      <c r="J4" s="3283"/>
      <c r="K4" s="610" t="s">
        <v>2638</v>
      </c>
      <c r="L4" s="1126"/>
      <c r="M4" s="1127"/>
      <c r="N4" s="1127"/>
      <c r="O4" s="1127"/>
      <c r="P4" s="3323" t="s">
        <v>2639</v>
      </c>
      <c r="Q4" s="3324"/>
      <c r="R4" s="3327" t="s">
        <v>2635</v>
      </c>
      <c r="S4" s="3328"/>
      <c r="T4" s="3327" t="s">
        <v>2636</v>
      </c>
      <c r="U4" s="3328"/>
      <c r="V4" s="3299" t="s">
        <v>2637</v>
      </c>
      <c r="W4" s="3299"/>
      <c r="X4" s="1809"/>
      <c r="Y4" s="3327" t="s">
        <v>2639</v>
      </c>
      <c r="Z4" s="3328"/>
      <c r="AA4" s="3320" t="s">
        <v>2635</v>
      </c>
      <c r="AB4" s="3313" t="s">
        <v>2636</v>
      </c>
      <c r="AC4" s="3320" t="s">
        <v>2637</v>
      </c>
    </row>
    <row r="5" spans="1:30" ht="15">
      <c r="A5" s="404"/>
      <c r="B5" s="405"/>
      <c r="C5" s="3308" t="s">
        <v>2530</v>
      </c>
      <c r="D5" s="3303"/>
      <c r="E5" s="3360" t="s">
        <v>2531</v>
      </c>
      <c r="F5" s="3316"/>
      <c r="G5" s="3308" t="s">
        <v>2532</v>
      </c>
      <c r="H5" s="3303"/>
      <c r="I5" s="3308" t="s">
        <v>2533</v>
      </c>
      <c r="J5" s="3303"/>
      <c r="K5" s="610"/>
      <c r="L5" s="1126"/>
      <c r="M5" s="1127"/>
      <c r="N5" s="1127"/>
      <c r="O5" s="1127"/>
      <c r="P5" s="3325"/>
      <c r="Q5" s="3289"/>
      <c r="R5" s="3294"/>
      <c r="S5" s="3295"/>
      <c r="T5" s="3294"/>
      <c r="U5" s="3295"/>
      <c r="V5" s="3299"/>
      <c r="W5" s="3299"/>
      <c r="X5" s="1809"/>
      <c r="Y5" s="3294"/>
      <c r="Z5" s="3295"/>
      <c r="AA5" s="3313"/>
      <c r="AB5" s="3313"/>
      <c r="AC5" s="3313"/>
    </row>
    <row r="6" spans="1:30" ht="15.75" thickBot="1">
      <c r="A6" s="406"/>
      <c r="B6" s="407"/>
      <c r="C6" s="3309" t="s">
        <v>2534</v>
      </c>
      <c r="D6" s="3301"/>
      <c r="E6" s="3331" t="s">
        <v>2534</v>
      </c>
      <c r="F6" s="3311"/>
      <c r="G6" s="3309" t="s">
        <v>2534</v>
      </c>
      <c r="H6" s="3301"/>
      <c r="I6" s="3309" t="s">
        <v>2534</v>
      </c>
      <c r="J6" s="3301"/>
      <c r="K6" s="610" t="s">
        <v>2535</v>
      </c>
      <c r="L6" s="1126"/>
      <c r="M6" s="1127"/>
      <c r="N6" s="1127"/>
      <c r="O6" s="1127"/>
      <c r="P6" s="3326"/>
      <c r="Q6" s="3291"/>
      <c r="R6" s="3294"/>
      <c r="S6" s="3295"/>
      <c r="T6" s="3296"/>
      <c r="U6" s="3297"/>
      <c r="V6" s="3299"/>
      <c r="W6" s="3299"/>
      <c r="X6" s="1809"/>
      <c r="Y6" s="3296"/>
      <c r="Z6" s="3297"/>
      <c r="AA6" s="3314"/>
      <c r="AB6" s="3314"/>
      <c r="AC6" s="3314"/>
    </row>
    <row r="7" spans="1:30" s="117" customFormat="1" ht="15.75" thickBot="1">
      <c r="A7" s="408" t="s">
        <v>2536</v>
      </c>
      <c r="B7" s="409"/>
      <c r="C7" s="410">
        <f>'数据-取费表'!B2</f>
        <v>43185</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8"/>
      <c r="M7" s="1129"/>
      <c r="N7" s="1129"/>
      <c r="O7" s="1129"/>
      <c r="P7" s="3306" t="s">
        <v>2537</v>
      </c>
      <c r="Q7" s="3307"/>
      <c r="R7" s="768" t="s">
        <v>17</v>
      </c>
      <c r="S7" s="769">
        <f t="shared" ref="S7:S15" si="0">F7</f>
        <v>0</v>
      </c>
      <c r="T7" s="768" t="s">
        <v>17</v>
      </c>
      <c r="U7" s="769">
        <f t="shared" ref="U7:U15" si="1">H7</f>
        <v>0</v>
      </c>
      <c r="V7" s="768" t="s">
        <v>17</v>
      </c>
      <c r="W7" s="769">
        <f t="shared" ref="W7:W15" si="2">J7</f>
        <v>0</v>
      </c>
      <c r="X7" s="770"/>
      <c r="Y7" s="3306" t="s">
        <v>2537</v>
      </c>
      <c r="Z7" s="3305"/>
      <c r="AA7" s="771" t="e">
        <f>D7/F7</f>
        <v>#DIV/0!</v>
      </c>
      <c r="AB7" s="771" t="e">
        <f>D7/H7</f>
        <v>#DIV/0!</v>
      </c>
      <c r="AC7" s="771"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306" t="s">
        <v>2540</v>
      </c>
      <c r="Q8" s="3305"/>
      <c r="R8" s="768" t="s">
        <v>17</v>
      </c>
      <c r="S8" s="769">
        <f t="shared" si="0"/>
        <v>0</v>
      </c>
      <c r="T8" s="768" t="s">
        <v>17</v>
      </c>
      <c r="U8" s="769">
        <f t="shared" si="1"/>
        <v>0</v>
      </c>
      <c r="V8" s="768" t="s">
        <v>17</v>
      </c>
      <c r="W8" s="769">
        <f t="shared" si="2"/>
        <v>0</v>
      </c>
      <c r="X8" s="770"/>
      <c r="Y8" s="3306" t="s">
        <v>2540</v>
      </c>
      <c r="Z8" s="3305"/>
      <c r="AA8" s="771" t="e">
        <f t="shared" ref="AA8:AA45" si="3">D8/F8</f>
        <v>#DIV/0!</v>
      </c>
      <c r="AB8" s="771" t="e">
        <f t="shared" ref="AB8:AB45" si="4">D8/H8</f>
        <v>#DIV/0!</v>
      </c>
      <c r="AC8" s="771" t="e">
        <f t="shared" ref="AC8:AC45" si="5">D8/J8</f>
        <v>#DIV/0!</v>
      </c>
    </row>
    <row r="9" spans="1:30" s="117" customFormat="1">
      <c r="A9" s="415" t="s">
        <v>2541</v>
      </c>
      <c r="B9" s="71" t="s">
        <v>2542</v>
      </c>
      <c r="C9" s="2694"/>
      <c r="D9" s="135">
        <v>100</v>
      </c>
      <c r="E9" s="2694"/>
      <c r="F9" s="135">
        <f>SUMIF(75:75,E9,76:76)-SUMIF(75:75,C9,76:76)+100</f>
        <v>100</v>
      </c>
      <c r="G9" s="2694"/>
      <c r="H9" s="135">
        <f>SUMIF(75:75,G9,76:76)-SUMIF(75:75,C9,76:76)+100</f>
        <v>100</v>
      </c>
      <c r="I9" s="2694"/>
      <c r="J9" s="135">
        <f>SUMIF(75:75,I9,76:76)-SUMIF(75:75,C9,76:76)+100</f>
        <v>100</v>
      </c>
      <c r="K9" s="611"/>
      <c r="L9" s="1128"/>
      <c r="M9" s="1129"/>
      <c r="N9" s="1129"/>
      <c r="O9" s="1130"/>
      <c r="P9" s="3265" t="s">
        <v>2543</v>
      </c>
      <c r="Q9" s="1791" t="str">
        <f t="shared" ref="Q9:Q15" si="6">B9</f>
        <v>用途</v>
      </c>
      <c r="R9" s="768" t="s">
        <v>17</v>
      </c>
      <c r="S9" s="769">
        <f t="shared" si="0"/>
        <v>100</v>
      </c>
      <c r="T9" s="768" t="s">
        <v>17</v>
      </c>
      <c r="U9" s="769">
        <f t="shared" si="1"/>
        <v>100</v>
      </c>
      <c r="V9" s="768" t="s">
        <v>17</v>
      </c>
      <c r="W9" s="769">
        <f t="shared" si="2"/>
        <v>100</v>
      </c>
      <c r="X9" s="770"/>
      <c r="Y9" s="3106" t="s">
        <v>2544</v>
      </c>
      <c r="Z9" s="55" t="str">
        <f t="shared" ref="Z9:Z15" si="7">Q9</f>
        <v>用途</v>
      </c>
      <c r="AA9" s="771">
        <f t="shared" si="3"/>
        <v>1</v>
      </c>
      <c r="AB9" s="771">
        <f t="shared" si="4"/>
        <v>1</v>
      </c>
      <c r="AC9" s="771">
        <f t="shared" si="5"/>
        <v>1</v>
      </c>
    </row>
    <row r="10" spans="1:30" s="427" customFormat="1" ht="27">
      <c r="A10" s="421"/>
      <c r="B10" s="422" t="s">
        <v>2545</v>
      </c>
      <c r="C10" s="432"/>
      <c r="D10" s="136">
        <v>100</v>
      </c>
      <c r="E10" s="465"/>
      <c r="F10" s="136">
        <f>ROUND(100/'数据-取费表'!G16,0)</f>
        <v>106</v>
      </c>
      <c r="G10" s="463"/>
      <c r="H10" s="136">
        <f>ROUND(100/'数据-取费表'!G16,0)</f>
        <v>106</v>
      </c>
      <c r="I10" s="463"/>
      <c r="J10" s="136">
        <f>ROUND(100/'数据-取费表'!G16,0)</f>
        <v>106</v>
      </c>
      <c r="K10" s="670"/>
      <c r="L10" s="1131"/>
      <c r="M10" s="1132"/>
      <c r="N10" s="1132"/>
      <c r="O10" s="1133"/>
      <c r="P10" s="3265"/>
      <c r="Q10" s="1791" t="str">
        <f t="shared" si="6"/>
        <v>土地使用年限（年）</v>
      </c>
      <c r="R10" s="768" t="s">
        <v>17</v>
      </c>
      <c r="S10" s="769">
        <f t="shared" si="0"/>
        <v>106</v>
      </c>
      <c r="T10" s="768" t="s">
        <v>17</v>
      </c>
      <c r="U10" s="769">
        <f t="shared" si="1"/>
        <v>106</v>
      </c>
      <c r="V10" s="768" t="s">
        <v>17</v>
      </c>
      <c r="W10" s="769">
        <f t="shared" si="2"/>
        <v>106</v>
      </c>
      <c r="X10" s="770"/>
      <c r="Y10" s="3106"/>
      <c r="Z10" s="55" t="str">
        <f t="shared" si="7"/>
        <v>土地使用年限（年）</v>
      </c>
      <c r="AA10" s="771">
        <f t="shared" si="3"/>
        <v>0.94339622641509435</v>
      </c>
      <c r="AB10" s="771">
        <f t="shared" si="4"/>
        <v>0.94339622641509435</v>
      </c>
      <c r="AC10" s="771">
        <f t="shared" si="5"/>
        <v>0.94339622641509435</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1"/>
      <c r="L11" s="1134"/>
      <c r="M11" s="1127"/>
      <c r="N11" s="1127"/>
      <c r="O11" s="1135"/>
      <c r="P11" s="3265"/>
      <c r="Q11" s="1791" t="str">
        <f t="shared" si="6"/>
        <v>容积率</v>
      </c>
      <c r="R11" s="768" t="s">
        <v>17</v>
      </c>
      <c r="S11" s="769" t="e">
        <f t="shared" si="0"/>
        <v>#N/A</v>
      </c>
      <c r="T11" s="768" t="s">
        <v>17</v>
      </c>
      <c r="U11" s="769" t="e">
        <f t="shared" si="1"/>
        <v>#N/A</v>
      </c>
      <c r="V11" s="768" t="s">
        <v>17</v>
      </c>
      <c r="W11" s="769" t="e">
        <f t="shared" si="2"/>
        <v>#N/A</v>
      </c>
      <c r="X11" s="770"/>
      <c r="Y11" s="3106"/>
      <c r="Z11" s="55" t="str">
        <f t="shared" si="7"/>
        <v>容积率</v>
      </c>
      <c r="AA11" s="771" t="e">
        <f t="shared" si="3"/>
        <v>#N/A</v>
      </c>
      <c r="AB11" s="771" t="e">
        <f t="shared" si="4"/>
        <v>#N/A</v>
      </c>
      <c r="AC11" s="771" t="e">
        <f t="shared" si="5"/>
        <v>#N/A</v>
      </c>
    </row>
    <row r="12" spans="1:30" s="117" customFormat="1" ht="15">
      <c r="A12" s="431"/>
      <c r="B12" s="2595" t="s">
        <v>2733</v>
      </c>
      <c r="C12" s="432"/>
      <c r="D12" s="433">
        <v>100</v>
      </c>
      <c r="E12" s="465"/>
      <c r="F12" s="136">
        <f>SUMIF(82:82,E12,83:83)-SUMIF(82:82,C12,83:83)+100</f>
        <v>100</v>
      </c>
      <c r="G12" s="463"/>
      <c r="H12" s="136">
        <f>SUMIF(82:82,G12,83:83)-SUMIF(82:82,C12,83:83)+100</f>
        <v>100</v>
      </c>
      <c r="I12" s="465"/>
      <c r="J12" s="136">
        <f>SUMIF(82:82,I12,83:83)-SUMIF(82:82,C12,83:83)+100</f>
        <v>100</v>
      </c>
      <c r="K12" s="670"/>
      <c r="L12" s="1128"/>
      <c r="M12" s="1129"/>
      <c r="N12" s="1129"/>
      <c r="O12" s="1130"/>
      <c r="P12" s="3265"/>
      <c r="Q12" s="1791" t="str">
        <f t="shared" si="6"/>
        <v>配建</v>
      </c>
      <c r="R12" s="768" t="s">
        <v>17</v>
      </c>
      <c r="S12" s="769">
        <f t="shared" si="0"/>
        <v>100</v>
      </c>
      <c r="T12" s="768" t="s">
        <v>17</v>
      </c>
      <c r="U12" s="769">
        <f t="shared" si="1"/>
        <v>100</v>
      </c>
      <c r="V12" s="768" t="s">
        <v>17</v>
      </c>
      <c r="W12" s="769">
        <f t="shared" si="2"/>
        <v>100</v>
      </c>
      <c r="X12" s="770"/>
      <c r="Y12" s="3106"/>
      <c r="Z12" s="55" t="str">
        <f t="shared" si="7"/>
        <v>配建</v>
      </c>
      <c r="AA12" s="771">
        <f>D12/F12</f>
        <v>1</v>
      </c>
      <c r="AB12" s="771">
        <f>D12/H12</f>
        <v>1</v>
      </c>
      <c r="AC12" s="771">
        <f>D12/J12</f>
        <v>1</v>
      </c>
    </row>
    <row r="13" spans="1:30" ht="15">
      <c r="A13" s="428"/>
      <c r="B13" s="2595">
        <v>111</v>
      </c>
      <c r="C13" s="434"/>
      <c r="D13" s="435">
        <v>100</v>
      </c>
      <c r="E13" s="549"/>
      <c r="F13" s="136">
        <f>SUMIF(84:84,E13,85:85)-SUMIF(84:84,C13,85:85)+100</f>
        <v>100</v>
      </c>
      <c r="G13" s="672"/>
      <c r="H13" s="435">
        <f>SUMIF(84:84,G13,85:85)-SUMIF(84:84,C13,85:85)+100</f>
        <v>100</v>
      </c>
      <c r="I13" s="672"/>
      <c r="J13" s="435">
        <f>SUMIF(84:84,I13,85:85)-SUMIF(84:84,C13,85:85)+100</f>
        <v>100</v>
      </c>
      <c r="K13" s="670"/>
      <c r="L13" s="1136"/>
      <c r="M13" s="1127"/>
      <c r="N13" s="1127"/>
      <c r="O13" s="1135"/>
      <c r="P13" s="3265"/>
      <c r="Q13" s="1791">
        <f t="shared" si="6"/>
        <v>111</v>
      </c>
      <c r="R13" s="768" t="s">
        <v>17</v>
      </c>
      <c r="S13" s="769">
        <f t="shared" si="0"/>
        <v>100</v>
      </c>
      <c r="T13" s="768" t="s">
        <v>17</v>
      </c>
      <c r="U13" s="769">
        <f t="shared" si="1"/>
        <v>100</v>
      </c>
      <c r="V13" s="768" t="s">
        <v>17</v>
      </c>
      <c r="W13" s="769">
        <f t="shared" si="2"/>
        <v>100</v>
      </c>
      <c r="X13" s="770"/>
      <c r="Y13" s="3106"/>
      <c r="Z13" s="55">
        <f t="shared" si="7"/>
        <v>111</v>
      </c>
      <c r="AA13" s="771">
        <f>D13/F13</f>
        <v>1</v>
      </c>
      <c r="AB13" s="771">
        <f>D13/H13</f>
        <v>1</v>
      </c>
      <c r="AC13" s="771">
        <f>D13/J13</f>
        <v>1</v>
      </c>
    </row>
    <row r="14" spans="1:30" ht="15.75" thickBot="1">
      <c r="A14" s="436"/>
      <c r="B14" s="2597">
        <v>111</v>
      </c>
      <c r="C14" s="437"/>
      <c r="D14" s="438">
        <v>100</v>
      </c>
      <c r="E14" s="549"/>
      <c r="F14" s="438">
        <f>SUMIF(86:86,E14,87:87)-SUMIF(86:86,C14,87:87)+100</f>
        <v>100</v>
      </c>
      <c r="G14" s="672"/>
      <c r="H14" s="438">
        <f>SUMIF(86:86,G14,87:87)-SUMIF(86:86,C14,87:87)+100</f>
        <v>100</v>
      </c>
      <c r="I14" s="672"/>
      <c r="J14" s="438">
        <f>SUMIF(86:86,I14,87:87)-SUMIF(86:86,C14,87:87)+100</f>
        <v>100</v>
      </c>
      <c r="K14" s="670"/>
      <c r="L14" s="1136"/>
      <c r="M14" s="1127"/>
      <c r="N14" s="1127"/>
      <c r="O14" s="1135"/>
      <c r="P14" s="3265"/>
      <c r="Q14" s="1791">
        <f t="shared" si="6"/>
        <v>111</v>
      </c>
      <c r="R14" s="768" t="s">
        <v>17</v>
      </c>
      <c r="S14" s="769">
        <f t="shared" si="0"/>
        <v>100</v>
      </c>
      <c r="T14" s="768" t="s">
        <v>17</v>
      </c>
      <c r="U14" s="769">
        <f t="shared" si="1"/>
        <v>100</v>
      </c>
      <c r="V14" s="768" t="s">
        <v>17</v>
      </c>
      <c r="W14" s="769">
        <f t="shared" si="2"/>
        <v>100</v>
      </c>
      <c r="X14" s="770"/>
      <c r="Y14" s="3106"/>
      <c r="Z14" s="55">
        <f t="shared" si="7"/>
        <v>111</v>
      </c>
      <c r="AA14" s="771">
        <f>D14/F14</f>
        <v>1</v>
      </c>
      <c r="AB14" s="771">
        <f>D14/H14</f>
        <v>1</v>
      </c>
      <c r="AC14" s="771">
        <f>D14/J14</f>
        <v>1</v>
      </c>
    </row>
    <row r="15" spans="1:30" ht="15">
      <c r="A15" s="440" t="s">
        <v>2547</v>
      </c>
      <c r="B15" s="69" t="s">
        <v>2082</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1"/>
      <c r="L15" s="1136"/>
      <c r="M15" s="1127"/>
      <c r="N15" s="1127"/>
      <c r="O15" s="1135"/>
      <c r="P15" s="3272" t="s">
        <v>2548</v>
      </c>
      <c r="Q15" s="1806" t="str">
        <f t="shared" si="6"/>
        <v>居住社区成熟度</v>
      </c>
      <c r="R15" s="772" t="s">
        <v>17</v>
      </c>
      <c r="S15" s="773">
        <f t="shared" si="0"/>
        <v>100</v>
      </c>
      <c r="T15" s="772" t="s">
        <v>17</v>
      </c>
      <c r="U15" s="773">
        <f t="shared" si="1"/>
        <v>100</v>
      </c>
      <c r="V15" s="772" t="s">
        <v>17</v>
      </c>
      <c r="W15" s="773">
        <f t="shared" si="2"/>
        <v>100</v>
      </c>
      <c r="X15" s="1809"/>
      <c r="Y15" s="3272" t="s">
        <v>2548</v>
      </c>
      <c r="Z15" s="1810" t="str">
        <f t="shared" si="7"/>
        <v>居住社区成熟度</v>
      </c>
      <c r="AA15" s="1807">
        <f t="shared" si="3"/>
        <v>1</v>
      </c>
      <c r="AB15" s="1807">
        <f t="shared" si="4"/>
        <v>1</v>
      </c>
      <c r="AC15" s="1807">
        <f t="shared" si="5"/>
        <v>1</v>
      </c>
    </row>
    <row r="16" spans="1:30" ht="15">
      <c r="A16" s="428"/>
      <c r="B16" s="446"/>
      <c r="C16" s="447"/>
      <c r="D16" s="448"/>
      <c r="E16" s="2600"/>
      <c r="F16" s="448"/>
      <c r="G16" s="2600"/>
      <c r="H16" s="450"/>
      <c r="I16" s="2599"/>
      <c r="J16" s="448"/>
      <c r="K16" s="670"/>
      <c r="L16" s="1136"/>
      <c r="M16" s="1127"/>
      <c r="N16" s="1127"/>
      <c r="O16" s="1135"/>
      <c r="P16" s="3273"/>
      <c r="Q16" s="1806"/>
      <c r="R16" s="772"/>
      <c r="S16" s="773"/>
      <c r="T16" s="772"/>
      <c r="U16" s="773"/>
      <c r="V16" s="772"/>
      <c r="W16" s="773"/>
      <c r="X16" s="1809"/>
      <c r="Y16" s="3273"/>
      <c r="Z16" s="1810"/>
      <c r="AA16" s="1807">
        <v>1</v>
      </c>
      <c r="AB16" s="1807">
        <v>1</v>
      </c>
      <c r="AC16" s="1807">
        <v>1</v>
      </c>
    </row>
    <row r="17" spans="1:29" ht="28.5">
      <c r="A17" s="428"/>
      <c r="B17" s="451" t="s">
        <v>2641</v>
      </c>
      <c r="C17" s="2659" t="str">
        <f>估价对象房地状况!C16</f>
        <v>XX商圈，周边商业氛围，人流量</v>
      </c>
      <c r="D17" s="450">
        <v>100</v>
      </c>
      <c r="E17" s="452"/>
      <c r="F17" s="450">
        <f>SUMIF(90:90,E18,91:91)-SUMIF(90:90,C18,91:91)+100</f>
        <v>100</v>
      </c>
      <c r="G17" s="452"/>
      <c r="H17" s="455">
        <f>SUMIF(90:90,G18,91:91)-SUMIF(90:90,C18,91:91)+100</f>
        <v>100</v>
      </c>
      <c r="I17" s="454"/>
      <c r="J17" s="455">
        <f>SUMIF(90:90,I18,91:91)-SUMIF(90:90,C18,91:91)+100</f>
        <v>100</v>
      </c>
      <c r="K17" s="671"/>
      <c r="L17" s="1136"/>
      <c r="M17" s="1127"/>
      <c r="N17" s="1127"/>
      <c r="O17" s="1135"/>
      <c r="P17" s="3273"/>
      <c r="Q17" s="1806" t="str">
        <f>B17</f>
        <v>商业繁华度</v>
      </c>
      <c r="R17" s="772" t="s">
        <v>17</v>
      </c>
      <c r="S17" s="773">
        <f>F17</f>
        <v>100</v>
      </c>
      <c r="T17" s="772" t="s">
        <v>17</v>
      </c>
      <c r="U17" s="773">
        <f>H17</f>
        <v>100</v>
      </c>
      <c r="V17" s="772" t="s">
        <v>17</v>
      </c>
      <c r="W17" s="773">
        <f>J17</f>
        <v>100</v>
      </c>
      <c r="X17" s="1809"/>
      <c r="Y17" s="3273"/>
      <c r="Z17" s="1810" t="str">
        <f>Q17</f>
        <v>商业繁华度</v>
      </c>
      <c r="AA17" s="1807">
        <f t="shared" si="3"/>
        <v>1</v>
      </c>
      <c r="AB17" s="1807">
        <f t="shared" si="4"/>
        <v>1</v>
      </c>
      <c r="AC17" s="1807">
        <f t="shared" si="5"/>
        <v>1</v>
      </c>
    </row>
    <row r="18" spans="1:29" ht="15">
      <c r="A18" s="428"/>
      <c r="B18" s="456"/>
      <c r="C18" s="2603"/>
      <c r="D18" s="450"/>
      <c r="E18" s="2605"/>
      <c r="F18" s="450"/>
      <c r="G18" s="2605"/>
      <c r="H18" s="448"/>
      <c r="I18" s="2604"/>
      <c r="J18" s="448"/>
      <c r="K18" s="670"/>
      <c r="L18" s="1136"/>
      <c r="M18" s="1127"/>
      <c r="N18" s="1127"/>
      <c r="O18" s="1135"/>
      <c r="P18" s="3273"/>
      <c r="Q18" s="1806"/>
      <c r="R18" s="772"/>
      <c r="S18" s="773"/>
      <c r="T18" s="772"/>
      <c r="U18" s="773"/>
      <c r="V18" s="772"/>
      <c r="W18" s="773"/>
      <c r="X18" s="1809"/>
      <c r="Y18" s="3273"/>
      <c r="Z18" s="1810"/>
      <c r="AA18" s="1807">
        <v>1</v>
      </c>
      <c r="AB18" s="1807">
        <v>1</v>
      </c>
      <c r="AC18" s="1807">
        <v>1</v>
      </c>
    </row>
    <row r="19" spans="1:29" ht="71.25">
      <c r="A19" s="428"/>
      <c r="B19" s="451" t="s">
        <v>2674</v>
      </c>
      <c r="C19" s="2659" t="str">
        <f>估价对象房地状况!C17</f>
        <v>XX商圈，周边办公楼项目，入驻率（物美慧科大厦 新奥特科技大厦 裕友大厦）</v>
      </c>
      <c r="D19" s="455">
        <v>100</v>
      </c>
      <c r="E19" s="457"/>
      <c r="F19" s="455">
        <f>SUMIF(92:92,E20,93:93)-SUMIF(92:92,C20,93:93)+100</f>
        <v>100</v>
      </c>
      <c r="G19" s="457"/>
      <c r="H19" s="450">
        <f>SUMIF(92:92,G20,93:93)-SUMIF(92:92,C20,93:93)+100</f>
        <v>100</v>
      </c>
      <c r="I19" s="459"/>
      <c r="J19" s="450">
        <f>SUMIF(92:92,I20,93:93)-SUMIF(92:92,C20,93:93)+100</f>
        <v>100</v>
      </c>
      <c r="K19" s="671"/>
      <c r="L19" s="1136"/>
      <c r="M19" s="1127"/>
      <c r="N19" s="1127"/>
      <c r="O19" s="1135"/>
      <c r="P19" s="3273"/>
      <c r="Q19" s="1806" t="str">
        <f>B19</f>
        <v>办公集聚程度</v>
      </c>
      <c r="R19" s="772" t="s">
        <v>17</v>
      </c>
      <c r="S19" s="773">
        <f>F19</f>
        <v>100</v>
      </c>
      <c r="T19" s="772" t="s">
        <v>17</v>
      </c>
      <c r="U19" s="773">
        <f>H19</f>
        <v>100</v>
      </c>
      <c r="V19" s="772" t="s">
        <v>17</v>
      </c>
      <c r="W19" s="773">
        <f>J19</f>
        <v>100</v>
      </c>
      <c r="X19" s="1809"/>
      <c r="Y19" s="3273"/>
      <c r="Z19" s="1810" t="str">
        <f>Q19</f>
        <v>办公集聚程度</v>
      </c>
      <c r="AA19" s="1807">
        <f t="shared" si="3"/>
        <v>1</v>
      </c>
      <c r="AB19" s="1807">
        <f t="shared" si="4"/>
        <v>1</v>
      </c>
      <c r="AC19" s="1807">
        <f t="shared" si="5"/>
        <v>1</v>
      </c>
    </row>
    <row r="20" spans="1:29" ht="15">
      <c r="A20" s="428"/>
      <c r="B20" s="456"/>
      <c r="C20" s="447"/>
      <c r="D20" s="448"/>
      <c r="E20" s="2600"/>
      <c r="F20" s="448"/>
      <c r="G20" s="2600"/>
      <c r="H20" s="448"/>
      <c r="I20" s="2599"/>
      <c r="J20" s="448"/>
      <c r="K20" s="670"/>
      <c r="L20" s="1136"/>
      <c r="M20" s="1127"/>
      <c r="N20" s="1127"/>
      <c r="O20" s="1135"/>
      <c r="P20" s="3273"/>
      <c r="Q20" s="1806"/>
      <c r="R20" s="772"/>
      <c r="S20" s="773"/>
      <c r="T20" s="772"/>
      <c r="U20" s="773"/>
      <c r="V20" s="772"/>
      <c r="W20" s="773"/>
      <c r="X20" s="1809"/>
      <c r="Y20" s="3273"/>
      <c r="Z20" s="1810"/>
      <c r="AA20" s="1807">
        <v>1</v>
      </c>
      <c r="AB20" s="1807">
        <v>1</v>
      </c>
      <c r="AC20" s="1807">
        <v>1</v>
      </c>
    </row>
    <row r="21" spans="1:29" ht="128.25">
      <c r="A21" s="428"/>
      <c r="B21" s="451" t="s">
        <v>2696</v>
      </c>
      <c r="C21" s="2602" t="str">
        <f>估价对象房地状况!C18</f>
        <v>周边道路状况、公共交通通达情况、停车便捷程度（快速路西四环北路 六号线海淀五路居站 五路桥公交站  61路 79路 121路 地上停车位）</v>
      </c>
      <c r="D21" s="450">
        <v>100</v>
      </c>
      <c r="E21" s="452"/>
      <c r="F21" s="455">
        <f>SUMIF(94:94,E22,95:95)-SUMIF(94:94,C22,95:95)+100</f>
        <v>100</v>
      </c>
      <c r="G21" s="452"/>
      <c r="H21" s="450">
        <f>SUMIF(94:94,G22,95:95)-SUMIF(94:94,C22,95:95)+100</f>
        <v>100</v>
      </c>
      <c r="I21" s="454"/>
      <c r="J21" s="450">
        <f>SUMIF(94:94,I22,95:95)-SUMIF(94:94,C22,95:95)+100</f>
        <v>100</v>
      </c>
      <c r="K21" s="671"/>
      <c r="L21" s="1136"/>
      <c r="M21" s="1127"/>
      <c r="N21" s="1127"/>
      <c r="O21" s="1135"/>
      <c r="P21" s="3273"/>
      <c r="Q21" s="1806" t="str">
        <f>B21</f>
        <v>交通便捷度</v>
      </c>
      <c r="R21" s="772" t="s">
        <v>17</v>
      </c>
      <c r="S21" s="773">
        <f>F21</f>
        <v>100</v>
      </c>
      <c r="T21" s="772" t="s">
        <v>17</v>
      </c>
      <c r="U21" s="773">
        <f>H21</f>
        <v>100</v>
      </c>
      <c r="V21" s="772" t="s">
        <v>17</v>
      </c>
      <c r="W21" s="773">
        <f>J21</f>
        <v>100</v>
      </c>
      <c r="X21" s="1809"/>
      <c r="Y21" s="3273"/>
      <c r="Z21" s="1810" t="str">
        <f>Q21</f>
        <v>交通便捷度</v>
      </c>
      <c r="AA21" s="1807">
        <f t="shared" si="3"/>
        <v>1</v>
      </c>
      <c r="AB21" s="1807">
        <f t="shared" si="4"/>
        <v>1</v>
      </c>
      <c r="AC21" s="1807">
        <f t="shared" si="5"/>
        <v>1</v>
      </c>
    </row>
    <row r="22" spans="1:29" ht="15">
      <c r="A22" s="428"/>
      <c r="B22" s="1380"/>
      <c r="C22" s="447"/>
      <c r="D22" s="450"/>
      <c r="E22" s="2600"/>
      <c r="F22" s="448"/>
      <c r="G22" s="2600"/>
      <c r="H22" s="448"/>
      <c r="I22" s="2599"/>
      <c r="J22" s="448"/>
      <c r="K22" s="670"/>
      <c r="L22" s="1136"/>
      <c r="M22" s="1127"/>
      <c r="N22" s="1127"/>
      <c r="O22" s="1135"/>
      <c r="P22" s="3273"/>
      <c r="Q22" s="1806"/>
      <c r="R22" s="772"/>
      <c r="S22" s="773"/>
      <c r="T22" s="772"/>
      <c r="U22" s="773"/>
      <c r="V22" s="772"/>
      <c r="W22" s="773"/>
      <c r="X22" s="1809"/>
      <c r="Y22" s="3273"/>
      <c r="Z22" s="1810"/>
      <c r="AA22" s="1807">
        <v>1</v>
      </c>
      <c r="AB22" s="1807">
        <v>1</v>
      </c>
      <c r="AC22" s="1807">
        <v>1</v>
      </c>
    </row>
    <row r="23" spans="1:29" ht="15">
      <c r="A23" s="404"/>
      <c r="B23" s="451" t="s">
        <v>2734</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36"/>
      <c r="M23" s="1127"/>
      <c r="N23" s="1127"/>
      <c r="O23" s="1135"/>
      <c r="P23" s="3273"/>
      <c r="Q23" s="1806" t="str">
        <f t="shared" ref="Q23:Q37" si="8">B23</f>
        <v>区域土地利用方向</v>
      </c>
      <c r="R23" s="772" t="s">
        <v>17</v>
      </c>
      <c r="S23" s="773">
        <f>F23</f>
        <v>100</v>
      </c>
      <c r="T23" s="772" t="s">
        <v>17</v>
      </c>
      <c r="U23" s="773">
        <f>H23</f>
        <v>100</v>
      </c>
      <c r="V23" s="772" t="s">
        <v>17</v>
      </c>
      <c r="W23" s="773">
        <f>J23</f>
        <v>100</v>
      </c>
      <c r="X23" s="1809"/>
      <c r="Y23" s="3273"/>
      <c r="Z23" s="1810" t="str">
        <f>Q23</f>
        <v>区域土地利用方向</v>
      </c>
      <c r="AA23" s="1807">
        <f t="shared" si="3"/>
        <v>1</v>
      </c>
      <c r="AB23" s="1807">
        <f t="shared" si="4"/>
        <v>1</v>
      </c>
      <c r="AC23" s="1807">
        <f t="shared" si="5"/>
        <v>1</v>
      </c>
    </row>
    <row r="24" spans="1:29" ht="15">
      <c r="A24" s="404"/>
      <c r="B24" s="456"/>
      <c r="C24" s="616"/>
      <c r="D24" s="448"/>
      <c r="E24" s="2600"/>
      <c r="F24" s="448"/>
      <c r="G24" s="2599"/>
      <c r="H24" s="448"/>
      <c r="I24" s="2599"/>
      <c r="J24" s="448"/>
      <c r="K24" s="805"/>
      <c r="L24" s="1136"/>
      <c r="M24" s="1127"/>
      <c r="N24" s="1127"/>
      <c r="O24" s="1135"/>
      <c r="P24" s="3273"/>
      <c r="Q24" s="1806"/>
      <c r="R24" s="772"/>
      <c r="S24" s="773"/>
      <c r="T24" s="772"/>
      <c r="U24" s="773"/>
      <c r="V24" s="772"/>
      <c r="W24" s="773"/>
      <c r="X24" s="1809"/>
      <c r="Y24" s="3273"/>
      <c r="Z24" s="1810"/>
      <c r="AA24" s="1807"/>
      <c r="AB24" s="1807"/>
      <c r="AC24" s="1807"/>
    </row>
    <row r="25" spans="1:29" ht="27">
      <c r="A25" s="404"/>
      <c r="B25" s="1380" t="s">
        <v>2735</v>
      </c>
      <c r="C25" s="2659">
        <f>估价对象房地状况!C20</f>
        <v>0</v>
      </c>
      <c r="D25" s="450">
        <v>100</v>
      </c>
      <c r="E25" s="452"/>
      <c r="F25" s="450">
        <f>SUMIF(98:98,E26,99:99)-SUMIF(98:98,C26,99:99)+100</f>
        <v>100</v>
      </c>
      <c r="G25" s="452"/>
      <c r="H25" s="450">
        <f>SUMIF(98:98,G26,99:99)-SUMIF(98:98,C26,99:99)+100</f>
        <v>100</v>
      </c>
      <c r="I25" s="454"/>
      <c r="J25" s="450">
        <f>SUMIF(98:98,I26,99:99)-SUMIF(98:98,C26,99:99)+100</f>
        <v>100</v>
      </c>
      <c r="K25" s="671"/>
      <c r="L25" s="1136"/>
      <c r="M25" s="1127"/>
      <c r="N25" s="1127"/>
      <c r="O25" s="1135"/>
      <c r="P25" s="3273"/>
      <c r="Q25" s="1806" t="str">
        <f t="shared" si="8"/>
        <v>自然及人文环境状况</v>
      </c>
      <c r="R25" s="772" t="s">
        <v>17</v>
      </c>
      <c r="S25" s="773">
        <f>F25</f>
        <v>100</v>
      </c>
      <c r="T25" s="772" t="s">
        <v>17</v>
      </c>
      <c r="U25" s="773">
        <f>H25</f>
        <v>100</v>
      </c>
      <c r="V25" s="772" t="s">
        <v>17</v>
      </c>
      <c r="W25" s="773">
        <f>J25</f>
        <v>100</v>
      </c>
      <c r="X25" s="1809"/>
      <c r="Y25" s="3273"/>
      <c r="Z25" s="1810" t="str">
        <f>Q25</f>
        <v>自然及人文环境状况</v>
      </c>
      <c r="AA25" s="1807">
        <f t="shared" si="3"/>
        <v>1</v>
      </c>
      <c r="AB25" s="1807">
        <f t="shared" si="4"/>
        <v>1</v>
      </c>
      <c r="AC25" s="1807">
        <f t="shared" si="5"/>
        <v>1</v>
      </c>
    </row>
    <row r="26" spans="1:29" ht="15">
      <c r="A26" s="404"/>
      <c r="B26" s="456"/>
      <c r="C26" s="447"/>
      <c r="D26" s="448"/>
      <c r="E26" s="2606"/>
      <c r="F26" s="448"/>
      <c r="G26" s="2606"/>
      <c r="H26" s="448"/>
      <c r="I26" s="447"/>
      <c r="J26" s="448"/>
      <c r="K26" s="670"/>
      <c r="L26" s="1136"/>
      <c r="M26" s="1127"/>
      <c r="N26" s="1127"/>
      <c r="O26" s="1135"/>
      <c r="P26" s="3273"/>
      <c r="Q26" s="1806"/>
      <c r="R26" s="772"/>
      <c r="S26" s="773"/>
      <c r="T26" s="772"/>
      <c r="U26" s="773"/>
      <c r="V26" s="772"/>
      <c r="W26" s="773"/>
      <c r="X26" s="1809"/>
      <c r="Y26" s="3273"/>
      <c r="Z26" s="1810"/>
      <c r="AA26" s="1807">
        <v>1</v>
      </c>
      <c r="AB26" s="1807">
        <v>1</v>
      </c>
      <c r="AC26" s="1807">
        <v>1</v>
      </c>
    </row>
    <row r="27" spans="1:29" s="117" customFormat="1" ht="199.5">
      <c r="A27" s="647"/>
      <c r="B27" s="1380" t="s">
        <v>2642</v>
      </c>
      <c r="C27" s="2602"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28"/>
      <c r="M27" s="1129"/>
      <c r="N27" s="1129"/>
      <c r="O27" s="1130"/>
      <c r="P27" s="3273"/>
      <c r="Q27" s="1791" t="str">
        <f t="shared" si="8"/>
        <v>公共配套设施</v>
      </c>
      <c r="R27" s="768" t="s">
        <v>17</v>
      </c>
      <c r="S27" s="769">
        <f>F27</f>
        <v>100</v>
      </c>
      <c r="T27" s="768" t="s">
        <v>17</v>
      </c>
      <c r="U27" s="769">
        <f>H27</f>
        <v>100</v>
      </c>
      <c r="V27" s="768" t="s">
        <v>17</v>
      </c>
      <c r="W27" s="769">
        <f>J27</f>
        <v>100</v>
      </c>
      <c r="X27" s="770"/>
      <c r="Y27" s="3273"/>
      <c r="Z27" s="55" t="str">
        <f>Q27</f>
        <v>公共配套设施</v>
      </c>
      <c r="AA27" s="1807">
        <f>D27/F27</f>
        <v>1</v>
      </c>
      <c r="AB27" s="1807">
        <f>D27/H27</f>
        <v>1</v>
      </c>
      <c r="AC27" s="1807">
        <f>D27/J27</f>
        <v>1</v>
      </c>
    </row>
    <row r="28" spans="1:29" s="117" customFormat="1" ht="15">
      <c r="A28" s="647"/>
      <c r="B28" s="456"/>
      <c r="C28" s="2695"/>
      <c r="D28" s="448"/>
      <c r="E28" s="2606"/>
      <c r="F28" s="448"/>
      <c r="G28" s="2606"/>
      <c r="H28" s="448"/>
      <c r="I28" s="447"/>
      <c r="J28" s="448"/>
      <c r="K28" s="670"/>
      <c r="L28" s="1128"/>
      <c r="M28" s="1129"/>
      <c r="N28" s="1129"/>
      <c r="O28" s="1130"/>
      <c r="P28" s="3273"/>
      <c r="Q28" s="1791"/>
      <c r="R28" s="768"/>
      <c r="S28" s="769"/>
      <c r="T28" s="768"/>
      <c r="U28" s="769"/>
      <c r="V28" s="768"/>
      <c r="W28" s="769"/>
      <c r="X28" s="770"/>
      <c r="Y28" s="3273"/>
      <c r="Z28" s="55"/>
      <c r="AA28" s="1807">
        <v>1</v>
      </c>
      <c r="AB28" s="1807">
        <v>1</v>
      </c>
      <c r="AC28" s="1807">
        <v>1</v>
      </c>
    </row>
    <row r="29" spans="1:29" s="117" customFormat="1" ht="15">
      <c r="A29" s="647"/>
      <c r="B29" s="1380" t="s">
        <v>2643</v>
      </c>
      <c r="C29" s="2602">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28"/>
      <c r="M29" s="1129"/>
      <c r="N29" s="1129"/>
      <c r="O29" s="1130"/>
      <c r="P29" s="3273"/>
      <c r="Q29" s="1791" t="str">
        <f t="shared" ref="Q29" si="9">B29</f>
        <v>基础设施水平</v>
      </c>
      <c r="R29" s="768" t="s">
        <v>17</v>
      </c>
      <c r="S29" s="769">
        <f>F29</f>
        <v>100</v>
      </c>
      <c r="T29" s="768" t="s">
        <v>17</v>
      </c>
      <c r="U29" s="769">
        <f>H29</f>
        <v>100</v>
      </c>
      <c r="V29" s="768" t="s">
        <v>17</v>
      </c>
      <c r="W29" s="769">
        <f>J29</f>
        <v>100</v>
      </c>
      <c r="X29" s="770"/>
      <c r="Y29" s="3273"/>
      <c r="Z29" s="55" t="str">
        <f>Q29</f>
        <v>基础设施水平</v>
      </c>
      <c r="AA29" s="1807">
        <f>D29/F29</f>
        <v>1</v>
      </c>
      <c r="AB29" s="1807">
        <f>D29/H29</f>
        <v>1</v>
      </c>
      <c r="AC29" s="1807">
        <f>D29/J29</f>
        <v>1</v>
      </c>
    </row>
    <row r="30" spans="1:29" s="117" customFormat="1" ht="15">
      <c r="A30" s="647"/>
      <c r="B30" s="456"/>
      <c r="C30" s="2695"/>
      <c r="D30" s="448"/>
      <c r="E30" s="2696"/>
      <c r="F30" s="448"/>
      <c r="G30" s="2696"/>
      <c r="H30" s="448"/>
      <c r="I30" s="2696"/>
      <c r="J30" s="448"/>
      <c r="K30" s="670"/>
      <c r="L30" s="1128"/>
      <c r="M30" s="1129"/>
      <c r="N30" s="1129"/>
      <c r="O30" s="1130"/>
      <c r="P30" s="3273"/>
      <c r="Q30" s="1791"/>
      <c r="R30" s="768"/>
      <c r="S30" s="769"/>
      <c r="T30" s="768"/>
      <c r="U30" s="769"/>
      <c r="V30" s="768"/>
      <c r="W30" s="769"/>
      <c r="X30" s="770"/>
      <c r="Y30" s="3273"/>
      <c r="Z30" s="55"/>
      <c r="AA30" s="1807">
        <v>1</v>
      </c>
      <c r="AB30" s="1807">
        <v>1</v>
      </c>
      <c r="AC30" s="1807">
        <v>1</v>
      </c>
    </row>
    <row r="31" spans="1:29" ht="15">
      <c r="A31" s="428"/>
      <c r="B31" s="456" t="s">
        <v>2644</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36"/>
      <c r="M31" s="1127"/>
      <c r="N31" s="1127"/>
      <c r="O31" s="1135"/>
      <c r="P31" s="3273"/>
      <c r="Q31" s="1806" t="str">
        <f t="shared" si="8"/>
        <v>临街状况</v>
      </c>
      <c r="R31" s="772" t="s">
        <v>17</v>
      </c>
      <c r="S31" s="773">
        <f t="shared" ref="S31:S45" si="10">F31</f>
        <v>100</v>
      </c>
      <c r="T31" s="772" t="s">
        <v>17</v>
      </c>
      <c r="U31" s="773">
        <f t="shared" ref="U31:U45" si="11">H31</f>
        <v>100</v>
      </c>
      <c r="V31" s="772" t="s">
        <v>17</v>
      </c>
      <c r="W31" s="773">
        <f t="shared" ref="W31:W45" si="12">J31</f>
        <v>100</v>
      </c>
      <c r="X31" s="1809"/>
      <c r="Y31" s="3273"/>
      <c r="Z31" s="1810" t="str">
        <f t="shared" ref="Z31:Z45" si="13">Q31</f>
        <v>临街状况</v>
      </c>
      <c r="AA31" s="1807">
        <f t="shared" si="3"/>
        <v>1</v>
      </c>
      <c r="AB31" s="1807">
        <f t="shared" si="4"/>
        <v>1</v>
      </c>
      <c r="AC31" s="1807">
        <f t="shared" si="5"/>
        <v>1</v>
      </c>
    </row>
    <row r="32" spans="1:29" ht="27">
      <c r="A32" s="428"/>
      <c r="B32" s="1380" t="s">
        <v>2678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36"/>
      <c r="M32" s="1127"/>
      <c r="N32" s="1127"/>
      <c r="O32" s="1135"/>
      <c r="P32" s="3273"/>
      <c r="Q32" s="1806" t="str">
        <f t="shared" si="8"/>
        <v>毗邻道路的类型与等级</v>
      </c>
      <c r="R32" s="772" t="s">
        <v>17</v>
      </c>
      <c r="S32" s="773">
        <f t="shared" si="10"/>
        <v>100</v>
      </c>
      <c r="T32" s="772" t="s">
        <v>17</v>
      </c>
      <c r="U32" s="773">
        <f t="shared" si="11"/>
        <v>100</v>
      </c>
      <c r="V32" s="772" t="s">
        <v>17</v>
      </c>
      <c r="W32" s="773">
        <f t="shared" si="12"/>
        <v>100</v>
      </c>
      <c r="X32" s="1809"/>
      <c r="Y32" s="3273"/>
      <c r="Z32" s="1810" t="str">
        <f t="shared" si="13"/>
        <v>毗邻道路的类型与等级</v>
      </c>
      <c r="AA32" s="1807">
        <f t="shared" si="3"/>
        <v>1</v>
      </c>
      <c r="AB32" s="1807">
        <f t="shared" si="4"/>
        <v>1</v>
      </c>
      <c r="AC32" s="1807">
        <f t="shared" si="5"/>
        <v>1</v>
      </c>
    </row>
    <row r="33" spans="1:29" ht="15">
      <c r="A33" s="428"/>
      <c r="B33" s="456"/>
      <c r="C33" s="447"/>
      <c r="D33" s="448"/>
      <c r="E33" s="2606"/>
      <c r="F33" s="448"/>
      <c r="G33" s="2606"/>
      <c r="H33" s="448"/>
      <c r="I33" s="447"/>
      <c r="J33" s="448"/>
      <c r="K33" s="613"/>
      <c r="L33" s="1136"/>
      <c r="M33" s="1127"/>
      <c r="N33" s="1127"/>
      <c r="O33" s="1135"/>
      <c r="P33" s="3273"/>
      <c r="Q33" s="1806"/>
      <c r="R33" s="772"/>
      <c r="S33" s="773"/>
      <c r="T33" s="772"/>
      <c r="U33" s="773"/>
      <c r="V33" s="772"/>
      <c r="W33" s="773"/>
      <c r="X33" s="1809"/>
      <c r="Y33" s="3273"/>
      <c r="Z33" s="1810"/>
      <c r="AA33" s="1807">
        <v>1</v>
      </c>
      <c r="AB33" s="1807">
        <v>1</v>
      </c>
      <c r="AC33" s="1807">
        <v>1</v>
      </c>
    </row>
    <row r="34" spans="1:29" ht="15">
      <c r="A34" s="428"/>
      <c r="B34" s="422" t="s">
        <v>2736</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36"/>
      <c r="M34" s="1127"/>
      <c r="N34" s="1127"/>
      <c r="O34" s="1135"/>
      <c r="P34" s="3273"/>
      <c r="Q34" s="1806" t="str">
        <f t="shared" si="8"/>
        <v>土地级别</v>
      </c>
      <c r="R34" s="772" t="s">
        <v>17</v>
      </c>
      <c r="S34" s="773">
        <f t="shared" si="10"/>
        <v>100</v>
      </c>
      <c r="T34" s="772" t="s">
        <v>17</v>
      </c>
      <c r="U34" s="773">
        <f t="shared" si="11"/>
        <v>100</v>
      </c>
      <c r="V34" s="772" t="s">
        <v>17</v>
      </c>
      <c r="W34" s="773">
        <f t="shared" si="12"/>
        <v>100</v>
      </c>
      <c r="X34" s="1809"/>
      <c r="Y34" s="3273"/>
      <c r="Z34" s="1810" t="str">
        <f t="shared" si="13"/>
        <v>土地级别</v>
      </c>
      <c r="AA34" s="1807">
        <f t="shared" si="3"/>
        <v>1</v>
      </c>
      <c r="AB34" s="1807">
        <f t="shared" si="4"/>
        <v>1</v>
      </c>
      <c r="AC34" s="1807">
        <f t="shared" si="5"/>
        <v>1</v>
      </c>
    </row>
    <row r="35" spans="1:29" ht="15">
      <c r="A35" s="404"/>
      <c r="B35" s="1382">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36"/>
      <c r="M35" s="1127"/>
      <c r="N35" s="1127"/>
      <c r="O35" s="1135"/>
      <c r="P35" s="3273"/>
      <c r="Q35" s="1806">
        <f t="shared" si="8"/>
        <v>111</v>
      </c>
      <c r="R35" s="772" t="s">
        <v>17</v>
      </c>
      <c r="S35" s="773">
        <f t="shared" si="10"/>
        <v>100</v>
      </c>
      <c r="T35" s="772" t="s">
        <v>17</v>
      </c>
      <c r="U35" s="773">
        <f t="shared" si="11"/>
        <v>100</v>
      </c>
      <c r="V35" s="772" t="s">
        <v>17</v>
      </c>
      <c r="W35" s="773">
        <f t="shared" si="12"/>
        <v>100</v>
      </c>
      <c r="X35" s="1809"/>
      <c r="Y35" s="3273"/>
      <c r="Z35" s="1810">
        <f t="shared" si="13"/>
        <v>111</v>
      </c>
      <c r="AA35" s="1807">
        <f t="shared" si="3"/>
        <v>1</v>
      </c>
      <c r="AB35" s="1807">
        <f t="shared" si="4"/>
        <v>1</v>
      </c>
      <c r="AC35" s="1807">
        <f t="shared" si="5"/>
        <v>1</v>
      </c>
    </row>
    <row r="36" spans="1:29" ht="15">
      <c r="A36" s="673"/>
      <c r="B36" s="1383">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36"/>
      <c r="M36" s="1127"/>
      <c r="N36" s="1127"/>
      <c r="O36" s="1135"/>
      <c r="P36" s="3332" t="s">
        <v>2553</v>
      </c>
      <c r="Q36" s="1806">
        <f t="shared" si="8"/>
        <v>111</v>
      </c>
      <c r="R36" s="772" t="s">
        <v>17</v>
      </c>
      <c r="S36" s="773">
        <f t="shared" si="10"/>
        <v>100</v>
      </c>
      <c r="T36" s="772" t="s">
        <v>17</v>
      </c>
      <c r="U36" s="773">
        <f t="shared" si="11"/>
        <v>100</v>
      </c>
      <c r="V36" s="772" t="s">
        <v>17</v>
      </c>
      <c r="W36" s="773">
        <f t="shared" si="12"/>
        <v>100</v>
      </c>
      <c r="X36" s="1809"/>
      <c r="Y36" s="3277" t="s">
        <v>2553</v>
      </c>
      <c r="Z36" s="1810">
        <f t="shared" si="13"/>
        <v>111</v>
      </c>
      <c r="AA36" s="1807">
        <f t="shared" si="3"/>
        <v>1</v>
      </c>
      <c r="AB36" s="1807">
        <f t="shared" si="4"/>
        <v>1</v>
      </c>
      <c r="AC36" s="1807">
        <f t="shared" si="5"/>
        <v>1</v>
      </c>
    </row>
    <row r="37" spans="1:29" s="471" customFormat="1" ht="15.75" thickBot="1">
      <c r="A37" s="674"/>
      <c r="B37" s="1384">
        <v>111</v>
      </c>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4"/>
      <c r="M37" s="1137"/>
      <c r="N37" s="1137"/>
      <c r="O37" s="1138"/>
      <c r="P37" s="3277"/>
      <c r="Q37" s="1806">
        <f t="shared" si="8"/>
        <v>111</v>
      </c>
      <c r="R37" s="775" t="s">
        <v>17</v>
      </c>
      <c r="S37" s="776">
        <f t="shared" si="10"/>
        <v>100</v>
      </c>
      <c r="T37" s="775" t="s">
        <v>17</v>
      </c>
      <c r="U37" s="776">
        <f t="shared" si="11"/>
        <v>100</v>
      </c>
      <c r="V37" s="775" t="s">
        <v>17</v>
      </c>
      <c r="W37" s="776">
        <f t="shared" si="12"/>
        <v>100</v>
      </c>
      <c r="X37" s="777"/>
      <c r="Y37" s="3277"/>
      <c r="Z37" s="778">
        <f t="shared" si="13"/>
        <v>111</v>
      </c>
      <c r="AA37" s="1807">
        <f t="shared" si="3"/>
        <v>1</v>
      </c>
      <c r="AB37" s="1807">
        <f t="shared" si="4"/>
        <v>1</v>
      </c>
      <c r="AC37" s="1807">
        <f t="shared" si="5"/>
        <v>1</v>
      </c>
    </row>
    <row r="38" spans="1:29" ht="15">
      <c r="A38" s="472" t="s">
        <v>2551</v>
      </c>
      <c r="B38" s="456" t="s">
        <v>2737</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36"/>
      <c r="M38" s="1127"/>
      <c r="N38" s="1127"/>
      <c r="O38" s="1135"/>
      <c r="P38" s="3277"/>
      <c r="Q38" s="1806" t="str">
        <f>B38</f>
        <v>宗地面积</v>
      </c>
      <c r="R38" s="772" t="s">
        <v>17</v>
      </c>
      <c r="S38" s="773" t="e">
        <f t="shared" si="10"/>
        <v>#N/A</v>
      </c>
      <c r="T38" s="772" t="s">
        <v>17</v>
      </c>
      <c r="U38" s="773" t="e">
        <f t="shared" si="11"/>
        <v>#N/A</v>
      </c>
      <c r="V38" s="772" t="s">
        <v>17</v>
      </c>
      <c r="W38" s="773" t="e">
        <f t="shared" si="12"/>
        <v>#N/A</v>
      </c>
      <c r="X38" s="1809"/>
      <c r="Y38" s="3277"/>
      <c r="Z38" s="1810" t="str">
        <f t="shared" si="13"/>
        <v>宗地面积</v>
      </c>
      <c r="AA38" s="1807" t="e">
        <f t="shared" si="3"/>
        <v>#N/A</v>
      </c>
      <c r="AB38" s="1807" t="e">
        <f t="shared" si="4"/>
        <v>#N/A</v>
      </c>
      <c r="AC38" s="1807" t="e">
        <f t="shared" si="5"/>
        <v>#N/A</v>
      </c>
    </row>
    <row r="39" spans="1:29" ht="15">
      <c r="A39" s="472"/>
      <c r="B39" s="422" t="s">
        <v>2738</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6"/>
      <c r="M39" s="1127"/>
      <c r="N39" s="1127"/>
      <c r="O39" s="1135"/>
      <c r="P39" s="3277"/>
      <c r="Q39" s="1806" t="str">
        <f t="shared" ref="Q39:Q45" si="14">B39</f>
        <v>宗地形状</v>
      </c>
      <c r="R39" s="772" t="s">
        <v>17</v>
      </c>
      <c r="S39" s="773">
        <f t="shared" si="10"/>
        <v>100</v>
      </c>
      <c r="T39" s="772" t="s">
        <v>17</v>
      </c>
      <c r="U39" s="773">
        <f t="shared" si="11"/>
        <v>100</v>
      </c>
      <c r="V39" s="772" t="s">
        <v>17</v>
      </c>
      <c r="W39" s="773">
        <f t="shared" si="12"/>
        <v>100</v>
      </c>
      <c r="X39" s="1809"/>
      <c r="Y39" s="3277"/>
      <c r="Z39" s="1810" t="str">
        <f t="shared" si="13"/>
        <v>宗地形状</v>
      </c>
      <c r="AA39" s="1807">
        <f t="shared" si="3"/>
        <v>1</v>
      </c>
      <c r="AB39" s="1807">
        <f t="shared" si="4"/>
        <v>1</v>
      </c>
      <c r="AC39" s="1807">
        <f t="shared" si="5"/>
        <v>1</v>
      </c>
    </row>
    <row r="40" spans="1:29" ht="15">
      <c r="A40" s="472"/>
      <c r="B40" s="422" t="s">
        <v>2739</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6"/>
      <c r="M40" s="1127"/>
      <c r="N40" s="1127"/>
      <c r="O40" s="1135"/>
      <c r="P40" s="3277"/>
      <c r="Q40" s="1806" t="str">
        <f t="shared" si="14"/>
        <v>临街宽度及深度</v>
      </c>
      <c r="R40" s="772" t="s">
        <v>17</v>
      </c>
      <c r="S40" s="773">
        <f t="shared" si="10"/>
        <v>100</v>
      </c>
      <c r="T40" s="772" t="s">
        <v>17</v>
      </c>
      <c r="U40" s="773">
        <f t="shared" si="11"/>
        <v>100</v>
      </c>
      <c r="V40" s="772" t="s">
        <v>17</v>
      </c>
      <c r="W40" s="773">
        <f t="shared" si="12"/>
        <v>100</v>
      </c>
      <c r="X40" s="1809"/>
      <c r="Y40" s="3277"/>
      <c r="Z40" s="1810" t="str">
        <f t="shared" si="13"/>
        <v>临街宽度及深度</v>
      </c>
      <c r="AA40" s="1807">
        <f t="shared" si="3"/>
        <v>1</v>
      </c>
      <c r="AB40" s="1807">
        <f t="shared" si="4"/>
        <v>1</v>
      </c>
      <c r="AC40" s="1807">
        <f t="shared" si="5"/>
        <v>1</v>
      </c>
    </row>
    <row r="41" spans="1:29" s="117" customFormat="1" ht="15">
      <c r="A41" s="473"/>
      <c r="B41" s="422" t="s">
        <v>2740</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8"/>
      <c r="M41" s="1129"/>
      <c r="N41" s="1129"/>
      <c r="O41" s="1130"/>
      <c r="P41" s="3277"/>
      <c r="Q41" s="1806" t="str">
        <f t="shared" si="14"/>
        <v>宗地开发程度</v>
      </c>
      <c r="R41" s="768" t="s">
        <v>17</v>
      </c>
      <c r="S41" s="769">
        <f t="shared" si="10"/>
        <v>100</v>
      </c>
      <c r="T41" s="768" t="s">
        <v>17</v>
      </c>
      <c r="U41" s="769">
        <f t="shared" si="11"/>
        <v>100</v>
      </c>
      <c r="V41" s="768" t="s">
        <v>17</v>
      </c>
      <c r="W41" s="769">
        <f t="shared" si="12"/>
        <v>100</v>
      </c>
      <c r="X41" s="770"/>
      <c r="Y41" s="3277"/>
      <c r="Z41" s="55" t="str">
        <f t="shared" si="13"/>
        <v>宗地开发程度</v>
      </c>
      <c r="AA41" s="771">
        <f t="shared" si="3"/>
        <v>1</v>
      </c>
      <c r="AB41" s="771">
        <f t="shared" si="4"/>
        <v>1</v>
      </c>
      <c r="AC41" s="771">
        <f t="shared" si="5"/>
        <v>1</v>
      </c>
    </row>
    <row r="42" spans="1:29" ht="15">
      <c r="A42" s="472"/>
      <c r="B42" s="422" t="s">
        <v>2741</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6"/>
      <c r="M42" s="1127"/>
      <c r="N42" s="1127"/>
      <c r="O42" s="1135"/>
      <c r="P42" s="3277" t="s">
        <v>2553</v>
      </c>
      <c r="Q42" s="1806" t="str">
        <f t="shared" si="14"/>
        <v>工程地质条件</v>
      </c>
      <c r="R42" s="772" t="s">
        <v>17</v>
      </c>
      <c r="S42" s="773">
        <f t="shared" si="10"/>
        <v>100</v>
      </c>
      <c r="T42" s="772" t="s">
        <v>17</v>
      </c>
      <c r="U42" s="773">
        <f t="shared" si="11"/>
        <v>100</v>
      </c>
      <c r="V42" s="772" t="s">
        <v>17</v>
      </c>
      <c r="W42" s="773">
        <f t="shared" si="12"/>
        <v>100</v>
      </c>
      <c r="X42" s="1809"/>
      <c r="Y42" s="3277" t="s">
        <v>2553</v>
      </c>
      <c r="Z42" s="1810" t="str">
        <f t="shared" si="13"/>
        <v>工程地质条件</v>
      </c>
      <c r="AA42" s="1807">
        <f t="shared" si="3"/>
        <v>1</v>
      </c>
      <c r="AB42" s="1807">
        <f t="shared" si="4"/>
        <v>1</v>
      </c>
      <c r="AC42" s="1807">
        <f t="shared" si="5"/>
        <v>1</v>
      </c>
    </row>
    <row r="43" spans="1:29" ht="15">
      <c r="A43" s="472"/>
      <c r="B43" s="1383">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36"/>
      <c r="M43" s="1127"/>
      <c r="N43" s="1127"/>
      <c r="O43" s="1135"/>
      <c r="P43" s="3277"/>
      <c r="Q43" s="1806">
        <f t="shared" si="14"/>
        <v>111</v>
      </c>
      <c r="R43" s="772" t="s">
        <v>17</v>
      </c>
      <c r="S43" s="773">
        <f t="shared" si="10"/>
        <v>100</v>
      </c>
      <c r="T43" s="772" t="s">
        <v>17</v>
      </c>
      <c r="U43" s="773">
        <f t="shared" si="11"/>
        <v>100</v>
      </c>
      <c r="V43" s="772" t="s">
        <v>17</v>
      </c>
      <c r="W43" s="773">
        <f t="shared" si="12"/>
        <v>100</v>
      </c>
      <c r="X43" s="1809"/>
      <c r="Y43" s="3277"/>
      <c r="Z43" s="1810">
        <f t="shared" si="13"/>
        <v>111</v>
      </c>
      <c r="AA43" s="1807">
        <f t="shared" si="3"/>
        <v>1</v>
      </c>
      <c r="AB43" s="1807">
        <f t="shared" si="4"/>
        <v>1</v>
      </c>
      <c r="AC43" s="1807">
        <f t="shared" si="5"/>
        <v>1</v>
      </c>
    </row>
    <row r="44" spans="1:29" ht="15">
      <c r="A44" s="472"/>
      <c r="B44" s="1383">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36"/>
      <c r="M44" s="1127"/>
      <c r="N44" s="1127"/>
      <c r="O44" s="1135"/>
      <c r="P44" s="3277"/>
      <c r="Q44" s="1806">
        <f t="shared" si="14"/>
        <v>111</v>
      </c>
      <c r="R44" s="772" t="s">
        <v>17</v>
      </c>
      <c r="S44" s="773">
        <f t="shared" si="10"/>
        <v>100</v>
      </c>
      <c r="T44" s="772" t="s">
        <v>17</v>
      </c>
      <c r="U44" s="773">
        <f t="shared" si="11"/>
        <v>100</v>
      </c>
      <c r="V44" s="772" t="s">
        <v>17</v>
      </c>
      <c r="W44" s="773">
        <f t="shared" si="12"/>
        <v>100</v>
      </c>
      <c r="X44" s="1809"/>
      <c r="Y44" s="3277"/>
      <c r="Z44" s="1810">
        <f t="shared" si="13"/>
        <v>111</v>
      </c>
      <c r="AA44" s="1807">
        <f t="shared" si="3"/>
        <v>1</v>
      </c>
      <c r="AB44" s="1807">
        <f t="shared" si="4"/>
        <v>1</v>
      </c>
      <c r="AC44" s="1807">
        <f t="shared" si="5"/>
        <v>1</v>
      </c>
    </row>
    <row r="45" spans="1:29" s="471" customFormat="1" ht="15.75" thickBot="1">
      <c r="A45" s="468"/>
      <c r="B45" s="1383">
        <v>111</v>
      </c>
      <c r="C45" s="2698"/>
      <c r="D45" s="678">
        <v>100</v>
      </c>
      <c r="E45" s="672"/>
      <c r="F45" s="438">
        <f>SUMIF(131:131,E45,132:132)-SUMIF(131:131,C45,132:132)+100</f>
        <v>100</v>
      </c>
      <c r="G45" s="672"/>
      <c r="H45" s="438">
        <f>SUMIF(131:131,G45,132:132)-SUMIF(131:131,C45,132:132)+100</f>
        <v>100</v>
      </c>
      <c r="I45" s="672"/>
      <c r="J45" s="438">
        <f>SUMIF(131:131,I45,132:132)-SUMIF(131:131,C45,132:132)+100</f>
        <v>100</v>
      </c>
      <c r="K45" s="679"/>
      <c r="L45" s="1134"/>
      <c r="M45" s="1137"/>
      <c r="N45" s="1137"/>
      <c r="O45" s="1138"/>
      <c r="P45" s="3277"/>
      <c r="Q45" s="1806">
        <f t="shared" si="14"/>
        <v>111</v>
      </c>
      <c r="R45" s="775" t="s">
        <v>17</v>
      </c>
      <c r="S45" s="776">
        <f t="shared" si="10"/>
        <v>100</v>
      </c>
      <c r="T45" s="775" t="s">
        <v>17</v>
      </c>
      <c r="U45" s="776">
        <f t="shared" si="11"/>
        <v>100</v>
      </c>
      <c r="V45" s="775" t="s">
        <v>17</v>
      </c>
      <c r="W45" s="776">
        <f t="shared" si="12"/>
        <v>100</v>
      </c>
      <c r="X45" s="777"/>
      <c r="Y45" s="3277"/>
      <c r="Z45" s="778">
        <f t="shared" si="13"/>
        <v>111</v>
      </c>
      <c r="AA45" s="1807">
        <f t="shared" si="3"/>
        <v>1</v>
      </c>
      <c r="AB45" s="1807">
        <f t="shared" si="4"/>
        <v>1</v>
      </c>
      <c r="AC45" s="1807">
        <f t="shared" si="5"/>
        <v>1</v>
      </c>
    </row>
    <row r="46" spans="1:29" ht="15">
      <c r="A46" s="479" t="s">
        <v>2707</v>
      </c>
      <c r="B46" s="2699" t="s">
        <v>2742</v>
      </c>
      <c r="C46" s="680" t="s">
        <v>1</v>
      </c>
      <c r="D46" s="481"/>
      <c r="E46" s="482"/>
      <c r="F46" s="483"/>
      <c r="G46" s="484"/>
      <c r="H46" s="485"/>
      <c r="I46" s="482"/>
      <c r="J46" s="485"/>
      <c r="K46" s="781"/>
      <c r="L46" s="1139"/>
      <c r="M46" s="1140"/>
      <c r="N46" s="1127"/>
      <c r="O46" s="1140"/>
      <c r="P46" s="3265" t="str">
        <f>A46</f>
        <v>成交单价</v>
      </c>
      <c r="Q46" s="3265"/>
      <c r="R46" s="3299">
        <f>E46</f>
        <v>0</v>
      </c>
      <c r="S46" s="3299"/>
      <c r="T46" s="3299">
        <f>G46</f>
        <v>0</v>
      </c>
      <c r="U46" s="3299"/>
      <c r="V46" s="3299">
        <f>I46</f>
        <v>0</v>
      </c>
      <c r="W46" s="3299"/>
      <c r="X46" s="757"/>
      <c r="Y46" s="779"/>
      <c r="Z46" s="757"/>
      <c r="AA46" s="757"/>
      <c r="AB46" s="757"/>
      <c r="AC46" s="757"/>
    </row>
    <row r="47" spans="1:29" ht="15.75" thickBot="1">
      <c r="A47" s="486" t="s">
        <v>2656</v>
      </c>
      <c r="B47" s="681"/>
      <c r="C47" s="490" t="e">
        <f>R48</f>
        <v>#DIV/0!</v>
      </c>
      <c r="D47" s="489"/>
      <c r="E47" s="490" t="e">
        <f>R47</f>
        <v>#DIV/0!</v>
      </c>
      <c r="F47" s="491"/>
      <c r="G47" s="488" t="e">
        <f>T47</f>
        <v>#DIV/0!</v>
      </c>
      <c r="H47" s="489"/>
      <c r="I47" s="490" t="e">
        <f>V47</f>
        <v>#DIV/0!</v>
      </c>
      <c r="J47" s="489"/>
      <c r="K47" s="782"/>
      <c r="L47" s="1139"/>
      <c r="M47" s="1140"/>
      <c r="N47" s="1140"/>
      <c r="O47" s="1140"/>
      <c r="P47" s="3265" t="str">
        <f>A47</f>
        <v>比较价值（元/平方米）</v>
      </c>
      <c r="Q47" s="3265"/>
      <c r="R47" s="3361" t="e">
        <f>ROUND(PRODUCT(R46,AA7:AA45),0)</f>
        <v>#DIV/0!</v>
      </c>
      <c r="S47" s="3361"/>
      <c r="T47" s="3361" t="e">
        <f>ROUND(PRODUCT(T46,AB7:AB45),0)</f>
        <v>#DIV/0!</v>
      </c>
      <c r="U47" s="3361"/>
      <c r="V47" s="3361" t="e">
        <f>ROUND(PRODUCT(V46,AC7:AC45),0)</f>
        <v>#DIV/0!</v>
      </c>
      <c r="W47" s="3361"/>
      <c r="X47" s="757"/>
      <c r="Y47" s="757"/>
      <c r="Z47" s="757"/>
      <c r="AA47" s="757"/>
      <c r="AB47" s="757"/>
      <c r="AC47" s="757"/>
    </row>
    <row r="48" spans="1:29" ht="15.75" thickBot="1">
      <c r="A48" s="492" t="s">
        <v>2743</v>
      </c>
      <c r="B48" s="493"/>
      <c r="C48" s="494" t="e">
        <f>R48</f>
        <v>#DIV/0!</v>
      </c>
      <c r="D48" s="494"/>
      <c r="E48" s="494"/>
      <c r="F48" s="494"/>
      <c r="G48" s="494"/>
      <c r="H48" s="494"/>
      <c r="I48" s="494"/>
      <c r="J48" s="494"/>
      <c r="K48" s="783"/>
      <c r="L48" s="1139"/>
      <c r="M48" s="1140"/>
      <c r="N48" s="1140"/>
      <c r="O48" s="1140"/>
      <c r="P48" s="3317" t="str">
        <f>A48</f>
        <v>估价对象XX用房的比较价值（楼面单价，元/平方米）</v>
      </c>
      <c r="Q48" s="3318"/>
      <c r="R48" s="3362" t="e">
        <f>ROUND(AVERAGE(R47:V47),0)</f>
        <v>#DIV/0!</v>
      </c>
      <c r="S48" s="3362"/>
      <c r="T48" s="3362"/>
      <c r="U48" s="3362"/>
      <c r="V48" s="3362"/>
      <c r="W48" s="3362"/>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2658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2659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2660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60"/>
      <c r="D54" s="758"/>
      <c r="E54" s="758"/>
      <c r="F54" s="758"/>
      <c r="G54" s="758"/>
      <c r="H54" s="758"/>
      <c r="I54" s="758"/>
      <c r="J54" s="758"/>
      <c r="K54" s="1144"/>
      <c r="L54" s="1145"/>
      <c r="M54" s="1141"/>
      <c r="N54" s="1141"/>
      <c r="O54" s="1141"/>
    </row>
    <row r="55" spans="1:15" ht="27" customHeight="1">
      <c r="A55" s="682" t="s">
        <v>2744</v>
      </c>
      <c r="B55" s="683" t="s">
        <v>2745</v>
      </c>
      <c r="C55" s="2700" t="s">
        <v>2746</v>
      </c>
      <c r="D55" s="2701" t="s">
        <v>2747</v>
      </c>
      <c r="E55" s="684" t="s">
        <v>2748</v>
      </c>
      <c r="F55" s="1103" t="s">
        <v>2749</v>
      </c>
      <c r="G55" s="3282" t="s">
        <v>2750</v>
      </c>
      <c r="H55" s="3363"/>
      <c r="I55" s="144" t="s">
        <v>2751</v>
      </c>
      <c r="J55" s="2702">
        <f>项目基本情况!F35</f>
        <v>0</v>
      </c>
      <c r="K55" s="2703" t="s">
        <v>2752</v>
      </c>
      <c r="L55" s="1102"/>
      <c r="M55" s="1140"/>
      <c r="N55" s="1140"/>
      <c r="O55" s="1140"/>
    </row>
    <row r="56" spans="1:15" s="690" customFormat="1">
      <c r="A56" s="686" t="s">
        <v>2753</v>
      </c>
      <c r="B56" s="687" t="e">
        <f>C48</f>
        <v>#DIV/0!</v>
      </c>
      <c r="C56" s="688">
        <v>1</v>
      </c>
      <c r="D56" s="1159">
        <v>1</v>
      </c>
      <c r="E56" s="688">
        <f>'数据-汇总表'!E8+'数据-汇总表'!E9</f>
        <v>10636.68</v>
      </c>
      <c r="F56" s="1099" t="e">
        <f t="shared" ref="F56:F65" si="15">ROUND(B56*E56/10000,0)</f>
        <v>#DIV/0!</v>
      </c>
      <c r="G56" s="3264"/>
      <c r="H56" s="3265"/>
      <c r="I56" s="1104">
        <v>1</v>
      </c>
      <c r="J56" s="1107">
        <v>1</v>
      </c>
      <c r="K56" s="1141"/>
      <c r="L56" s="937"/>
      <c r="M56" s="937"/>
      <c r="N56" s="937"/>
      <c r="O56" s="937"/>
    </row>
    <row r="57" spans="1:15" s="690" customFormat="1">
      <c r="A57" s="691" t="s">
        <v>2754</v>
      </c>
      <c r="B57" s="262" t="e">
        <f>ROUND($C$48*C57*D57,0)</f>
        <v>#DIV/0!</v>
      </c>
      <c r="C57" s="200">
        <f t="shared" ref="C57:C65" si="16">IF($C$55="北京市系数",I57,J57)</f>
        <v>0</v>
      </c>
      <c r="D57" s="1160">
        <v>0.25</v>
      </c>
      <c r="E57" s="692"/>
      <c r="F57" s="1099" t="e">
        <f t="shared" si="15"/>
        <v>#DIV/0!</v>
      </c>
      <c r="G57" s="3364" t="s">
        <v>2755</v>
      </c>
      <c r="H57" s="1100">
        <f>项目基本情况!B37</f>
        <v>0</v>
      </c>
      <c r="I57" s="1104">
        <f>SUMIF(修正!A45:A56,H57,修正!B45:B56)</f>
        <v>0</v>
      </c>
      <c r="J57" s="1108"/>
      <c r="K57" s="1140"/>
      <c r="L57" s="937"/>
      <c r="M57" s="937"/>
      <c r="N57" s="937"/>
      <c r="O57" s="937"/>
    </row>
    <row r="58" spans="1:15" s="690" customFormat="1">
      <c r="A58" s="691" t="s">
        <v>2756</v>
      </c>
      <c r="B58" s="262" t="e">
        <f t="shared" ref="B58:B65" si="17">ROUND($C$48*C58*D58,0)</f>
        <v>#DIV/0!</v>
      </c>
      <c r="C58" s="200">
        <f t="shared" si="16"/>
        <v>0</v>
      </c>
      <c r="D58" s="1160">
        <v>0.25</v>
      </c>
      <c r="E58" s="692"/>
      <c r="F58" s="1099" t="e">
        <f t="shared" si="15"/>
        <v>#DIV/0!</v>
      </c>
      <c r="G58" s="3364"/>
      <c r="H58" s="1100">
        <f>项目基本情况!B37</f>
        <v>0</v>
      </c>
      <c r="I58" s="1104">
        <f>SUMIF(修正!A45:A56,H58,修正!C45:C56)</f>
        <v>0</v>
      </c>
      <c r="J58" s="1108"/>
      <c r="K58" s="1141"/>
      <c r="L58" s="937"/>
      <c r="M58" s="937"/>
      <c r="N58" s="937"/>
      <c r="O58" s="937"/>
    </row>
    <row r="59" spans="1:15" s="690" customFormat="1">
      <c r="A59" s="691" t="s">
        <v>2757</v>
      </c>
      <c r="B59" s="262" t="e">
        <f t="shared" si="17"/>
        <v>#DIV/0!</v>
      </c>
      <c r="C59" s="200">
        <f t="shared" si="16"/>
        <v>0</v>
      </c>
      <c r="D59" s="1160">
        <v>0.25</v>
      </c>
      <c r="E59" s="692"/>
      <c r="F59" s="1099" t="e">
        <f t="shared" si="15"/>
        <v>#DIV/0!</v>
      </c>
      <c r="G59" s="3364"/>
      <c r="H59" s="1100">
        <f>项目基本情况!B37</f>
        <v>0</v>
      </c>
      <c r="I59" s="1104">
        <f>SUMIF(修正!A45:A56,H59,修正!D45:D56)</f>
        <v>0</v>
      </c>
      <c r="J59" s="1108"/>
      <c r="K59" s="1140"/>
      <c r="L59" s="937"/>
      <c r="M59" s="937"/>
      <c r="N59" s="937"/>
      <c r="O59" s="937"/>
    </row>
    <row r="60" spans="1:15" s="690" customFormat="1">
      <c r="A60" s="691" t="s">
        <v>2758</v>
      </c>
      <c r="B60" s="262" t="e">
        <f t="shared" si="17"/>
        <v>#DIV/0!</v>
      </c>
      <c r="C60" s="200">
        <f t="shared" si="16"/>
        <v>0</v>
      </c>
      <c r="D60" s="1160">
        <v>0.25</v>
      </c>
      <c r="E60" s="692"/>
      <c r="F60" s="1099" t="e">
        <f t="shared" si="15"/>
        <v>#DIV/0!</v>
      </c>
      <c r="G60" s="3364"/>
      <c r="H60" s="1100">
        <f>项目基本情况!B37</f>
        <v>0</v>
      </c>
      <c r="I60" s="1104">
        <f>SUMIF(修正!A45:A56,H60,修正!E45:E56)</f>
        <v>0</v>
      </c>
      <c r="J60" s="1108"/>
      <c r="K60" s="1141"/>
      <c r="L60" s="937"/>
      <c r="M60" s="937"/>
      <c r="N60" s="937"/>
      <c r="O60" s="937"/>
    </row>
    <row r="61" spans="1:15" s="690" customFormat="1">
      <c r="A61" s="691" t="s">
        <v>2759</v>
      </c>
      <c r="B61" s="262" t="e">
        <f t="shared" si="17"/>
        <v>#DIV/0!</v>
      </c>
      <c r="C61" s="200">
        <f t="shared" si="16"/>
        <v>0</v>
      </c>
      <c r="D61" s="1160">
        <v>0.25</v>
      </c>
      <c r="E61" s="261">
        <f>'数据-汇总表'!E11</f>
        <v>0</v>
      </c>
      <c r="F61" s="1099" t="e">
        <f t="shared" si="15"/>
        <v>#DIV/0!</v>
      </c>
      <c r="G61" s="2704" t="s">
        <v>2760</v>
      </c>
      <c r="H61" s="1100">
        <f>项目基本情况!C37</f>
        <v>0</v>
      </c>
      <c r="I61" s="1104">
        <f>SUMIF(修正!A45:A56,H61,修正!F45:F56)</f>
        <v>0</v>
      </c>
      <c r="J61" s="1108"/>
      <c r="K61" s="1140"/>
      <c r="L61" s="937"/>
      <c r="M61" s="937"/>
      <c r="N61" s="937"/>
      <c r="O61" s="937"/>
    </row>
    <row r="62" spans="1:15" s="690" customFormat="1">
      <c r="A62" s="691" t="s">
        <v>2761</v>
      </c>
      <c r="B62" s="262" t="e">
        <f t="shared" si="17"/>
        <v>#DIV/0!</v>
      </c>
      <c r="C62" s="200">
        <f t="shared" si="16"/>
        <v>0</v>
      </c>
      <c r="D62" s="1160">
        <v>0.25</v>
      </c>
      <c r="E62" s="261">
        <f>'数据-汇总表'!E12</f>
        <v>0</v>
      </c>
      <c r="F62" s="1099" t="e">
        <f t="shared" si="15"/>
        <v>#DIV/0!</v>
      </c>
      <c r="G62" s="1105" t="s">
        <v>2762</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0" customFormat="1">
      <c r="A63" s="691" t="s">
        <v>2763</v>
      </c>
      <c r="B63" s="262" t="e">
        <f t="shared" si="17"/>
        <v>#DIV/0!</v>
      </c>
      <c r="C63" s="200">
        <f t="shared" si="16"/>
        <v>0</v>
      </c>
      <c r="D63" s="1160">
        <v>0.25</v>
      </c>
      <c r="E63" s="261">
        <f>'数据-汇总表'!E13</f>
        <v>0</v>
      </c>
      <c r="F63" s="1099" t="e">
        <f t="shared" si="15"/>
        <v>#DIV/0!</v>
      </c>
      <c r="G63" s="1105" t="s">
        <v>2764</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0" customFormat="1">
      <c r="A64" s="691" t="s">
        <v>2765</v>
      </c>
      <c r="B64" s="262" t="e">
        <f t="shared" si="17"/>
        <v>#DIV/0!</v>
      </c>
      <c r="C64" s="200">
        <f t="shared" si="16"/>
        <v>0</v>
      </c>
      <c r="D64" s="1160">
        <v>0.25</v>
      </c>
      <c r="E64" s="261">
        <f>'数据-汇总表'!E14</f>
        <v>0</v>
      </c>
      <c r="F64" s="1099" t="e">
        <f t="shared" si="15"/>
        <v>#DIV/0!</v>
      </c>
      <c r="G64" s="2704" t="s">
        <v>2755</v>
      </c>
      <c r="H64" s="1100">
        <f>项目基本情况!B37</f>
        <v>0</v>
      </c>
      <c r="I64" s="1104">
        <f>SUMIF(修正!A45:A56,H64,修正!H45:H56)</f>
        <v>0</v>
      </c>
      <c r="J64" s="1108"/>
      <c r="K64" s="1141"/>
      <c r="L64" s="937"/>
      <c r="M64" s="937"/>
      <c r="N64" s="937"/>
      <c r="O64" s="937"/>
    </row>
    <row r="65" spans="1:17" s="690" customFormat="1" ht="15" thickBot="1">
      <c r="A65" s="691" t="s">
        <v>2766</v>
      </c>
      <c r="B65" s="262" t="e">
        <f t="shared" si="17"/>
        <v>#DIV/0!</v>
      </c>
      <c r="C65" s="200">
        <f t="shared" si="16"/>
        <v>0</v>
      </c>
      <c r="D65" s="1160">
        <v>0.25</v>
      </c>
      <c r="E65" s="261">
        <f>'数据-汇总表'!E15</f>
        <v>991.5300000000002</v>
      </c>
      <c r="F65" s="1099" t="e">
        <f t="shared" si="15"/>
        <v>#DIV/0!</v>
      </c>
      <c r="G65" s="2705" t="s">
        <v>2760</v>
      </c>
      <c r="H65" s="1110">
        <f>项目基本情况!C37</f>
        <v>0</v>
      </c>
      <c r="I65" s="1106">
        <f>SUMIF(修正!A45:A56,H65,修正!H45:H56)</f>
        <v>0</v>
      </c>
      <c r="J65" s="1109"/>
      <c r="K65" s="1140"/>
      <c r="L65" s="937"/>
      <c r="M65" s="937"/>
      <c r="N65" s="937"/>
      <c r="O65" s="937"/>
    </row>
    <row r="66" spans="1:17" s="690" customFormat="1" ht="13.5" thickBot="1">
      <c r="A66" s="693" t="s">
        <v>2767</v>
      </c>
      <c r="B66" s="694" t="s">
        <v>28</v>
      </c>
      <c r="C66" s="694" t="s">
        <v>29</v>
      </c>
      <c r="D66" s="694" t="s">
        <v>1029</v>
      </c>
      <c r="E66" s="694">
        <f>IF(B46="楼面地价",SUM(E56:E65),'数据-汇总表'!D3)</f>
        <v>11628.210000000001</v>
      </c>
      <c r="F66" s="695" t="e">
        <f>IF(B46="楼面地价",SUM(F56:F65),ROUND(C48*E66/10000,0))</f>
        <v>#DIV/0!</v>
      </c>
      <c r="G66" s="785"/>
      <c r="H66" s="785"/>
      <c r="I66" s="785"/>
      <c r="J66" s="785"/>
      <c r="K66" s="1154"/>
      <c r="L66" s="937"/>
      <c r="M66" s="937"/>
      <c r="N66" s="937"/>
      <c r="O66" s="937"/>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2018-3-1</v>
      </c>
      <c r="D68" s="759">
        <f>EDATE(C68,-3)</f>
        <v>43070</v>
      </c>
      <c r="E68" s="759">
        <f>EDATE(D68,-3)</f>
        <v>42979</v>
      </c>
      <c r="F68" s="759">
        <f t="shared" ref="F68:O68" si="18">EDATE(E68,-3)</f>
        <v>42887</v>
      </c>
      <c r="G68" s="759">
        <f t="shared" si="18"/>
        <v>42795</v>
      </c>
      <c r="H68" s="759">
        <f t="shared" si="18"/>
        <v>42705</v>
      </c>
      <c r="I68" s="759">
        <f t="shared" si="18"/>
        <v>42614</v>
      </c>
      <c r="J68" s="759">
        <f t="shared" si="18"/>
        <v>42522</v>
      </c>
      <c r="K68" s="759">
        <f t="shared" si="18"/>
        <v>42430</v>
      </c>
      <c r="L68" s="759">
        <f t="shared" si="18"/>
        <v>42339</v>
      </c>
      <c r="M68" s="759">
        <f t="shared" si="18"/>
        <v>42248</v>
      </c>
      <c r="N68" s="759">
        <f t="shared" si="18"/>
        <v>42156</v>
      </c>
      <c r="O68" s="759">
        <f t="shared" si="18"/>
        <v>42064</v>
      </c>
    </row>
    <row r="69" spans="1:17" ht="21.75" thickBot="1">
      <c r="A69" s="761" t="s">
        <v>2661</v>
      </c>
      <c r="B69" s="757"/>
      <c r="C69" s="762"/>
      <c r="D69" s="762"/>
      <c r="E69" s="762"/>
      <c r="F69" s="763"/>
      <c r="G69" s="763"/>
      <c r="H69" s="762"/>
      <c r="I69" s="762"/>
      <c r="J69" s="1155"/>
      <c r="K69" s="1156"/>
      <c r="L69" s="1157"/>
      <c r="M69" s="1155"/>
      <c r="N69" s="1155"/>
      <c r="O69" s="1155"/>
      <c r="P69" s="503"/>
      <c r="Q69" s="504"/>
    </row>
    <row r="70" spans="1:17" s="508" customFormat="1" ht="15">
      <c r="A70" s="2706" t="s">
        <v>2768</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7"/>
    </row>
    <row r="71" spans="1:17" s="117" customFormat="1" ht="30" customHeight="1">
      <c r="A71" s="2707" t="s">
        <v>2769</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3"/>
      <c r="N71" s="595"/>
      <c r="O71" s="1564"/>
      <c r="P71" s="504"/>
    </row>
    <row r="72" spans="1:17" s="117" customFormat="1" ht="15.75" thickBot="1">
      <c r="A72" s="515" t="s">
        <v>2573</v>
      </c>
      <c r="B72" s="516"/>
      <c r="C72" s="517"/>
      <c r="D72" s="518"/>
      <c r="E72" s="518"/>
      <c r="F72" s="518"/>
      <c r="G72" s="518"/>
      <c r="H72" s="518"/>
      <c r="I72" s="518"/>
      <c r="J72" s="518"/>
      <c r="K72" s="518"/>
      <c r="L72" s="518"/>
      <c r="M72" s="519"/>
      <c r="N72" s="518"/>
      <c r="O72" s="1158"/>
      <c r="P72" s="504"/>
      <c r="Q72" s="504"/>
    </row>
    <row r="73" spans="1:17" s="117" customFormat="1" ht="15">
      <c r="A73" s="521" t="s">
        <v>2538</v>
      </c>
      <c r="B73" s="510"/>
      <c r="C73" s="522" t="s">
        <v>2640</v>
      </c>
      <c r="D73" s="523"/>
      <c r="E73" s="523"/>
      <c r="F73" s="523"/>
      <c r="G73" s="523"/>
      <c r="H73" s="523"/>
      <c r="I73" s="523"/>
      <c r="J73" s="523"/>
      <c r="K73" s="523"/>
      <c r="L73" s="524"/>
      <c r="M73" s="525"/>
      <c r="N73" s="1147"/>
      <c r="O73" s="1147"/>
      <c r="P73" s="526"/>
      <c r="Q73" s="504"/>
    </row>
    <row r="74" spans="1:17" s="117" customFormat="1" ht="15.75" thickBot="1">
      <c r="A74" s="521"/>
      <c r="B74" s="510"/>
      <c r="C74" s="637">
        <v>100</v>
      </c>
      <c r="D74" s="512"/>
      <c r="E74" s="512"/>
      <c r="F74" s="512"/>
      <c r="G74" s="512"/>
      <c r="H74" s="512"/>
      <c r="I74" s="512"/>
      <c r="J74" s="512"/>
      <c r="K74" s="512"/>
      <c r="L74" s="512"/>
      <c r="M74" s="514"/>
      <c r="N74" s="1147"/>
      <c r="O74" s="1147"/>
      <c r="P74" s="504"/>
      <c r="Q74" s="504"/>
    </row>
    <row r="75" spans="1:17">
      <c r="A75" s="527" t="s">
        <v>2576</v>
      </c>
      <c r="B75" s="528" t="s">
        <v>2542</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2545</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2770</v>
      </c>
      <c r="C90" s="578" t="s">
        <v>2585</v>
      </c>
      <c r="D90" s="578" t="s">
        <v>2586</v>
      </c>
      <c r="E90" s="578" t="s">
        <v>2587</v>
      </c>
      <c r="F90" s="578" t="s">
        <v>2588</v>
      </c>
      <c r="G90" s="578" t="s">
        <v>2589</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2684</v>
      </c>
      <c r="C92" s="578" t="s">
        <v>2585</v>
      </c>
      <c r="D92" s="578" t="s">
        <v>2586</v>
      </c>
      <c r="E92" s="578" t="s">
        <v>2587</v>
      </c>
      <c r="F92" s="578" t="s">
        <v>2588</v>
      </c>
      <c r="G92" s="578" t="s">
        <v>2589</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2771</v>
      </c>
      <c r="C96" s="578" t="s">
        <v>2585</v>
      </c>
      <c r="D96" s="578" t="s">
        <v>2586</v>
      </c>
      <c r="E96" s="578" t="s">
        <v>2587</v>
      </c>
      <c r="F96" s="578" t="s">
        <v>2588</v>
      </c>
      <c r="G96" s="578" t="s">
        <v>2589</v>
      </c>
      <c r="H96" s="578"/>
      <c r="I96" s="578"/>
      <c r="J96" s="578"/>
      <c r="K96" s="578"/>
      <c r="L96" s="696"/>
      <c r="M96" s="620"/>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2772</v>
      </c>
      <c r="C98" s="573" t="s">
        <v>2585</v>
      </c>
      <c r="D98" s="573" t="s">
        <v>2586</v>
      </c>
      <c r="E98" s="573" t="s">
        <v>2587</v>
      </c>
      <c r="F98" s="573" t="s">
        <v>2588</v>
      </c>
      <c r="G98" s="573" t="s">
        <v>2589</v>
      </c>
      <c r="H98" s="578"/>
      <c r="I98" s="578"/>
      <c r="J98" s="578"/>
      <c r="K98" s="578"/>
      <c r="L98" s="578"/>
      <c r="M98" s="620"/>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2643</v>
      </c>
      <c r="C102" s="658" t="s">
        <v>2662</v>
      </c>
      <c r="D102" s="658" t="s">
        <v>2663</v>
      </c>
      <c r="E102" s="658" t="s">
        <v>2664</v>
      </c>
      <c r="F102" s="658" t="s">
        <v>2665</v>
      </c>
      <c r="G102" s="658" t="s">
        <v>2666</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2678</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2736</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3"/>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5"/>
      <c r="E115" s="675"/>
      <c r="F115" s="675"/>
      <c r="G115" s="675"/>
      <c r="H115" s="675"/>
      <c r="I115" s="675"/>
      <c r="J115" s="675"/>
      <c r="K115" s="675"/>
      <c r="L115" s="675"/>
      <c r="M115" s="697"/>
      <c r="N115" s="1149"/>
      <c r="O115" s="1149"/>
      <c r="P115" s="558"/>
      <c r="Q115" s="559"/>
    </row>
    <row r="116" spans="1:17">
      <c r="A116" s="527" t="s">
        <v>2551</v>
      </c>
      <c r="B116" s="528" t="s">
        <v>2777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2778</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2779</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2780</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2781</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8"/>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4"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activeCell="W3" sqref="W3"/>
    </sheetView>
  </sheetViews>
  <sheetFormatPr defaultColWidth="8.875" defaultRowHeight="14.25"/>
  <cols>
    <col min="1" max="1" width="14.37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398" customFormat="1" ht="28.5" customHeight="1">
      <c r="A1" s="394" t="s">
        <v>2730</v>
      </c>
      <c r="B1" s="395"/>
      <c r="C1" s="396" t="s">
        <v>2782</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2315</v>
      </c>
      <c r="B2" s="669" t="e">
        <f>F61</f>
        <v>#DIV/0!</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2317</v>
      </c>
      <c r="B3" s="609" t="e">
        <f>ROUND(IF(D3="",B2*10000/'数据-汇总表'!E3,B2*10000/D3),0)</f>
        <v>#DIV/0!</v>
      </c>
      <c r="C3" s="247" t="s">
        <v>2732</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2633</v>
      </c>
      <c r="B4" s="402"/>
      <c r="C4" s="3282" t="s">
        <v>2634</v>
      </c>
      <c r="D4" s="3283"/>
      <c r="E4" s="3284" t="s">
        <v>2635</v>
      </c>
      <c r="F4" s="3285"/>
      <c r="G4" s="3282" t="s">
        <v>2636</v>
      </c>
      <c r="H4" s="3283"/>
      <c r="I4" s="3282" t="s">
        <v>2637</v>
      </c>
      <c r="J4" s="3283"/>
      <c r="K4" s="610" t="s">
        <v>2638</v>
      </c>
      <c r="L4" s="1126"/>
      <c r="M4" s="1127"/>
      <c r="N4" s="1127"/>
      <c r="O4" s="1127"/>
      <c r="P4" s="3323" t="s">
        <v>2639</v>
      </c>
      <c r="Q4" s="3324"/>
      <c r="R4" s="3327" t="s">
        <v>2635</v>
      </c>
      <c r="S4" s="3328"/>
      <c r="T4" s="3327" t="s">
        <v>2636</v>
      </c>
      <c r="U4" s="3328"/>
      <c r="V4" s="3299" t="s">
        <v>2637</v>
      </c>
      <c r="W4" s="3299"/>
      <c r="X4" s="1809"/>
      <c r="Y4" s="3327" t="s">
        <v>2639</v>
      </c>
      <c r="Z4" s="3328"/>
      <c r="AA4" s="3320" t="s">
        <v>2635</v>
      </c>
      <c r="AB4" s="3313" t="s">
        <v>2636</v>
      </c>
      <c r="AC4" s="3320" t="s">
        <v>2637</v>
      </c>
    </row>
    <row r="5" spans="1:29" ht="15">
      <c r="A5" s="404"/>
      <c r="B5" s="405"/>
      <c r="C5" s="3308" t="s">
        <v>2530</v>
      </c>
      <c r="D5" s="3303"/>
      <c r="E5" s="3360" t="s">
        <v>2531</v>
      </c>
      <c r="F5" s="3316"/>
      <c r="G5" s="3308" t="s">
        <v>2532</v>
      </c>
      <c r="H5" s="3303"/>
      <c r="I5" s="3308" t="s">
        <v>2533</v>
      </c>
      <c r="J5" s="3303"/>
      <c r="K5" s="610"/>
      <c r="L5" s="1126"/>
      <c r="M5" s="1127"/>
      <c r="N5" s="1127"/>
      <c r="O5" s="1127"/>
      <c r="P5" s="3325"/>
      <c r="Q5" s="3289"/>
      <c r="R5" s="3294"/>
      <c r="S5" s="3295"/>
      <c r="T5" s="3294"/>
      <c r="U5" s="3295"/>
      <c r="V5" s="3299"/>
      <c r="W5" s="3299"/>
      <c r="X5" s="1809"/>
      <c r="Y5" s="3294"/>
      <c r="Z5" s="3295"/>
      <c r="AA5" s="3313"/>
      <c r="AB5" s="3313"/>
      <c r="AC5" s="3313"/>
    </row>
    <row r="6" spans="1:29" ht="15.75" thickBot="1">
      <c r="A6" s="406"/>
      <c r="B6" s="407"/>
      <c r="C6" s="3365" t="s">
        <v>2783</v>
      </c>
      <c r="D6" s="3366"/>
      <c r="E6" s="3367" t="s">
        <v>2783</v>
      </c>
      <c r="F6" s="3368"/>
      <c r="G6" s="3365" t="s">
        <v>2783</v>
      </c>
      <c r="H6" s="3366"/>
      <c r="I6" s="3365" t="s">
        <v>2783</v>
      </c>
      <c r="J6" s="3366"/>
      <c r="K6" s="610" t="s">
        <v>2535</v>
      </c>
      <c r="L6" s="1126"/>
      <c r="M6" s="1127"/>
      <c r="N6" s="1127"/>
      <c r="O6" s="1127"/>
      <c r="P6" s="3326"/>
      <c r="Q6" s="3291"/>
      <c r="R6" s="3294"/>
      <c r="S6" s="3295"/>
      <c r="T6" s="3296"/>
      <c r="U6" s="3297"/>
      <c r="V6" s="3299"/>
      <c r="W6" s="3299"/>
      <c r="X6" s="1809"/>
      <c r="Y6" s="3296"/>
      <c r="Z6" s="3297"/>
      <c r="AA6" s="3314"/>
      <c r="AB6" s="3314"/>
      <c r="AC6" s="3314"/>
    </row>
    <row r="7" spans="1:29" s="117" customFormat="1" ht="15.75" thickBot="1">
      <c r="A7" s="408" t="s">
        <v>2536</v>
      </c>
      <c r="B7" s="409"/>
      <c r="C7" s="410">
        <f>'数据-取费表'!B2</f>
        <v>43185</v>
      </c>
      <c r="D7" s="411">
        <v>100</v>
      </c>
      <c r="E7" s="412"/>
      <c r="F7" s="413">
        <f>SUMIF(65:65,YEAR(E7)&amp;"-"&amp;INT((MONTH(E7)+2)/3),66:66)</f>
        <v>0</v>
      </c>
      <c r="G7" s="2691"/>
      <c r="H7" s="411">
        <f>SUMIF(65:65,YEAR(G7)&amp;"-"&amp;INT((MONTH(G7)+2)/3),66:66)</f>
        <v>0</v>
      </c>
      <c r="I7" s="2691"/>
      <c r="J7" s="411">
        <f>SUMIF(65:65,YEAR(I7)&amp;"-"&amp;INT((MONTH(I7)+2)/3),66:66)</f>
        <v>0</v>
      </c>
      <c r="K7" s="611"/>
      <c r="L7" s="1128"/>
      <c r="M7" s="1129"/>
      <c r="N7" s="1129"/>
      <c r="O7" s="1129"/>
      <c r="P7" s="3306" t="s">
        <v>2537</v>
      </c>
      <c r="Q7" s="3307"/>
      <c r="R7" s="768" t="s">
        <v>17</v>
      </c>
      <c r="S7" s="769">
        <f t="shared" ref="S7:S15" si="0">F7</f>
        <v>0</v>
      </c>
      <c r="T7" s="768" t="s">
        <v>17</v>
      </c>
      <c r="U7" s="769">
        <f t="shared" ref="U7:U15" si="1">H7</f>
        <v>0</v>
      </c>
      <c r="V7" s="768" t="s">
        <v>17</v>
      </c>
      <c r="W7" s="769">
        <f t="shared" ref="W7:W15" si="2">J7</f>
        <v>0</v>
      </c>
      <c r="X7" s="770"/>
      <c r="Y7" s="3306" t="s">
        <v>2537</v>
      </c>
      <c r="Z7" s="3305"/>
      <c r="AA7" s="771" t="e">
        <f>D7/F7</f>
        <v>#DIV/0!</v>
      </c>
      <c r="AB7" s="771" t="e">
        <f>D7/H7</f>
        <v>#DIV/0!</v>
      </c>
      <c r="AC7" s="771"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306" t="s">
        <v>2540</v>
      </c>
      <c r="Q8" s="3305"/>
      <c r="R8" s="768" t="s">
        <v>17</v>
      </c>
      <c r="S8" s="769">
        <f t="shared" si="0"/>
        <v>0</v>
      </c>
      <c r="T8" s="768" t="s">
        <v>17</v>
      </c>
      <c r="U8" s="769">
        <f t="shared" si="1"/>
        <v>0</v>
      </c>
      <c r="V8" s="768" t="s">
        <v>17</v>
      </c>
      <c r="W8" s="769">
        <f t="shared" si="2"/>
        <v>0</v>
      </c>
      <c r="X8" s="770"/>
      <c r="Y8" s="3306" t="s">
        <v>2540</v>
      </c>
      <c r="Z8" s="3305"/>
      <c r="AA8" s="771" t="e">
        <f t="shared" ref="AA8:AA40" si="3">D8/F8</f>
        <v>#DIV/0!</v>
      </c>
      <c r="AB8" s="771" t="e">
        <f t="shared" ref="AB8:AB40" si="4">D8/H8</f>
        <v>#DIV/0!</v>
      </c>
      <c r="AC8" s="771" t="e">
        <f t="shared" ref="AC8:AC40" si="5">D8/J8</f>
        <v>#DIV/0!</v>
      </c>
    </row>
    <row r="9" spans="1:29" s="117" customFormat="1">
      <c r="A9" s="415" t="s">
        <v>2541</v>
      </c>
      <c r="B9" s="71" t="s">
        <v>2542</v>
      </c>
      <c r="C9" s="2694"/>
      <c r="D9" s="135">
        <v>100</v>
      </c>
      <c r="E9" s="2694"/>
      <c r="F9" s="135">
        <f>SUMIF(70:70,E9,71:71)-SUMIF(70:70,C9,71:71)+100</f>
        <v>100</v>
      </c>
      <c r="G9" s="2694"/>
      <c r="H9" s="135">
        <f>SUMIF(70:70,G9,71:71)-SUMIF(70:70,C9,71:71)+100</f>
        <v>100</v>
      </c>
      <c r="I9" s="2694"/>
      <c r="J9" s="135">
        <f>SUMIF(70:70,I9,71:71)-SUMIF(70:70,C9,71:71)+100</f>
        <v>100</v>
      </c>
      <c r="K9" s="611"/>
      <c r="L9" s="1128"/>
      <c r="M9" s="1129"/>
      <c r="N9" s="1129"/>
      <c r="O9" s="1130"/>
      <c r="P9" s="3265" t="s">
        <v>2543</v>
      </c>
      <c r="Q9" s="1791" t="str">
        <f t="shared" ref="Q9:Q15" si="6">B9</f>
        <v>用途</v>
      </c>
      <c r="R9" s="768" t="s">
        <v>17</v>
      </c>
      <c r="S9" s="769">
        <f t="shared" si="0"/>
        <v>100</v>
      </c>
      <c r="T9" s="768" t="s">
        <v>17</v>
      </c>
      <c r="U9" s="769">
        <f t="shared" si="1"/>
        <v>100</v>
      </c>
      <c r="V9" s="768" t="s">
        <v>17</v>
      </c>
      <c r="W9" s="769">
        <f t="shared" si="2"/>
        <v>100</v>
      </c>
      <c r="X9" s="770"/>
      <c r="Y9" s="3106" t="s">
        <v>2544</v>
      </c>
      <c r="Z9" s="55" t="str">
        <f t="shared" ref="Z9:Z15" si="7">Q9</f>
        <v>用途</v>
      </c>
      <c r="AA9" s="771">
        <f t="shared" si="3"/>
        <v>1</v>
      </c>
      <c r="AB9" s="771">
        <f t="shared" si="4"/>
        <v>1</v>
      </c>
      <c r="AC9" s="771">
        <f t="shared" si="5"/>
        <v>1</v>
      </c>
    </row>
    <row r="10" spans="1:29" s="427" customFormat="1" ht="27">
      <c r="A10" s="421"/>
      <c r="B10" s="422" t="s">
        <v>2545</v>
      </c>
      <c r="C10" s="432"/>
      <c r="D10" s="136">
        <v>100</v>
      </c>
      <c r="E10" s="432"/>
      <c r="F10" s="136">
        <f>ROUND(100/'数据-取费表'!G16,0)</f>
        <v>106</v>
      </c>
      <c r="G10" s="432"/>
      <c r="H10" s="136">
        <f>ROUND(100/'数据-取费表'!G16,0)</f>
        <v>106</v>
      </c>
      <c r="I10" s="432"/>
      <c r="J10" s="136">
        <f>ROUND(100/'数据-取费表'!G16,0)</f>
        <v>106</v>
      </c>
      <c r="K10" s="670"/>
      <c r="L10" s="1131"/>
      <c r="M10" s="1132"/>
      <c r="N10" s="1132"/>
      <c r="O10" s="1133"/>
      <c r="P10" s="3265"/>
      <c r="Q10" s="1791" t="str">
        <f t="shared" si="6"/>
        <v>土地使用年限（年）</v>
      </c>
      <c r="R10" s="768" t="s">
        <v>17</v>
      </c>
      <c r="S10" s="769">
        <f t="shared" si="0"/>
        <v>106</v>
      </c>
      <c r="T10" s="768" t="s">
        <v>17</v>
      </c>
      <c r="U10" s="769">
        <f t="shared" si="1"/>
        <v>106</v>
      </c>
      <c r="V10" s="768" t="s">
        <v>17</v>
      </c>
      <c r="W10" s="769">
        <f t="shared" si="2"/>
        <v>106</v>
      </c>
      <c r="X10" s="770"/>
      <c r="Y10" s="3106"/>
      <c r="Z10" s="55" t="str">
        <f t="shared" si="7"/>
        <v>土地使用年限（年）</v>
      </c>
      <c r="AA10" s="771">
        <f t="shared" si="3"/>
        <v>0.94339622641509435</v>
      </c>
      <c r="AB10" s="771">
        <f t="shared" si="4"/>
        <v>0.94339622641509435</v>
      </c>
      <c r="AC10" s="771">
        <f t="shared" si="5"/>
        <v>0.94339622641509435</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4"/>
      <c r="M11" s="1127"/>
      <c r="N11" s="1127"/>
      <c r="O11" s="1135"/>
      <c r="P11" s="3265"/>
      <c r="Q11" s="1791" t="str">
        <f t="shared" si="6"/>
        <v>容积率</v>
      </c>
      <c r="R11" s="768" t="s">
        <v>17</v>
      </c>
      <c r="S11" s="769" t="e">
        <f t="shared" si="0"/>
        <v>#N/A</v>
      </c>
      <c r="T11" s="768" t="s">
        <v>17</v>
      </c>
      <c r="U11" s="769" t="e">
        <f t="shared" si="1"/>
        <v>#N/A</v>
      </c>
      <c r="V11" s="768" t="s">
        <v>17</v>
      </c>
      <c r="W11" s="769" t="e">
        <f t="shared" si="2"/>
        <v>#N/A</v>
      </c>
      <c r="X11" s="770"/>
      <c r="Y11" s="3106"/>
      <c r="Z11" s="55" t="str">
        <f t="shared" si="7"/>
        <v>容积率</v>
      </c>
      <c r="AA11" s="771" t="e">
        <f t="shared" si="3"/>
        <v>#N/A</v>
      </c>
      <c r="AB11" s="771" t="e">
        <f t="shared" si="4"/>
        <v>#N/A</v>
      </c>
      <c r="AC11" s="771" t="e">
        <f t="shared" si="5"/>
        <v>#N/A</v>
      </c>
    </row>
    <row r="12" spans="1:29" s="117" customFormat="1" ht="15">
      <c r="A12" s="431"/>
      <c r="B12" s="2595">
        <v>111</v>
      </c>
      <c r="C12" s="432"/>
      <c r="D12" s="433">
        <v>100</v>
      </c>
      <c r="E12" s="549"/>
      <c r="F12" s="136">
        <f>SUMIF(77:77,E12,78:78)-SUMIF(77:77,C12,78:78)+100</f>
        <v>100</v>
      </c>
      <c r="G12" s="672"/>
      <c r="H12" s="136">
        <f>SUMIF(77:77,G12,78:78)-SUMIF(77:77,C12,78:78)+100</f>
        <v>100</v>
      </c>
      <c r="I12" s="549"/>
      <c r="J12" s="136">
        <f>SUMIF(77:77,I12,78:78)-SUMIF(77:77,C12,78:78)+100</f>
        <v>100</v>
      </c>
      <c r="K12" s="670"/>
      <c r="L12" s="1128"/>
      <c r="M12" s="1129"/>
      <c r="N12" s="1129"/>
      <c r="O12" s="1130"/>
      <c r="P12" s="3265"/>
      <c r="Q12" s="1791">
        <f t="shared" si="6"/>
        <v>111</v>
      </c>
      <c r="R12" s="768" t="s">
        <v>17</v>
      </c>
      <c r="S12" s="769">
        <f t="shared" si="0"/>
        <v>100</v>
      </c>
      <c r="T12" s="768" t="s">
        <v>17</v>
      </c>
      <c r="U12" s="769">
        <f t="shared" si="1"/>
        <v>100</v>
      </c>
      <c r="V12" s="768" t="s">
        <v>17</v>
      </c>
      <c r="W12" s="769">
        <f t="shared" si="2"/>
        <v>100</v>
      </c>
      <c r="X12" s="770"/>
      <c r="Y12" s="3106"/>
      <c r="Z12" s="55">
        <f t="shared" si="7"/>
        <v>111</v>
      </c>
      <c r="AA12" s="771">
        <f>D12/F12</f>
        <v>1</v>
      </c>
      <c r="AB12" s="771">
        <f>D12/H12</f>
        <v>1</v>
      </c>
      <c r="AC12" s="771">
        <f>D12/J12</f>
        <v>1</v>
      </c>
    </row>
    <row r="13" spans="1:29" ht="15">
      <c r="A13" s="428"/>
      <c r="B13" s="2595">
        <v>111</v>
      </c>
      <c r="C13" s="434"/>
      <c r="D13" s="435">
        <v>100</v>
      </c>
      <c r="E13" s="549"/>
      <c r="F13" s="136">
        <f>SUMIF(79:79,E13,80:80)-SUMIF(79:79,C13,80:80)+100</f>
        <v>100</v>
      </c>
      <c r="G13" s="672"/>
      <c r="H13" s="435">
        <f>SUMIF(79:79,G13,80:80)-SUMIF(79:79,C13,80:80)+100</f>
        <v>100</v>
      </c>
      <c r="I13" s="549"/>
      <c r="J13" s="435">
        <f>SUMIF(79:79,I13,80:80)-SUMIF(79:79,C13,80:80)+100</f>
        <v>100</v>
      </c>
      <c r="K13" s="670"/>
      <c r="L13" s="1136"/>
      <c r="M13" s="1127"/>
      <c r="N13" s="1127"/>
      <c r="O13" s="1135"/>
      <c r="P13" s="3265"/>
      <c r="Q13" s="1791">
        <f t="shared" si="6"/>
        <v>111</v>
      </c>
      <c r="R13" s="768" t="s">
        <v>17</v>
      </c>
      <c r="S13" s="769">
        <f t="shared" si="0"/>
        <v>100</v>
      </c>
      <c r="T13" s="768" t="s">
        <v>17</v>
      </c>
      <c r="U13" s="769">
        <f t="shared" si="1"/>
        <v>100</v>
      </c>
      <c r="V13" s="768" t="s">
        <v>17</v>
      </c>
      <c r="W13" s="769">
        <f t="shared" si="2"/>
        <v>100</v>
      </c>
      <c r="X13" s="770"/>
      <c r="Y13" s="3106"/>
      <c r="Z13" s="55">
        <f t="shared" si="7"/>
        <v>111</v>
      </c>
      <c r="AA13" s="771">
        <f t="shared" si="3"/>
        <v>1</v>
      </c>
      <c r="AB13" s="771">
        <f t="shared" si="4"/>
        <v>1</v>
      </c>
      <c r="AC13" s="771">
        <f t="shared" si="5"/>
        <v>1</v>
      </c>
    </row>
    <row r="14" spans="1:29" ht="15.75" thickBot="1">
      <c r="A14" s="436"/>
      <c r="B14" s="2597">
        <v>111</v>
      </c>
      <c r="C14" s="437"/>
      <c r="D14" s="438">
        <v>100</v>
      </c>
      <c r="E14" s="549"/>
      <c r="F14" s="438">
        <f>SUMIF(81:81,E14,82:82)-SUMIF(81:81,C14,82:82)+100</f>
        <v>100</v>
      </c>
      <c r="G14" s="672"/>
      <c r="H14" s="438">
        <f>SUMIF(81:81,G14,82:82)-SUMIF(81:81,C14,82:82)+100</f>
        <v>100</v>
      </c>
      <c r="I14" s="549"/>
      <c r="J14" s="438">
        <f>SUMIF(81:81,I14,82:82)-SUMIF(81:81,C14,82:82)+100</f>
        <v>100</v>
      </c>
      <c r="K14" s="670"/>
      <c r="L14" s="1136"/>
      <c r="M14" s="1127"/>
      <c r="N14" s="1127"/>
      <c r="O14" s="1135"/>
      <c r="P14" s="3265"/>
      <c r="Q14" s="1791">
        <f t="shared" si="6"/>
        <v>111</v>
      </c>
      <c r="R14" s="768" t="s">
        <v>17</v>
      </c>
      <c r="S14" s="769">
        <f t="shared" si="0"/>
        <v>100</v>
      </c>
      <c r="T14" s="768" t="s">
        <v>17</v>
      </c>
      <c r="U14" s="769">
        <f t="shared" si="1"/>
        <v>100</v>
      </c>
      <c r="V14" s="768" t="s">
        <v>17</v>
      </c>
      <c r="W14" s="769">
        <f t="shared" si="2"/>
        <v>100</v>
      </c>
      <c r="X14" s="770"/>
      <c r="Y14" s="3106"/>
      <c r="Z14" s="55">
        <f t="shared" si="7"/>
        <v>111</v>
      </c>
      <c r="AA14" s="771">
        <f t="shared" si="3"/>
        <v>1</v>
      </c>
      <c r="AB14" s="771">
        <f t="shared" si="4"/>
        <v>1</v>
      </c>
      <c r="AC14" s="771">
        <f t="shared" si="5"/>
        <v>1</v>
      </c>
    </row>
    <row r="15" spans="1:29" ht="15">
      <c r="A15" s="440" t="s">
        <v>2547</v>
      </c>
      <c r="B15" s="627" t="s">
        <v>2784</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36"/>
      <c r="M15" s="1127"/>
      <c r="N15" s="1127"/>
      <c r="O15" s="1135"/>
      <c r="P15" s="3272" t="s">
        <v>2548</v>
      </c>
      <c r="Q15" s="1806" t="str">
        <f t="shared" si="6"/>
        <v>产业集聚程度</v>
      </c>
      <c r="R15" s="772" t="s">
        <v>17</v>
      </c>
      <c r="S15" s="773">
        <f t="shared" si="0"/>
        <v>100</v>
      </c>
      <c r="T15" s="772" t="s">
        <v>17</v>
      </c>
      <c r="U15" s="773">
        <f t="shared" si="1"/>
        <v>100</v>
      </c>
      <c r="V15" s="772" t="s">
        <v>17</v>
      </c>
      <c r="W15" s="773">
        <f t="shared" si="2"/>
        <v>100</v>
      </c>
      <c r="X15" s="1809"/>
      <c r="Y15" s="3272" t="s">
        <v>2548</v>
      </c>
      <c r="Z15" s="1810" t="str">
        <f t="shared" si="7"/>
        <v>产业集聚程度</v>
      </c>
      <c r="AA15" s="1807">
        <f t="shared" si="3"/>
        <v>1</v>
      </c>
      <c r="AB15" s="1807">
        <f t="shared" si="4"/>
        <v>1</v>
      </c>
      <c r="AC15" s="1807">
        <f t="shared" si="5"/>
        <v>1</v>
      </c>
    </row>
    <row r="16" spans="1:29" ht="15">
      <c r="A16" s="428"/>
      <c r="B16" s="628"/>
      <c r="C16" s="447"/>
      <c r="D16" s="448"/>
      <c r="E16" s="2606"/>
      <c r="F16" s="448"/>
      <c r="G16" s="2606"/>
      <c r="H16" s="450"/>
      <c r="I16" s="2606"/>
      <c r="J16" s="448"/>
      <c r="K16" s="670"/>
      <c r="L16" s="1136"/>
      <c r="M16" s="1127"/>
      <c r="N16" s="1127"/>
      <c r="O16" s="1135"/>
      <c r="P16" s="3273"/>
      <c r="Q16" s="1806"/>
      <c r="R16" s="772"/>
      <c r="S16" s="773"/>
      <c r="T16" s="772"/>
      <c r="U16" s="773"/>
      <c r="V16" s="772"/>
      <c r="W16" s="773"/>
      <c r="X16" s="1809"/>
      <c r="Y16" s="3273"/>
      <c r="Z16" s="1810"/>
      <c r="AA16" s="1807">
        <v>1</v>
      </c>
      <c r="AB16" s="1807">
        <v>1</v>
      </c>
      <c r="AC16" s="1807">
        <v>1</v>
      </c>
    </row>
    <row r="17" spans="1:29" ht="15">
      <c r="A17" s="428"/>
      <c r="B17" s="629" t="s">
        <v>2696</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36"/>
      <c r="M17" s="1127"/>
      <c r="N17" s="1127"/>
      <c r="O17" s="1135"/>
      <c r="P17" s="3273"/>
      <c r="Q17" s="1806" t="str">
        <f>B17</f>
        <v>交通便捷度</v>
      </c>
      <c r="R17" s="772" t="s">
        <v>17</v>
      </c>
      <c r="S17" s="773">
        <f>F17</f>
        <v>100</v>
      </c>
      <c r="T17" s="772" t="s">
        <v>17</v>
      </c>
      <c r="U17" s="773">
        <f>H17</f>
        <v>100</v>
      </c>
      <c r="V17" s="772" t="s">
        <v>17</v>
      </c>
      <c r="W17" s="773">
        <f>J17</f>
        <v>100</v>
      </c>
      <c r="X17" s="1809"/>
      <c r="Y17" s="3273"/>
      <c r="Z17" s="1810" t="str">
        <f>Q17</f>
        <v>交通便捷度</v>
      </c>
      <c r="AA17" s="1807">
        <f t="shared" si="3"/>
        <v>1</v>
      </c>
      <c r="AB17" s="1807">
        <f t="shared" si="4"/>
        <v>1</v>
      </c>
      <c r="AC17" s="1807">
        <f t="shared" si="5"/>
        <v>1</v>
      </c>
    </row>
    <row r="18" spans="1:29" ht="15">
      <c r="A18" s="428"/>
      <c r="B18" s="630"/>
      <c r="C18" s="447"/>
      <c r="D18" s="448"/>
      <c r="E18" s="2600"/>
      <c r="F18" s="448"/>
      <c r="G18" s="2600"/>
      <c r="H18" s="448"/>
      <c r="I18" s="2599"/>
      <c r="J18" s="448"/>
      <c r="K18" s="670"/>
      <c r="L18" s="1136"/>
      <c r="M18" s="1127"/>
      <c r="N18" s="1127"/>
      <c r="O18" s="1135"/>
      <c r="P18" s="3273"/>
      <c r="Q18" s="1806"/>
      <c r="R18" s="772"/>
      <c r="S18" s="773"/>
      <c r="T18" s="772"/>
      <c r="U18" s="773"/>
      <c r="V18" s="772"/>
      <c r="W18" s="773"/>
      <c r="X18" s="1809"/>
      <c r="Y18" s="3273"/>
      <c r="Z18" s="1810"/>
      <c r="AA18" s="1807">
        <v>1</v>
      </c>
      <c r="AB18" s="1807">
        <v>1</v>
      </c>
      <c r="AC18" s="1807">
        <v>1</v>
      </c>
    </row>
    <row r="19" spans="1:29" ht="15">
      <c r="A19" s="428"/>
      <c r="B19" s="629" t="s">
        <v>2734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36"/>
      <c r="M19" s="1127"/>
      <c r="N19" s="1127"/>
      <c r="O19" s="1135"/>
      <c r="P19" s="3273"/>
      <c r="Q19" s="1806" t="str">
        <f t="shared" ref="Q19:Q33" si="8">B19</f>
        <v>区域土地利用方向</v>
      </c>
      <c r="R19" s="772" t="s">
        <v>17</v>
      </c>
      <c r="S19" s="773">
        <f>F19</f>
        <v>100</v>
      </c>
      <c r="T19" s="772" t="s">
        <v>17</v>
      </c>
      <c r="U19" s="773">
        <f>H19</f>
        <v>100</v>
      </c>
      <c r="V19" s="772" t="s">
        <v>17</v>
      </c>
      <c r="W19" s="773">
        <f>J19</f>
        <v>100</v>
      </c>
      <c r="X19" s="1809"/>
      <c r="Y19" s="3273"/>
      <c r="Z19" s="1810" t="str">
        <f>Q19</f>
        <v>区域土地利用方向</v>
      </c>
      <c r="AA19" s="1807">
        <f t="shared" si="3"/>
        <v>1</v>
      </c>
      <c r="AB19" s="1807">
        <f t="shared" si="4"/>
        <v>1</v>
      </c>
      <c r="AC19" s="1807">
        <f t="shared" si="5"/>
        <v>1</v>
      </c>
    </row>
    <row r="20" spans="1:29" ht="15">
      <c r="A20" s="404"/>
      <c r="B20" s="630"/>
      <c r="C20" s="447"/>
      <c r="D20" s="448"/>
      <c r="E20" s="2600"/>
      <c r="F20" s="448"/>
      <c r="G20" s="2600"/>
      <c r="H20" s="448"/>
      <c r="I20" s="2600"/>
      <c r="J20" s="448"/>
      <c r="K20" s="805"/>
      <c r="L20" s="1136"/>
      <c r="M20" s="1127"/>
      <c r="N20" s="1127"/>
      <c r="O20" s="1135"/>
      <c r="P20" s="3273"/>
      <c r="Q20" s="1806"/>
      <c r="R20" s="772"/>
      <c r="S20" s="773"/>
      <c r="T20" s="772"/>
      <c r="U20" s="773"/>
      <c r="V20" s="772"/>
      <c r="W20" s="773"/>
      <c r="X20" s="1809"/>
      <c r="Y20" s="3273"/>
      <c r="Z20" s="1810"/>
      <c r="AA20" s="1807"/>
      <c r="AB20" s="1807"/>
      <c r="AC20" s="1807"/>
    </row>
    <row r="21" spans="1:29" ht="15">
      <c r="A21" s="404"/>
      <c r="B21" s="629" t="s">
        <v>2785</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36"/>
      <c r="M21" s="1127"/>
      <c r="N21" s="1127"/>
      <c r="O21" s="1135"/>
      <c r="P21" s="3273"/>
      <c r="Q21" s="1806" t="str">
        <f t="shared" si="8"/>
        <v>环境状况</v>
      </c>
      <c r="R21" s="772" t="s">
        <v>17</v>
      </c>
      <c r="S21" s="773">
        <f>F21</f>
        <v>100</v>
      </c>
      <c r="T21" s="772" t="s">
        <v>17</v>
      </c>
      <c r="U21" s="773">
        <f>H21</f>
        <v>100</v>
      </c>
      <c r="V21" s="772" t="s">
        <v>17</v>
      </c>
      <c r="W21" s="773">
        <f>J21</f>
        <v>100</v>
      </c>
      <c r="X21" s="1809"/>
      <c r="Y21" s="3273"/>
      <c r="Z21" s="1810" t="str">
        <f>Q21</f>
        <v>环境状况</v>
      </c>
      <c r="AA21" s="1807">
        <f t="shared" si="3"/>
        <v>1</v>
      </c>
      <c r="AB21" s="1807">
        <f t="shared" si="4"/>
        <v>1</v>
      </c>
      <c r="AC21" s="1807">
        <f t="shared" si="5"/>
        <v>1</v>
      </c>
    </row>
    <row r="22" spans="1:29" ht="15">
      <c r="A22" s="404"/>
      <c r="B22" s="630"/>
      <c r="C22" s="447"/>
      <c r="D22" s="448"/>
      <c r="E22" s="2606"/>
      <c r="F22" s="448"/>
      <c r="G22" s="2606"/>
      <c r="H22" s="448"/>
      <c r="I22" s="447"/>
      <c r="J22" s="448"/>
      <c r="K22" s="670"/>
      <c r="L22" s="1136"/>
      <c r="M22" s="1127"/>
      <c r="N22" s="1127"/>
      <c r="O22" s="1135"/>
      <c r="P22" s="3273"/>
      <c r="Q22" s="1806"/>
      <c r="R22" s="772"/>
      <c r="S22" s="773"/>
      <c r="T22" s="772"/>
      <c r="U22" s="773"/>
      <c r="V22" s="772"/>
      <c r="W22" s="773"/>
      <c r="X22" s="1809"/>
      <c r="Y22" s="3273"/>
      <c r="Z22" s="1810"/>
      <c r="AA22" s="1807">
        <v>1</v>
      </c>
      <c r="AB22" s="1807">
        <v>1</v>
      </c>
      <c r="AC22" s="1807">
        <v>1</v>
      </c>
    </row>
    <row r="23" spans="1:29" s="117" customFormat="1" ht="15">
      <c r="A23" s="647"/>
      <c r="B23" s="631" t="s">
        <v>2642</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28"/>
      <c r="M23" s="1129"/>
      <c r="N23" s="1129"/>
      <c r="O23" s="1130"/>
      <c r="P23" s="3273"/>
      <c r="Q23" s="1791" t="str">
        <f t="shared" si="8"/>
        <v>公共配套设施</v>
      </c>
      <c r="R23" s="768" t="s">
        <v>17</v>
      </c>
      <c r="S23" s="769">
        <f>F23</f>
        <v>100</v>
      </c>
      <c r="T23" s="768" t="s">
        <v>17</v>
      </c>
      <c r="U23" s="769">
        <f>H23</f>
        <v>100</v>
      </c>
      <c r="V23" s="768" t="s">
        <v>17</v>
      </c>
      <c r="W23" s="769">
        <f>J23</f>
        <v>100</v>
      </c>
      <c r="X23" s="770"/>
      <c r="Y23" s="3273"/>
      <c r="Z23" s="55" t="str">
        <f>Q23</f>
        <v>公共配套设施</v>
      </c>
      <c r="AA23" s="1807">
        <f>D23/F23</f>
        <v>1</v>
      </c>
      <c r="AB23" s="1807">
        <f>D23/H23</f>
        <v>1</v>
      </c>
      <c r="AC23" s="1807">
        <f>D23/J23</f>
        <v>1</v>
      </c>
    </row>
    <row r="24" spans="1:29" s="117" customFormat="1" ht="15">
      <c r="A24" s="647"/>
      <c r="B24" s="630"/>
      <c r="C24" s="2695"/>
      <c r="D24" s="448"/>
      <c r="E24" s="2606"/>
      <c r="F24" s="448"/>
      <c r="G24" s="2606"/>
      <c r="H24" s="448"/>
      <c r="I24" s="447"/>
      <c r="J24" s="448"/>
      <c r="K24" s="670"/>
      <c r="L24" s="1128"/>
      <c r="M24" s="1129"/>
      <c r="N24" s="1129"/>
      <c r="O24" s="1130"/>
      <c r="P24" s="3273"/>
      <c r="Q24" s="1791"/>
      <c r="R24" s="768"/>
      <c r="S24" s="769"/>
      <c r="T24" s="768"/>
      <c r="U24" s="769"/>
      <c r="V24" s="768"/>
      <c r="W24" s="769"/>
      <c r="X24" s="770"/>
      <c r="Y24" s="3273"/>
      <c r="Z24" s="55"/>
      <c r="AA24" s="771">
        <v>1</v>
      </c>
      <c r="AB24" s="771">
        <v>1</v>
      </c>
      <c r="AC24" s="771">
        <v>1</v>
      </c>
    </row>
    <row r="25" spans="1:29" s="117" customFormat="1" ht="15">
      <c r="A25" s="647"/>
      <c r="B25" s="631" t="s">
        <v>2643</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28"/>
      <c r="M25" s="1129"/>
      <c r="N25" s="1129"/>
      <c r="O25" s="1130"/>
      <c r="P25" s="3273"/>
      <c r="Q25" s="1791" t="str">
        <f t="shared" ref="Q25" si="9">B25</f>
        <v>基础设施水平</v>
      </c>
      <c r="R25" s="768" t="s">
        <v>17</v>
      </c>
      <c r="S25" s="769">
        <f>F25</f>
        <v>100</v>
      </c>
      <c r="T25" s="768" t="s">
        <v>17</v>
      </c>
      <c r="U25" s="769">
        <f>H25</f>
        <v>100</v>
      </c>
      <c r="V25" s="768" t="s">
        <v>17</v>
      </c>
      <c r="W25" s="769">
        <f>J25</f>
        <v>100</v>
      </c>
      <c r="X25" s="770"/>
      <c r="Y25" s="3273"/>
      <c r="Z25" s="55" t="str">
        <f>Q25</f>
        <v>基础设施水平</v>
      </c>
      <c r="AA25" s="1807">
        <f>D25/F25</f>
        <v>1</v>
      </c>
      <c r="AB25" s="1807">
        <f>D25/H25</f>
        <v>1</v>
      </c>
      <c r="AC25" s="1807">
        <f>D25/J25</f>
        <v>1</v>
      </c>
    </row>
    <row r="26" spans="1:29" s="117" customFormat="1" ht="15">
      <c r="A26" s="647"/>
      <c r="B26" s="630"/>
      <c r="C26" s="2695"/>
      <c r="D26" s="448"/>
      <c r="E26" s="2696"/>
      <c r="F26" s="448"/>
      <c r="G26" s="2696"/>
      <c r="H26" s="448"/>
      <c r="I26" s="2696"/>
      <c r="J26" s="448"/>
      <c r="K26" s="670"/>
      <c r="L26" s="1128"/>
      <c r="M26" s="1129"/>
      <c r="N26" s="1129"/>
      <c r="O26" s="1130"/>
      <c r="P26" s="3273"/>
      <c r="Q26" s="1791"/>
      <c r="R26" s="768"/>
      <c r="S26" s="769"/>
      <c r="T26" s="768"/>
      <c r="U26" s="769"/>
      <c r="V26" s="768"/>
      <c r="W26" s="769"/>
      <c r="X26" s="770"/>
      <c r="Y26" s="3273"/>
      <c r="Z26" s="55"/>
      <c r="AA26" s="771">
        <v>1</v>
      </c>
      <c r="AB26" s="771">
        <v>1</v>
      </c>
      <c r="AC26" s="771">
        <v>1</v>
      </c>
    </row>
    <row r="27" spans="1:29" ht="15">
      <c r="A27" s="428"/>
      <c r="B27" s="630" t="s">
        <v>2644</v>
      </c>
      <c r="C27" s="616"/>
      <c r="D27" s="435">
        <v>100</v>
      </c>
      <c r="E27" s="632"/>
      <c r="F27" s="435">
        <f>SUMIF(95:95,E27,96:96)-SUMIF(95:95,C27,96:96)+100</f>
        <v>100</v>
      </c>
      <c r="G27" s="632"/>
      <c r="H27" s="435">
        <f>SUMIF(95:95,G27,96:96)-SUMIF(95:95,C27,96:96)+100</f>
        <v>100</v>
      </c>
      <c r="I27" s="632"/>
      <c r="J27" s="435">
        <f>SUMIF(95:95,I27,96:96)-SUMIF(95:95,C27,96:96)+100</f>
        <v>100</v>
      </c>
      <c r="K27" s="671"/>
      <c r="L27" s="1136"/>
      <c r="M27" s="1127"/>
      <c r="N27" s="1127"/>
      <c r="O27" s="1135"/>
      <c r="P27" s="3273"/>
      <c r="Q27" s="1806" t="str">
        <f t="shared" si="8"/>
        <v>临街状况</v>
      </c>
      <c r="R27" s="772" t="s">
        <v>17</v>
      </c>
      <c r="S27" s="773">
        <f t="shared" ref="S27:S40" si="10">F27</f>
        <v>100</v>
      </c>
      <c r="T27" s="772" t="s">
        <v>17</v>
      </c>
      <c r="U27" s="773">
        <f t="shared" ref="U27:U40" si="11">H27</f>
        <v>100</v>
      </c>
      <c r="V27" s="772" t="s">
        <v>17</v>
      </c>
      <c r="W27" s="773">
        <f t="shared" ref="W27:W40" si="12">J27</f>
        <v>100</v>
      </c>
      <c r="X27" s="1809"/>
      <c r="Y27" s="3273"/>
      <c r="Z27" s="1810" t="str">
        <f t="shared" ref="Z27:Z40" si="13">Q27</f>
        <v>临街状况</v>
      </c>
      <c r="AA27" s="1807">
        <f t="shared" si="3"/>
        <v>1</v>
      </c>
      <c r="AB27" s="1807">
        <f t="shared" si="4"/>
        <v>1</v>
      </c>
      <c r="AC27" s="1807">
        <f t="shared" si="5"/>
        <v>1</v>
      </c>
    </row>
    <row r="28" spans="1:29" ht="27">
      <c r="A28" s="428"/>
      <c r="B28" s="631" t="s">
        <v>2678</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36"/>
      <c r="M28" s="1127"/>
      <c r="N28" s="1127"/>
      <c r="O28" s="1135"/>
      <c r="P28" s="3273"/>
      <c r="Q28" s="1806" t="str">
        <f t="shared" si="8"/>
        <v>毗邻道路的类型与等级</v>
      </c>
      <c r="R28" s="772" t="s">
        <v>17</v>
      </c>
      <c r="S28" s="773">
        <f t="shared" si="10"/>
        <v>100</v>
      </c>
      <c r="T28" s="772" t="s">
        <v>17</v>
      </c>
      <c r="U28" s="773">
        <f t="shared" si="11"/>
        <v>100</v>
      </c>
      <c r="V28" s="772" t="s">
        <v>17</v>
      </c>
      <c r="W28" s="773">
        <f t="shared" si="12"/>
        <v>100</v>
      </c>
      <c r="X28" s="1809"/>
      <c r="Y28" s="3273"/>
      <c r="Z28" s="1810" t="str">
        <f t="shared" si="13"/>
        <v>毗邻道路的类型与等级</v>
      </c>
      <c r="AA28" s="1807">
        <f t="shared" si="3"/>
        <v>1</v>
      </c>
      <c r="AB28" s="1807">
        <f t="shared" si="4"/>
        <v>1</v>
      </c>
      <c r="AC28" s="1807">
        <f t="shared" si="5"/>
        <v>1</v>
      </c>
    </row>
    <row r="29" spans="1:29" ht="15">
      <c r="A29" s="428"/>
      <c r="B29" s="630"/>
      <c r="C29" s="447"/>
      <c r="D29" s="448"/>
      <c r="E29" s="2606"/>
      <c r="F29" s="448"/>
      <c r="G29" s="2606"/>
      <c r="H29" s="448"/>
      <c r="I29" s="2606"/>
      <c r="J29" s="448"/>
      <c r="K29" s="613"/>
      <c r="L29" s="1136"/>
      <c r="M29" s="1127"/>
      <c r="N29" s="1127"/>
      <c r="O29" s="1135"/>
      <c r="P29" s="3273"/>
      <c r="Q29" s="1806"/>
      <c r="R29" s="772"/>
      <c r="S29" s="773"/>
      <c r="T29" s="772"/>
      <c r="U29" s="773"/>
      <c r="V29" s="772"/>
      <c r="W29" s="773"/>
      <c r="X29" s="1809"/>
      <c r="Y29" s="3273"/>
      <c r="Z29" s="1810"/>
      <c r="AA29" s="1807">
        <v>1</v>
      </c>
      <c r="AB29" s="1807">
        <v>1</v>
      </c>
      <c r="AC29" s="1807">
        <v>1</v>
      </c>
    </row>
    <row r="30" spans="1:29" ht="15">
      <c r="A30" s="428"/>
      <c r="B30" s="652" t="s">
        <v>2736</v>
      </c>
      <c r="C30" s="1385">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36"/>
      <c r="M30" s="1127"/>
      <c r="N30" s="1127"/>
      <c r="O30" s="1135"/>
      <c r="P30" s="3273"/>
      <c r="Q30" s="1806" t="str">
        <f t="shared" si="8"/>
        <v>土地级别</v>
      </c>
      <c r="R30" s="772" t="s">
        <v>17</v>
      </c>
      <c r="S30" s="773">
        <f t="shared" si="10"/>
        <v>100</v>
      </c>
      <c r="T30" s="772" t="s">
        <v>17</v>
      </c>
      <c r="U30" s="773">
        <f t="shared" si="11"/>
        <v>100</v>
      </c>
      <c r="V30" s="772" t="s">
        <v>17</v>
      </c>
      <c r="W30" s="773">
        <f t="shared" si="12"/>
        <v>100</v>
      </c>
      <c r="X30" s="1809"/>
      <c r="Y30" s="3273"/>
      <c r="Z30" s="1810" t="str">
        <f t="shared" si="13"/>
        <v>土地级别</v>
      </c>
      <c r="AA30" s="1807">
        <f t="shared" si="3"/>
        <v>1</v>
      </c>
      <c r="AB30" s="1807">
        <f t="shared" si="4"/>
        <v>1</v>
      </c>
      <c r="AC30" s="1807">
        <f t="shared" si="5"/>
        <v>1</v>
      </c>
    </row>
    <row r="31" spans="1:29" ht="15">
      <c r="A31" s="404"/>
      <c r="B31" s="2673">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73"/>
      <c r="Q31" s="1806">
        <f t="shared" si="8"/>
        <v>111</v>
      </c>
      <c r="R31" s="772" t="s">
        <v>17</v>
      </c>
      <c r="S31" s="773">
        <f t="shared" si="10"/>
        <v>100</v>
      </c>
      <c r="T31" s="772" t="s">
        <v>17</v>
      </c>
      <c r="U31" s="773">
        <f t="shared" si="11"/>
        <v>100</v>
      </c>
      <c r="V31" s="772" t="s">
        <v>17</v>
      </c>
      <c r="W31" s="773">
        <f t="shared" si="12"/>
        <v>100</v>
      </c>
      <c r="X31" s="1809"/>
      <c r="Y31" s="3273"/>
      <c r="Z31" s="1810">
        <f t="shared" si="13"/>
        <v>111</v>
      </c>
      <c r="AA31" s="1807">
        <f t="shared" si="3"/>
        <v>1</v>
      </c>
      <c r="AB31" s="1807">
        <f t="shared" si="4"/>
        <v>1</v>
      </c>
      <c r="AC31" s="1807">
        <f t="shared" si="5"/>
        <v>1</v>
      </c>
    </row>
    <row r="32" spans="1:29" ht="15">
      <c r="A32" s="673"/>
      <c r="B32" s="2709">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36"/>
      <c r="M32" s="1127"/>
      <c r="N32" s="1127"/>
      <c r="O32" s="1135"/>
      <c r="P32" s="3332" t="s">
        <v>2553</v>
      </c>
      <c r="Q32" s="1806">
        <f t="shared" si="8"/>
        <v>111</v>
      </c>
      <c r="R32" s="772" t="s">
        <v>17</v>
      </c>
      <c r="S32" s="773">
        <f t="shared" si="10"/>
        <v>100</v>
      </c>
      <c r="T32" s="772" t="s">
        <v>17</v>
      </c>
      <c r="U32" s="773">
        <f t="shared" si="11"/>
        <v>100</v>
      </c>
      <c r="V32" s="772" t="s">
        <v>17</v>
      </c>
      <c r="W32" s="773">
        <f t="shared" si="12"/>
        <v>100</v>
      </c>
      <c r="X32" s="1809"/>
      <c r="Y32" s="3277" t="s">
        <v>2553</v>
      </c>
      <c r="Z32" s="1810">
        <f t="shared" si="13"/>
        <v>111</v>
      </c>
      <c r="AA32" s="1807">
        <f t="shared" si="3"/>
        <v>1</v>
      </c>
      <c r="AB32" s="1807">
        <f t="shared" si="4"/>
        <v>1</v>
      </c>
      <c r="AC32" s="1807">
        <f t="shared" si="5"/>
        <v>1</v>
      </c>
    </row>
    <row r="33" spans="1:29" s="471" customFormat="1" ht="15.75" thickBot="1">
      <c r="A33" s="674"/>
      <c r="B33" s="2710">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4"/>
      <c r="M33" s="1137"/>
      <c r="N33" s="1137"/>
      <c r="O33" s="1138"/>
      <c r="P33" s="3277"/>
      <c r="Q33" s="1806">
        <f t="shared" si="8"/>
        <v>111</v>
      </c>
      <c r="R33" s="775" t="s">
        <v>17</v>
      </c>
      <c r="S33" s="776">
        <f t="shared" si="10"/>
        <v>100</v>
      </c>
      <c r="T33" s="775" t="s">
        <v>17</v>
      </c>
      <c r="U33" s="776">
        <f t="shared" si="11"/>
        <v>100</v>
      </c>
      <c r="V33" s="775" t="s">
        <v>17</v>
      </c>
      <c r="W33" s="776">
        <f t="shared" si="12"/>
        <v>100</v>
      </c>
      <c r="X33" s="777"/>
      <c r="Y33" s="3277"/>
      <c r="Z33" s="778">
        <f t="shared" si="13"/>
        <v>111</v>
      </c>
      <c r="AA33" s="1807">
        <f t="shared" si="3"/>
        <v>1</v>
      </c>
      <c r="AB33" s="1807">
        <f t="shared" si="4"/>
        <v>1</v>
      </c>
      <c r="AC33" s="1807">
        <f t="shared" si="5"/>
        <v>1</v>
      </c>
    </row>
    <row r="34" spans="1:29" ht="15">
      <c r="A34" s="440" t="s">
        <v>2551</v>
      </c>
      <c r="B34" s="456" t="s">
        <v>2737</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36"/>
      <c r="M34" s="1127"/>
      <c r="N34" s="1127"/>
      <c r="O34" s="1135"/>
      <c r="P34" s="3277"/>
      <c r="Q34" s="1806" t="str">
        <f>B34</f>
        <v>宗地面积</v>
      </c>
      <c r="R34" s="772" t="s">
        <v>17</v>
      </c>
      <c r="S34" s="773" t="e">
        <f t="shared" si="10"/>
        <v>#N/A</v>
      </c>
      <c r="T34" s="772" t="s">
        <v>17</v>
      </c>
      <c r="U34" s="773" t="e">
        <f t="shared" si="11"/>
        <v>#N/A</v>
      </c>
      <c r="V34" s="772" t="s">
        <v>17</v>
      </c>
      <c r="W34" s="773" t="e">
        <f t="shared" si="12"/>
        <v>#N/A</v>
      </c>
      <c r="X34" s="1809"/>
      <c r="Y34" s="3277"/>
      <c r="Z34" s="1810" t="str">
        <f t="shared" si="13"/>
        <v>宗地面积</v>
      </c>
      <c r="AA34" s="1807" t="e">
        <f t="shared" si="3"/>
        <v>#N/A</v>
      </c>
      <c r="AB34" s="1807" t="e">
        <f t="shared" si="4"/>
        <v>#N/A</v>
      </c>
      <c r="AC34" s="1807" t="e">
        <f t="shared" si="5"/>
        <v>#N/A</v>
      </c>
    </row>
    <row r="35" spans="1:29" ht="15">
      <c r="A35" s="472"/>
      <c r="B35" s="422" t="s">
        <v>2738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277"/>
      <c r="Q35" s="1806" t="str">
        <f t="shared" ref="Q35:Q40" si="14">B35</f>
        <v>宗地形状</v>
      </c>
      <c r="R35" s="772" t="s">
        <v>17</v>
      </c>
      <c r="S35" s="773">
        <f t="shared" si="10"/>
        <v>100</v>
      </c>
      <c r="T35" s="772" t="s">
        <v>17</v>
      </c>
      <c r="U35" s="773">
        <f t="shared" si="11"/>
        <v>100</v>
      </c>
      <c r="V35" s="772" t="s">
        <v>17</v>
      </c>
      <c r="W35" s="773">
        <f t="shared" si="12"/>
        <v>100</v>
      </c>
      <c r="X35" s="1809"/>
      <c r="Y35" s="3277"/>
      <c r="Z35" s="1810" t="str">
        <f t="shared" si="13"/>
        <v>宗地形状</v>
      </c>
      <c r="AA35" s="1807">
        <f t="shared" si="3"/>
        <v>1</v>
      </c>
      <c r="AB35" s="1807">
        <f t="shared" si="4"/>
        <v>1</v>
      </c>
      <c r="AC35" s="1807">
        <f t="shared" si="5"/>
        <v>1</v>
      </c>
    </row>
    <row r="36" spans="1:29" s="117" customFormat="1" ht="15">
      <c r="A36" s="473"/>
      <c r="B36" s="422" t="s">
        <v>2740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8"/>
      <c r="M36" s="1129"/>
      <c r="N36" s="1129"/>
      <c r="O36" s="1130"/>
      <c r="P36" s="3277"/>
      <c r="Q36" s="1806" t="str">
        <f t="shared" si="14"/>
        <v>宗地开发程度</v>
      </c>
      <c r="R36" s="768" t="s">
        <v>17</v>
      </c>
      <c r="S36" s="769">
        <f t="shared" si="10"/>
        <v>100</v>
      </c>
      <c r="T36" s="768" t="s">
        <v>17</v>
      </c>
      <c r="U36" s="769">
        <f t="shared" si="11"/>
        <v>100</v>
      </c>
      <c r="V36" s="768" t="s">
        <v>17</v>
      </c>
      <c r="W36" s="769">
        <f t="shared" si="12"/>
        <v>100</v>
      </c>
      <c r="X36" s="770"/>
      <c r="Y36" s="3277"/>
      <c r="Z36" s="55" t="str">
        <f t="shared" si="13"/>
        <v>宗地开发程度</v>
      </c>
      <c r="AA36" s="771">
        <f t="shared" si="3"/>
        <v>1</v>
      </c>
      <c r="AB36" s="771">
        <f t="shared" si="4"/>
        <v>1</v>
      </c>
      <c r="AC36" s="771">
        <f t="shared" si="5"/>
        <v>1</v>
      </c>
    </row>
    <row r="37" spans="1:29" ht="15">
      <c r="A37" s="472"/>
      <c r="B37" s="422" t="s">
        <v>2741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277" t="s">
        <v>2553</v>
      </c>
      <c r="Q37" s="1806" t="str">
        <f t="shared" si="14"/>
        <v>工程地质条件</v>
      </c>
      <c r="R37" s="772" t="s">
        <v>17</v>
      </c>
      <c r="S37" s="773">
        <f t="shared" si="10"/>
        <v>100</v>
      </c>
      <c r="T37" s="772" t="s">
        <v>17</v>
      </c>
      <c r="U37" s="773">
        <f t="shared" si="11"/>
        <v>100</v>
      </c>
      <c r="V37" s="772" t="s">
        <v>17</v>
      </c>
      <c r="W37" s="773">
        <f t="shared" si="12"/>
        <v>100</v>
      </c>
      <c r="X37" s="1809"/>
      <c r="Y37" s="3277" t="s">
        <v>2553</v>
      </c>
      <c r="Z37" s="1810" t="str">
        <f t="shared" si="13"/>
        <v>工程地质条件</v>
      </c>
      <c r="AA37" s="1807">
        <f t="shared" si="3"/>
        <v>1</v>
      </c>
      <c r="AB37" s="1807">
        <f t="shared" si="4"/>
        <v>1</v>
      </c>
      <c r="AC37" s="1807">
        <f t="shared" si="5"/>
        <v>1</v>
      </c>
    </row>
    <row r="38" spans="1:29" ht="15">
      <c r="A38" s="472"/>
      <c r="B38" s="1383">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36"/>
      <c r="M38" s="1127"/>
      <c r="N38" s="1127"/>
      <c r="O38" s="1135"/>
      <c r="P38" s="3277"/>
      <c r="Q38" s="1806">
        <f t="shared" si="14"/>
        <v>111</v>
      </c>
      <c r="R38" s="772" t="s">
        <v>17</v>
      </c>
      <c r="S38" s="773">
        <f t="shared" si="10"/>
        <v>100</v>
      </c>
      <c r="T38" s="772" t="s">
        <v>17</v>
      </c>
      <c r="U38" s="773">
        <f t="shared" si="11"/>
        <v>100</v>
      </c>
      <c r="V38" s="772" t="s">
        <v>17</v>
      </c>
      <c r="W38" s="773">
        <f t="shared" si="12"/>
        <v>100</v>
      </c>
      <c r="X38" s="1809"/>
      <c r="Y38" s="3277"/>
      <c r="Z38" s="1810">
        <f t="shared" si="13"/>
        <v>111</v>
      </c>
      <c r="AA38" s="1807">
        <f t="shared" si="3"/>
        <v>1</v>
      </c>
      <c r="AB38" s="1807">
        <f t="shared" si="4"/>
        <v>1</v>
      </c>
      <c r="AC38" s="1807">
        <f t="shared" si="5"/>
        <v>1</v>
      </c>
    </row>
    <row r="39" spans="1:29" ht="15">
      <c r="A39" s="472"/>
      <c r="B39" s="1383">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36"/>
      <c r="M39" s="1127"/>
      <c r="N39" s="1127"/>
      <c r="O39" s="1135"/>
      <c r="P39" s="3277"/>
      <c r="Q39" s="1806">
        <f t="shared" si="14"/>
        <v>111</v>
      </c>
      <c r="R39" s="772" t="s">
        <v>17</v>
      </c>
      <c r="S39" s="773">
        <f t="shared" si="10"/>
        <v>100</v>
      </c>
      <c r="T39" s="772" t="s">
        <v>17</v>
      </c>
      <c r="U39" s="773">
        <f t="shared" si="11"/>
        <v>100</v>
      </c>
      <c r="V39" s="772" t="s">
        <v>17</v>
      </c>
      <c r="W39" s="773">
        <f t="shared" si="12"/>
        <v>100</v>
      </c>
      <c r="X39" s="1809"/>
      <c r="Y39" s="3277"/>
      <c r="Z39" s="1810">
        <f t="shared" si="13"/>
        <v>111</v>
      </c>
      <c r="AA39" s="1807">
        <f t="shared" si="3"/>
        <v>1</v>
      </c>
      <c r="AB39" s="1807">
        <f t="shared" si="4"/>
        <v>1</v>
      </c>
      <c r="AC39" s="1807">
        <f t="shared" si="5"/>
        <v>1</v>
      </c>
    </row>
    <row r="40" spans="1:29" s="471" customFormat="1" ht="15.75" thickBot="1">
      <c r="A40" s="468"/>
      <c r="B40" s="1383">
        <v>111</v>
      </c>
      <c r="C40" s="2698"/>
      <c r="D40" s="137">
        <v>100</v>
      </c>
      <c r="E40" s="672"/>
      <c r="F40" s="438">
        <f>SUMIF(120:120,E40,121:121)-SUMIF(120:120,C40,121:121)+100</f>
        <v>100</v>
      </c>
      <c r="G40" s="672"/>
      <c r="H40" s="438">
        <f>SUMIF(120:120,G40,121:121)-SUMIF(120:120,C40,121:121)+100</f>
        <v>100</v>
      </c>
      <c r="I40" s="549"/>
      <c r="J40" s="438">
        <f>SUMIF(120:120,I40,121:121)-SUMIF(120:120,C40,121:121)+100</f>
        <v>100</v>
      </c>
      <c r="K40" s="679"/>
      <c r="L40" s="1134"/>
      <c r="M40" s="1137"/>
      <c r="N40" s="1137"/>
      <c r="O40" s="1138"/>
      <c r="P40" s="3277"/>
      <c r="Q40" s="1806">
        <f t="shared" si="14"/>
        <v>111</v>
      </c>
      <c r="R40" s="775" t="s">
        <v>17</v>
      </c>
      <c r="S40" s="776">
        <f t="shared" si="10"/>
        <v>100</v>
      </c>
      <c r="T40" s="775" t="s">
        <v>17</v>
      </c>
      <c r="U40" s="776">
        <f t="shared" si="11"/>
        <v>100</v>
      </c>
      <c r="V40" s="775" t="s">
        <v>17</v>
      </c>
      <c r="W40" s="776">
        <f t="shared" si="12"/>
        <v>100</v>
      </c>
      <c r="X40" s="777"/>
      <c r="Y40" s="3277"/>
      <c r="Z40" s="778">
        <f t="shared" si="13"/>
        <v>111</v>
      </c>
      <c r="AA40" s="1807">
        <f t="shared" si="3"/>
        <v>1</v>
      </c>
      <c r="AB40" s="1807">
        <f t="shared" si="4"/>
        <v>1</v>
      </c>
      <c r="AC40" s="1807">
        <f t="shared" si="5"/>
        <v>1</v>
      </c>
    </row>
    <row r="41" spans="1:29" ht="15">
      <c r="A41" s="479" t="s">
        <v>2707</v>
      </c>
      <c r="B41" s="2699" t="s">
        <v>2786</v>
      </c>
      <c r="C41" s="680" t="s">
        <v>1</v>
      </c>
      <c r="D41" s="481"/>
      <c r="E41" s="482"/>
      <c r="F41" s="483"/>
      <c r="G41" s="484"/>
      <c r="H41" s="485"/>
      <c r="I41" s="482"/>
      <c r="J41" s="485"/>
      <c r="K41" s="781"/>
      <c r="L41" s="1139"/>
      <c r="M41" s="1127"/>
      <c r="N41" s="1127"/>
      <c r="O41" s="1140"/>
      <c r="P41" s="3265" t="str">
        <f>A41</f>
        <v>成交单价</v>
      </c>
      <c r="Q41" s="3265"/>
      <c r="R41" s="3299">
        <f>E41</f>
        <v>0</v>
      </c>
      <c r="S41" s="3299"/>
      <c r="T41" s="3299">
        <f>G41</f>
        <v>0</v>
      </c>
      <c r="U41" s="3299"/>
      <c r="V41" s="3299">
        <f>I41</f>
        <v>0</v>
      </c>
      <c r="W41" s="3299"/>
      <c r="X41" s="757"/>
      <c r="Y41" s="779"/>
      <c r="Z41" s="757"/>
      <c r="AA41" s="757"/>
      <c r="AB41" s="757"/>
      <c r="AC41" s="757"/>
    </row>
    <row r="42" spans="1:29" ht="15.75" thickBot="1">
      <c r="A42" s="486" t="s">
        <v>2656</v>
      </c>
      <c r="B42" s="681"/>
      <c r="C42" s="490" t="e">
        <f>R43</f>
        <v>#DIV/0!</v>
      </c>
      <c r="D42" s="489"/>
      <c r="E42" s="490" t="e">
        <f>R42</f>
        <v>#DIV/0!</v>
      </c>
      <c r="F42" s="491"/>
      <c r="G42" s="488" t="e">
        <f>T42</f>
        <v>#DIV/0!</v>
      </c>
      <c r="H42" s="489"/>
      <c r="I42" s="490" t="e">
        <f>V42</f>
        <v>#DIV/0!</v>
      </c>
      <c r="J42" s="489"/>
      <c r="K42" s="782"/>
      <c r="L42" s="1139"/>
      <c r="M42" s="1127"/>
      <c r="N42" s="1127"/>
      <c r="O42" s="1140"/>
      <c r="P42" s="3265" t="str">
        <f>A42</f>
        <v>比较价值（元/平方米）</v>
      </c>
      <c r="Q42" s="3265"/>
      <c r="R42" s="3361" t="e">
        <f>ROUND(PRODUCT(R41,AA7:AA40),0)</f>
        <v>#DIV/0!</v>
      </c>
      <c r="S42" s="3361"/>
      <c r="T42" s="3361" t="e">
        <f>ROUND(PRODUCT(T41,AB7:AB40),0)</f>
        <v>#DIV/0!</v>
      </c>
      <c r="U42" s="3361"/>
      <c r="V42" s="3361" t="e">
        <f>ROUND(PRODUCT(V41,AC7:AC40),0)</f>
        <v>#DIV/0!</v>
      </c>
      <c r="W42" s="3361"/>
      <c r="X42" s="757"/>
      <c r="Y42" s="757"/>
      <c r="Z42" s="757"/>
      <c r="AA42" s="757"/>
      <c r="AB42" s="757"/>
      <c r="AC42" s="757"/>
    </row>
    <row r="43" spans="1:29" ht="15.75" thickBot="1">
      <c r="A43" s="492" t="s">
        <v>2657</v>
      </c>
      <c r="B43" s="493"/>
      <c r="C43" s="494" t="e">
        <f>R43</f>
        <v>#DIV/0!</v>
      </c>
      <c r="D43" s="494"/>
      <c r="E43" s="494"/>
      <c r="F43" s="494"/>
      <c r="G43" s="494"/>
      <c r="H43" s="494"/>
      <c r="I43" s="494"/>
      <c r="J43" s="494"/>
      <c r="K43" s="783"/>
      <c r="L43" s="1139"/>
      <c r="M43" s="1127"/>
      <c r="N43" s="1127"/>
      <c r="O43" s="1140"/>
      <c r="P43" s="3317" t="str">
        <f>A43</f>
        <v>估价对象XX用房的比较价值（楼面单价，元/平方米）</v>
      </c>
      <c r="Q43" s="3318"/>
      <c r="R43" s="3362" t="e">
        <f>ROUND(AVERAGE(R42:V42),0)</f>
        <v>#DIV/0!</v>
      </c>
      <c r="S43" s="3362"/>
      <c r="T43" s="3362"/>
      <c r="U43" s="3362"/>
      <c r="V43" s="3362"/>
      <c r="W43" s="3362"/>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0"/>
      <c r="D49" s="758"/>
      <c r="E49" s="758"/>
      <c r="F49" s="758"/>
      <c r="G49" s="758"/>
      <c r="H49" s="758"/>
      <c r="I49" s="758"/>
      <c r="J49" s="758"/>
      <c r="K49" s="1144"/>
      <c r="L49" s="1145"/>
      <c r="M49" s="1141"/>
      <c r="N49" s="1141"/>
      <c r="O49" s="1141"/>
    </row>
    <row r="50" spans="1:17" ht="27">
      <c r="A50" s="682" t="s">
        <v>2744</v>
      </c>
      <c r="B50" s="683" t="s">
        <v>2745</v>
      </c>
      <c r="C50" s="2700" t="s">
        <v>2746</v>
      </c>
      <c r="D50" s="2701" t="s">
        <v>2747</v>
      </c>
      <c r="E50" s="684" t="s">
        <v>2748</v>
      </c>
      <c r="F50" s="685" t="s">
        <v>2749</v>
      </c>
      <c r="G50" s="3282" t="s">
        <v>2750</v>
      </c>
      <c r="H50" s="3363"/>
      <c r="I50" s="1810" t="s">
        <v>2787</v>
      </c>
      <c r="J50" s="1810">
        <f>项目基本情况!F35</f>
        <v>0</v>
      </c>
      <c r="K50" s="2703" t="s">
        <v>2752</v>
      </c>
      <c r="L50" s="1102"/>
      <c r="M50" s="1140"/>
      <c r="N50" s="1140"/>
      <c r="O50" s="1140"/>
    </row>
    <row r="51" spans="1:17" s="690" customFormat="1">
      <c r="A51" s="686" t="s">
        <v>2753</v>
      </c>
      <c r="B51" s="687" t="e">
        <f>C43</f>
        <v>#DIV/0!</v>
      </c>
      <c r="C51" s="688">
        <v>1</v>
      </c>
      <c r="D51" s="1159">
        <v>1</v>
      </c>
      <c r="E51" s="688">
        <f>'数据-汇总表'!E8+'数据-汇总表'!E9</f>
        <v>10636.68</v>
      </c>
      <c r="F51" s="689" t="e">
        <f t="shared" ref="F51:F60" si="15">ROUND(B51*E51/10000,0)</f>
        <v>#DIV/0!</v>
      </c>
      <c r="G51" s="3264"/>
      <c r="H51" s="3265"/>
      <c r="I51" s="938">
        <v>1</v>
      </c>
      <c r="J51" s="938">
        <v>1</v>
      </c>
      <c r="K51" s="1141"/>
      <c r="L51" s="937"/>
      <c r="M51" s="937"/>
      <c r="N51" s="937"/>
      <c r="O51" s="937"/>
    </row>
    <row r="52" spans="1:17" s="690" customFormat="1">
      <c r="A52" s="691" t="s">
        <v>2754</v>
      </c>
      <c r="B52" s="262" t="e">
        <f>ROUND($C$43*C52*D52,0)</f>
        <v>#DIV/0!</v>
      </c>
      <c r="C52" s="200">
        <f t="shared" ref="C52:C60" si="16">IF($C$50="北京市系数",I52,J52)</f>
        <v>0</v>
      </c>
      <c r="D52" s="1160">
        <v>0.25</v>
      </c>
      <c r="E52" s="692"/>
      <c r="F52" s="689" t="e">
        <f t="shared" si="15"/>
        <v>#DIV/0!</v>
      </c>
      <c r="G52" s="3364" t="s">
        <v>2755</v>
      </c>
      <c r="H52" s="1100">
        <f>项目基本情况!B37</f>
        <v>0</v>
      </c>
      <c r="I52" s="938">
        <f>SUMIF(修正!A45:A56,H52,修正!B45:B56)</f>
        <v>0</v>
      </c>
      <c r="J52" s="939"/>
      <c r="K52" s="1140"/>
      <c r="L52" s="937"/>
      <c r="M52" s="937"/>
      <c r="N52" s="937"/>
      <c r="O52" s="937"/>
    </row>
    <row r="53" spans="1:17" s="690" customFormat="1">
      <c r="A53" s="691" t="s">
        <v>2756</v>
      </c>
      <c r="B53" s="262" t="e">
        <f t="shared" ref="B53:B60" si="17">ROUND($C$43*C53*D53,0)</f>
        <v>#DIV/0!</v>
      </c>
      <c r="C53" s="200">
        <f t="shared" si="16"/>
        <v>0</v>
      </c>
      <c r="D53" s="1160">
        <v>0.25</v>
      </c>
      <c r="E53" s="692"/>
      <c r="F53" s="689" t="e">
        <f t="shared" si="15"/>
        <v>#DIV/0!</v>
      </c>
      <c r="G53" s="3364"/>
      <c r="H53" s="1100">
        <f>项目基本情况!B37</f>
        <v>0</v>
      </c>
      <c r="I53" s="938">
        <f>SUMIF(修正!A45:A56,H53,修正!C45:C56)</f>
        <v>0</v>
      </c>
      <c r="J53" s="939"/>
      <c r="K53" s="1141"/>
      <c r="L53" s="937"/>
      <c r="M53" s="937"/>
      <c r="N53" s="937"/>
      <c r="O53" s="937"/>
    </row>
    <row r="54" spans="1:17" s="690" customFormat="1">
      <c r="A54" s="691" t="s">
        <v>2757</v>
      </c>
      <c r="B54" s="262" t="e">
        <f t="shared" si="17"/>
        <v>#DIV/0!</v>
      </c>
      <c r="C54" s="200">
        <f t="shared" si="16"/>
        <v>0</v>
      </c>
      <c r="D54" s="1160">
        <v>0.25</v>
      </c>
      <c r="E54" s="692"/>
      <c r="F54" s="689" t="e">
        <f t="shared" si="15"/>
        <v>#DIV/0!</v>
      </c>
      <c r="G54" s="3364"/>
      <c r="H54" s="1100">
        <f>项目基本情况!B37</f>
        <v>0</v>
      </c>
      <c r="I54" s="938">
        <f>SUMIF(修正!A45:A56,H54,修正!D45:D56)</f>
        <v>0</v>
      </c>
      <c r="J54" s="939"/>
      <c r="K54" s="1140"/>
      <c r="L54" s="937"/>
      <c r="M54" s="937"/>
      <c r="N54" s="937"/>
      <c r="O54" s="937"/>
    </row>
    <row r="55" spans="1:17" s="690" customFormat="1">
      <c r="A55" s="691" t="s">
        <v>2758</v>
      </c>
      <c r="B55" s="262" t="e">
        <f t="shared" si="17"/>
        <v>#DIV/0!</v>
      </c>
      <c r="C55" s="200">
        <f t="shared" si="16"/>
        <v>0</v>
      </c>
      <c r="D55" s="1160">
        <v>0.25</v>
      </c>
      <c r="E55" s="692"/>
      <c r="F55" s="689" t="e">
        <f t="shared" si="15"/>
        <v>#DIV/0!</v>
      </c>
      <c r="G55" s="3364"/>
      <c r="H55" s="1100">
        <f>项目基本情况!B37</f>
        <v>0</v>
      </c>
      <c r="I55" s="938">
        <f>SUMIF(修正!A45:A56,H55,修正!E45:E56)</f>
        <v>0</v>
      </c>
      <c r="J55" s="939"/>
      <c r="K55" s="1141"/>
      <c r="L55" s="937"/>
      <c r="M55" s="937"/>
      <c r="N55" s="937"/>
      <c r="O55" s="937"/>
    </row>
    <row r="56" spans="1:17" s="690" customFormat="1">
      <c r="A56" s="691" t="s">
        <v>2759</v>
      </c>
      <c r="B56" s="262" t="e">
        <f t="shared" si="17"/>
        <v>#DIV/0!</v>
      </c>
      <c r="C56" s="200">
        <f t="shared" si="16"/>
        <v>0</v>
      </c>
      <c r="D56" s="1160">
        <v>0.25</v>
      </c>
      <c r="E56" s="261">
        <f>'数据-汇总表'!E11</f>
        <v>0</v>
      </c>
      <c r="F56" s="689" t="e">
        <f t="shared" si="15"/>
        <v>#DIV/0!</v>
      </c>
      <c r="G56" s="2704" t="s">
        <v>2760</v>
      </c>
      <c r="H56" s="1100">
        <f>项目基本情况!C37</f>
        <v>0</v>
      </c>
      <c r="I56" s="938">
        <f>SUMIF(修正!A45:A56,H56,修正!F45:F56)</f>
        <v>0</v>
      </c>
      <c r="J56" s="939"/>
      <c r="K56" s="1140"/>
      <c r="L56" s="937"/>
      <c r="M56" s="937"/>
      <c r="N56" s="937"/>
      <c r="O56" s="937"/>
    </row>
    <row r="57" spans="1:17" s="690" customFormat="1">
      <c r="A57" s="691" t="s">
        <v>2761</v>
      </c>
      <c r="B57" s="262" t="e">
        <f t="shared" si="17"/>
        <v>#DIV/0!</v>
      </c>
      <c r="C57" s="200">
        <f t="shared" si="16"/>
        <v>0</v>
      </c>
      <c r="D57" s="1160">
        <v>0.25</v>
      </c>
      <c r="E57" s="261">
        <f>'数据-汇总表'!E12</f>
        <v>0</v>
      </c>
      <c r="F57" s="689" t="e">
        <f t="shared" si="15"/>
        <v>#DIV/0!</v>
      </c>
      <c r="G57" s="1105" t="s">
        <v>2762</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0" customFormat="1">
      <c r="A58" s="691" t="s">
        <v>2763</v>
      </c>
      <c r="B58" s="262" t="e">
        <f t="shared" si="17"/>
        <v>#DIV/0!</v>
      </c>
      <c r="C58" s="200">
        <f t="shared" si="16"/>
        <v>0</v>
      </c>
      <c r="D58" s="1160">
        <v>0.25</v>
      </c>
      <c r="E58" s="261">
        <f>'数据-汇总表'!E13</f>
        <v>0</v>
      </c>
      <c r="F58" s="689" t="e">
        <f t="shared" si="15"/>
        <v>#DIV/0!</v>
      </c>
      <c r="G58" s="1105" t="s">
        <v>2764</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0" customFormat="1">
      <c r="A59" s="691" t="s">
        <v>2765</v>
      </c>
      <c r="B59" s="262" t="e">
        <f t="shared" si="17"/>
        <v>#DIV/0!</v>
      </c>
      <c r="C59" s="200">
        <f t="shared" si="16"/>
        <v>0</v>
      </c>
      <c r="D59" s="1160">
        <v>0.25</v>
      </c>
      <c r="E59" s="261">
        <f>'数据-汇总表'!E14</f>
        <v>0</v>
      </c>
      <c r="F59" s="689" t="e">
        <f t="shared" si="15"/>
        <v>#DIV/0!</v>
      </c>
      <c r="G59" s="2704" t="s">
        <v>2755</v>
      </c>
      <c r="H59" s="1100">
        <f>项目基本情况!B37</f>
        <v>0</v>
      </c>
      <c r="I59" s="938">
        <f>SUMIF(修正!A45:A56,H59,修正!H45:H56)</f>
        <v>0</v>
      </c>
      <c r="J59" s="939"/>
      <c r="K59" s="1141"/>
      <c r="L59" s="937"/>
      <c r="M59" s="937"/>
      <c r="N59" s="937"/>
      <c r="O59" s="937"/>
    </row>
    <row r="60" spans="1:17" s="690" customFormat="1" ht="15" thickBot="1">
      <c r="A60" s="691" t="s">
        <v>2766</v>
      </c>
      <c r="B60" s="262" t="e">
        <f t="shared" si="17"/>
        <v>#DIV/0!</v>
      </c>
      <c r="C60" s="200">
        <f t="shared" si="16"/>
        <v>0</v>
      </c>
      <c r="D60" s="1160">
        <v>0.25</v>
      </c>
      <c r="E60" s="261">
        <f>'数据-汇总表'!E15</f>
        <v>991.5300000000002</v>
      </c>
      <c r="F60" s="689" t="e">
        <f t="shared" si="15"/>
        <v>#DIV/0!</v>
      </c>
      <c r="G60" s="2705" t="s">
        <v>2760</v>
      </c>
      <c r="H60" s="1110">
        <f>项目基本情况!C37</f>
        <v>0</v>
      </c>
      <c r="I60" s="938">
        <f>SUMIF(修正!A45:A56,H60,修正!H45:H56)</f>
        <v>0</v>
      </c>
      <c r="J60" s="939"/>
      <c r="K60" s="1140"/>
      <c r="L60" s="937"/>
      <c r="M60" s="937"/>
      <c r="N60" s="937"/>
      <c r="O60" s="937"/>
    </row>
    <row r="61" spans="1:17" s="690" customFormat="1" ht="15" thickBot="1">
      <c r="A61" s="693" t="s">
        <v>2767</v>
      </c>
      <c r="B61" s="694" t="s">
        <v>28</v>
      </c>
      <c r="C61" s="694" t="s">
        <v>29</v>
      </c>
      <c r="D61" s="694" t="s">
        <v>1029</v>
      </c>
      <c r="E61" s="694">
        <f>IF(B41="楼面地价",SUM(E51:E60),'数据-汇总表'!D3)</f>
        <v>966.97</v>
      </c>
      <c r="F61" s="695"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2018-3-1</v>
      </c>
      <c r="D63" s="759">
        <f>EDATE(C63,-3)</f>
        <v>43070</v>
      </c>
      <c r="E63" s="759">
        <f>EDATE(D63,-3)</f>
        <v>42979</v>
      </c>
      <c r="F63" s="759">
        <f t="shared" ref="F63:O63" si="18">EDATE(E63,-3)</f>
        <v>42887</v>
      </c>
      <c r="G63" s="759">
        <f t="shared" si="18"/>
        <v>42795</v>
      </c>
      <c r="H63" s="759">
        <f t="shared" si="18"/>
        <v>42705</v>
      </c>
      <c r="I63" s="759">
        <f t="shared" si="18"/>
        <v>42614</v>
      </c>
      <c r="J63" s="759">
        <f t="shared" si="18"/>
        <v>42522</v>
      </c>
      <c r="K63" s="759">
        <f t="shared" si="18"/>
        <v>42430</v>
      </c>
      <c r="L63" s="759">
        <f t="shared" si="18"/>
        <v>42339</v>
      </c>
      <c r="M63" s="759">
        <f t="shared" si="18"/>
        <v>42248</v>
      </c>
      <c r="N63" s="759">
        <f t="shared" si="18"/>
        <v>42156</v>
      </c>
      <c r="O63" s="759">
        <f t="shared" si="18"/>
        <v>42064</v>
      </c>
    </row>
    <row r="64" spans="1:17" ht="21.75" thickBot="1">
      <c r="A64" s="761" t="s">
        <v>2661</v>
      </c>
      <c r="B64" s="757"/>
      <c r="C64" s="762"/>
      <c r="D64" s="762"/>
      <c r="E64" s="762"/>
      <c r="F64" s="763"/>
      <c r="G64" s="763"/>
      <c r="H64" s="762"/>
      <c r="I64" s="762"/>
      <c r="J64" s="762"/>
      <c r="K64" s="764"/>
      <c r="L64" s="765"/>
      <c r="M64" s="762"/>
      <c r="N64" s="762"/>
      <c r="O64" s="1155"/>
      <c r="P64" s="503"/>
      <c r="Q64" s="504"/>
    </row>
    <row r="65" spans="1:17" s="508" customFormat="1" ht="15">
      <c r="A65" s="2706" t="s">
        <v>2768</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7"/>
    </row>
    <row r="66" spans="1:17" s="117" customFormat="1" ht="30.75" customHeight="1">
      <c r="A66" s="2711" t="s">
        <v>2788</v>
      </c>
      <c r="B66" s="332" t="str">
        <f>"北京市平均增长率"&amp;TEXT(基准地价修正!P24,"0.00%")</f>
        <v>北京市平均增长率1.31%</v>
      </c>
      <c r="C66" s="603">
        <v>100</v>
      </c>
      <c r="D66" s="595"/>
      <c r="E66" s="595"/>
      <c r="F66" s="595"/>
      <c r="G66" s="595"/>
      <c r="H66" s="595"/>
      <c r="I66" s="595"/>
      <c r="J66" s="595"/>
      <c r="K66" s="595"/>
      <c r="L66" s="595"/>
      <c r="M66" s="1563"/>
      <c r="N66" s="1563"/>
      <c r="O66" s="1565"/>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47"/>
      <c r="O68" s="1147"/>
      <c r="P68" s="526"/>
      <c r="Q68" s="504"/>
    </row>
    <row r="69" spans="1:17" s="117" customFormat="1" ht="15.75" thickBot="1">
      <c r="A69" s="521"/>
      <c r="B69" s="510"/>
      <c r="C69" s="637">
        <v>100</v>
      </c>
      <c r="D69" s="512"/>
      <c r="E69" s="512"/>
      <c r="F69" s="512"/>
      <c r="G69" s="512"/>
      <c r="H69" s="512"/>
      <c r="I69" s="512"/>
      <c r="J69" s="512"/>
      <c r="K69" s="512"/>
      <c r="L69" s="512"/>
      <c r="M69" s="514"/>
      <c r="N69" s="1147"/>
      <c r="O69" s="1147"/>
      <c r="P69" s="504"/>
      <c r="Q69" s="504"/>
    </row>
    <row r="70" spans="1:17">
      <c r="A70" s="527" t="s">
        <v>2576</v>
      </c>
      <c r="B70" s="528" t="s">
        <v>2542</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2545</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2547</v>
      </c>
      <c r="B83" s="528" t="s">
        <v>2692</v>
      </c>
      <c r="C83" s="573" t="s">
        <v>2585</v>
      </c>
      <c r="D83" s="573" t="s">
        <v>2586</v>
      </c>
      <c r="E83" s="573" t="s">
        <v>2587</v>
      </c>
      <c r="F83" s="573" t="s">
        <v>2588</v>
      </c>
      <c r="G83" s="573" t="s">
        <v>2589</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2771</v>
      </c>
      <c r="C87" s="573" t="s">
        <v>2585</v>
      </c>
      <c r="D87" s="573" t="s">
        <v>2586</v>
      </c>
      <c r="E87" s="573" t="s">
        <v>2587</v>
      </c>
      <c r="F87" s="573" t="s">
        <v>2588</v>
      </c>
      <c r="G87" s="573" t="s">
        <v>2589</v>
      </c>
      <c r="H87" s="578"/>
      <c r="I87" s="578"/>
      <c r="J87" s="578"/>
      <c r="K87" s="578"/>
      <c r="L87" s="696"/>
      <c r="M87" s="620"/>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2772</v>
      </c>
      <c r="C89" s="573" t="s">
        <v>2585</v>
      </c>
      <c r="D89" s="573" t="s">
        <v>2586</v>
      </c>
      <c r="E89" s="573" t="s">
        <v>2587</v>
      </c>
      <c r="F89" s="573" t="s">
        <v>2588</v>
      </c>
      <c r="G89" s="573" t="s">
        <v>2589</v>
      </c>
      <c r="H89" s="578"/>
      <c r="I89" s="578"/>
      <c r="J89" s="578"/>
      <c r="K89" s="578"/>
      <c r="L89" s="578"/>
      <c r="M89" s="620"/>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2789</v>
      </c>
      <c r="C93" s="658" t="s">
        <v>2662</v>
      </c>
      <c r="D93" s="658" t="s">
        <v>2663</v>
      </c>
      <c r="E93" s="658" t="s">
        <v>2664</v>
      </c>
      <c r="F93" s="658" t="s">
        <v>2665</v>
      </c>
      <c r="G93" s="658" t="s">
        <v>2666</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2678</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2736</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3"/>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5"/>
      <c r="H106" s="675"/>
      <c r="I106" s="675"/>
      <c r="J106" s="675"/>
      <c r="K106" s="675"/>
      <c r="L106" s="675"/>
      <c r="M106" s="697"/>
      <c r="N106" s="1149"/>
      <c r="O106" s="1149"/>
      <c r="P106" s="558"/>
      <c r="Q106" s="559"/>
    </row>
    <row r="107" spans="1:17">
      <c r="A107" s="527" t="s">
        <v>2551</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2778</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2780</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2781</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698"/>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6"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defaultColWidth="8.875" defaultRowHeight="14.25"/>
  <cols>
    <col min="1" max="1" width="0.875" style="1956" customWidth="1"/>
    <col min="2" max="2" width="37.125" style="1956" customWidth="1"/>
    <col min="3" max="3" width="11.375" style="1956" customWidth="1"/>
    <col min="4" max="4" width="31.625" style="1956" customWidth="1"/>
    <col min="5" max="5" width="0.5" style="1956" customWidth="1"/>
    <col min="6" max="7" width="13" style="1956" customWidth="1"/>
    <col min="8" max="16384" width="8.875" style="1956"/>
  </cols>
  <sheetData>
    <row r="1" spans="1:5" ht="18.75">
      <c r="A1" s="1954" t="s">
        <v>1622</v>
      </c>
      <c r="B1" s="1955"/>
      <c r="C1" s="1955"/>
      <c r="D1" s="1955"/>
      <c r="E1" s="1955"/>
    </row>
    <row r="2" spans="1:5" ht="78" customHeight="1">
      <c r="A2" s="30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7"/>
      <c r="C2" s="3067"/>
      <c r="D2" s="3067"/>
      <c r="E2" s="3067"/>
    </row>
    <row r="3" spans="1:5" ht="18">
      <c r="A3" s="3068" t="str">
        <f>IF(项目基本情况!B9="房地产市场价值","估价结果一览表（市场价值不需“结果表-1”）","估价结果一览表")</f>
        <v>估价结果一览表</v>
      </c>
      <c r="B3" s="3068"/>
      <c r="C3" s="3068"/>
      <c r="D3" s="3068"/>
      <c r="E3" s="3068"/>
    </row>
    <row r="4" spans="1:5" ht="19.5" thickBot="1">
      <c r="A4" s="1957"/>
      <c r="B4" s="3066" t="s">
        <v>1631</v>
      </c>
      <c r="C4" s="3066"/>
      <c r="D4" s="3066"/>
      <c r="E4" s="1957"/>
    </row>
    <row r="5" spans="1:5" ht="16.5" thickTop="1">
      <c r="A5" s="1955"/>
      <c r="B5" s="3064" t="s">
        <v>1623</v>
      </c>
      <c r="C5" s="1958" t="s">
        <v>1624</v>
      </c>
      <c r="D5" s="1036">
        <f ca="1">结果表!H101</f>
        <v>37508</v>
      </c>
      <c r="E5" s="1955"/>
    </row>
    <row r="6" spans="1:5" ht="15.75">
      <c r="A6" s="1955"/>
      <c r="B6" s="3064"/>
      <c r="C6" s="1958" t="s">
        <v>1625</v>
      </c>
      <c r="D6" s="1036" t="str">
        <f ca="1">NUMBERSTRING(INT(D5*10000),2)&amp;"元整"</f>
        <v>叁亿柒仟伍佰零捌万元整</v>
      </c>
      <c r="E6" s="1955"/>
    </row>
    <row r="7" spans="1:5" ht="15.75">
      <c r="A7" s="1955"/>
      <c r="B7" s="3069"/>
      <c r="C7" s="1959" t="s">
        <v>1626</v>
      </c>
      <c r="D7" s="1037">
        <f ca="1">结果表!H102</f>
        <v>43960</v>
      </c>
      <c r="E7" s="1955"/>
    </row>
    <row r="8" spans="1:5" ht="15.75">
      <c r="A8" s="1955"/>
      <c r="B8" s="3070" t="str">
        <f>结果表!E103</f>
        <v>2.估价师知悉的法定优先受偿款</v>
      </c>
      <c r="C8" s="1960" t="s">
        <v>1627</v>
      </c>
      <c r="D8" s="1037">
        <f>结果表!H103</f>
        <v>0</v>
      </c>
      <c r="E8" s="1955"/>
    </row>
    <row r="9" spans="1:5" ht="15.75">
      <c r="A9" s="1955"/>
      <c r="B9" s="3072"/>
      <c r="C9" s="1958" t="s">
        <v>1625</v>
      </c>
      <c r="D9" s="1036" t="str">
        <f>NUMBERSTRING(INT(D8*10000),2)&amp;"元整"</f>
        <v>零元整</v>
      </c>
      <c r="E9" s="1955"/>
    </row>
    <row r="10" spans="1:5" ht="15">
      <c r="A10" s="1955"/>
      <c r="B10" s="1961" t="s">
        <v>1630</v>
      </c>
      <c r="C10" s="1962" t="s">
        <v>1628</v>
      </c>
      <c r="D10" s="1038">
        <f>结果表!H104</f>
        <v>0</v>
      </c>
      <c r="E10" s="1955"/>
    </row>
    <row r="11" spans="1:5" ht="15">
      <c r="A11" s="1955"/>
      <c r="B11" s="1961" t="s">
        <v>1632</v>
      </c>
      <c r="C11" s="1962" t="s">
        <v>1633</v>
      </c>
      <c r="D11" s="1038">
        <f>结果表!H105</f>
        <v>0</v>
      </c>
      <c r="E11" s="1955"/>
    </row>
    <row r="12" spans="1:5" ht="15">
      <c r="A12" s="1955"/>
      <c r="B12" s="1961" t="s">
        <v>1634</v>
      </c>
      <c r="C12" s="1962" t="s">
        <v>1633</v>
      </c>
      <c r="D12" s="1038">
        <f>结果表!H106</f>
        <v>0</v>
      </c>
      <c r="E12" s="1955"/>
    </row>
    <row r="13" spans="1:5" ht="15.75">
      <c r="A13" s="1955"/>
      <c r="B13" s="3063" t="str">
        <f>结果表!E107</f>
        <v>3.房地产抵押价值</v>
      </c>
      <c r="C13" s="1963" t="s">
        <v>1624</v>
      </c>
      <c r="D13" s="1039">
        <f ca="1">结果表!H107</f>
        <v>37508</v>
      </c>
      <c r="E13" s="1955"/>
    </row>
    <row r="14" spans="1:5" ht="15.75">
      <c r="A14" s="1955"/>
      <c r="B14" s="3064"/>
      <c r="C14" s="1958" t="s">
        <v>1625</v>
      </c>
      <c r="D14" s="1036" t="str">
        <f ca="1">NUMBERSTRING(INT(D13*10000),2)&amp;"元整"</f>
        <v>叁亿柒仟伍佰零捌万元整</v>
      </c>
      <c r="E14" s="1955"/>
    </row>
    <row r="15" spans="1:5" ht="15">
      <c r="A15" s="1955"/>
      <c r="B15" s="3069"/>
      <c r="C15" s="1959" t="s">
        <v>1635</v>
      </c>
      <c r="D15" s="1048">
        <f ca="1">结果表!H108</f>
        <v>32256</v>
      </c>
      <c r="E15" s="1955"/>
    </row>
    <row r="16" spans="1:5" ht="15">
      <c r="A16" s="1955"/>
      <c r="B16" s="3070" t="str">
        <f>结果表!E109</f>
        <v>——</v>
      </c>
      <c r="C16" s="1963" t="s">
        <v>1636</v>
      </c>
      <c r="D16" s="1964" t="str">
        <f>结果表!H109</f>
        <v>——</v>
      </c>
      <c r="E16" s="1955"/>
    </row>
    <row r="17" spans="1:5" ht="15.75">
      <c r="A17" s="1955"/>
      <c r="B17" s="3071"/>
      <c r="C17" s="1958" t="s">
        <v>1637</v>
      </c>
      <c r="D17" s="1036" t="e">
        <f>NUMBERSTRING(INT(D16*10000),2)&amp;"元整"</f>
        <v>#VALUE!</v>
      </c>
      <c r="E17" s="1955"/>
    </row>
    <row r="18" spans="1:5" ht="15">
      <c r="A18" s="1955"/>
      <c r="B18" s="3072"/>
      <c r="C18" s="1959" t="s">
        <v>1626</v>
      </c>
      <c r="D18" s="1048" t="str">
        <f>结果表!H110</f>
        <v>——</v>
      </c>
      <c r="E18" s="1955"/>
    </row>
    <row r="19" spans="1:5" ht="15.75">
      <c r="A19" s="1955"/>
      <c r="B19" s="3063" t="str">
        <f>结果表!E111</f>
        <v>——</v>
      </c>
      <c r="C19" s="1963" t="s">
        <v>1624</v>
      </c>
      <c r="D19" s="1037" t="str">
        <f>结果表!H111</f>
        <v>——</v>
      </c>
      <c r="E19" s="1955"/>
    </row>
    <row r="20" spans="1:5" ht="15.75">
      <c r="A20" s="1955"/>
      <c r="B20" s="3064"/>
      <c r="C20" s="1958" t="s">
        <v>1637</v>
      </c>
      <c r="D20" s="1036" t="e">
        <f>NUMBERSTRING(INT(D19*10000),2)&amp;"元整"</f>
        <v>#VALUE!</v>
      </c>
      <c r="E20" s="1955"/>
    </row>
    <row r="21" spans="1:5" ht="15.75" thickBot="1">
      <c r="A21" s="1955"/>
      <c r="B21" s="3065"/>
      <c r="C21" s="1965" t="s">
        <v>1635</v>
      </c>
      <c r="D21" s="1049" t="str">
        <f>结果表!H112</f>
        <v>——</v>
      </c>
      <c r="E21" s="1955"/>
    </row>
    <row r="22" spans="1:5" ht="15" thickTop="1">
      <c r="A22" s="1955"/>
      <c r="B22" s="1966" t="s">
        <v>1638</v>
      </c>
      <c r="C22" s="1955"/>
      <c r="D22" s="1955"/>
      <c r="E22" s="1955"/>
    </row>
    <row r="23" spans="1:5">
      <c r="A23" s="1955"/>
      <c r="B23" s="1955"/>
      <c r="C23" s="1955"/>
      <c r="D23" s="1955"/>
      <c r="E23" s="1955"/>
    </row>
    <row r="24" spans="1:5" ht="18.75">
      <c r="A24" s="1967"/>
      <c r="B24" s="1968" t="s">
        <v>1629</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2"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zoomScale="80" zoomScaleNormal="80" zoomScaleSheetLayoutView="96" zoomScalePageLayoutView="80" workbookViewId="0">
      <selection activeCell="W3" sqref="W3"/>
    </sheetView>
  </sheetViews>
  <sheetFormatPr defaultColWidth="12" defaultRowHeight="12.75"/>
  <cols>
    <col min="1" max="1" width="9.625" style="2791" customWidth="1"/>
    <col min="2" max="2" width="19.125" style="2897" customWidth="1"/>
    <col min="3" max="4" width="12" style="2715"/>
    <col min="5" max="5" width="14.625" style="2715" customWidth="1"/>
    <col min="6" max="8" width="12" style="2715"/>
    <col min="9" max="9" width="12.125" style="2715" bestFit="1" customWidth="1"/>
    <col min="10" max="10" width="12" style="2715"/>
    <col min="11" max="11" width="8.125" style="2783" customWidth="1"/>
    <col min="12" max="12" width="12" style="2715"/>
    <col min="13" max="13" width="8.5" style="2715" customWidth="1"/>
    <col min="14" max="14" width="9.625" style="2715" customWidth="1"/>
    <col min="15" max="25" width="12" style="2715"/>
    <col min="26" max="26" width="9.375" style="2791" customWidth="1"/>
    <col min="27" max="32" width="9.375" style="1368" customWidth="1"/>
    <col min="33" max="36" width="9.375" style="2791" customWidth="1"/>
    <col min="37" max="38" width="9.375" style="2715" customWidth="1"/>
    <col min="39" max="16384" width="12" style="2715"/>
  </cols>
  <sheetData>
    <row r="1" spans="1:36" ht="28.5">
      <c r="A1" s="240" t="s">
        <v>2790</v>
      </c>
      <c r="B1" s="241"/>
      <c r="C1" s="245" t="s">
        <v>2791</v>
      </c>
      <c r="D1" s="388">
        <f>SUM(D29:D30,D33:D39)</f>
        <v>0</v>
      </c>
      <c r="E1" s="2712"/>
      <c r="F1" s="2712"/>
      <c r="G1" s="2712"/>
      <c r="H1" s="2712"/>
      <c r="I1" s="2712"/>
      <c r="J1" s="2712"/>
      <c r="K1" s="1366"/>
      <c r="L1" s="2713" t="s">
        <v>2792</v>
      </c>
      <c r="M1" s="1076">
        <f>SUMPRODUCT((区片价!B5:B9=I2)*(区片价!C3:F3=E2)*(区片价!C5:F9))</f>
        <v>0</v>
      </c>
      <c r="N1" s="1079">
        <f>SUMPRODUCT((因素修正幅度!B5:B9=I2)*(因素修正幅度!C3:F3=E2)*(因素修正幅度!C5:F9))</f>
        <v>0</v>
      </c>
      <c r="O1" s="2714"/>
      <c r="P1" s="2714"/>
      <c r="Q1" s="1366"/>
      <c r="R1" s="1598" t="s">
        <v>2793</v>
      </c>
      <c r="S1" s="1598" t="s">
        <v>2794</v>
      </c>
      <c r="T1" s="1598" t="s">
        <v>2795</v>
      </c>
      <c r="U1" s="1598" t="s">
        <v>2796</v>
      </c>
      <c r="V1" s="1598" t="s">
        <v>2797</v>
      </c>
      <c r="W1" s="1602"/>
      <c r="X1" s="1602"/>
      <c r="Y1" s="1602"/>
      <c r="Z1" s="1602"/>
      <c r="AA1" s="1602"/>
      <c r="AB1" s="1602"/>
      <c r="AC1" s="1603"/>
      <c r="AD1" s="1604"/>
      <c r="AE1" s="1604"/>
      <c r="AF1" s="1604"/>
      <c r="AG1" s="1604"/>
      <c r="AH1" s="1604"/>
      <c r="AI1" s="1604"/>
      <c r="AJ1" s="1605"/>
    </row>
    <row r="2" spans="1:36" ht="15.75">
      <c r="A2" s="245" t="s">
        <v>2798</v>
      </c>
      <c r="B2" s="248" t="e">
        <f>C26</f>
        <v>#DIV/0!</v>
      </c>
      <c r="C2" s="2716" t="s">
        <v>2799</v>
      </c>
      <c r="D2" s="2717" t="s">
        <v>2800</v>
      </c>
      <c r="E2" s="2718"/>
      <c r="F2" s="2717" t="s">
        <v>2801</v>
      </c>
      <c r="G2" s="2719">
        <f>IF(E2="商业",项目基本情况!B37,IF(E2="办公",项目基本情况!C37,IF(E2="住宅",项目基本情况!D37,项目基本情况!E37)))</f>
        <v>0</v>
      </c>
      <c r="H2" s="2717" t="s">
        <v>2802</v>
      </c>
      <c r="I2" s="2719">
        <f>IF(E2="商业",项目基本情况!B38,IF(E2="办公",项目基本情况!C38,IF(E2="住宅",项目基本情况!D38,项目基本情况!E38)))</f>
        <v>0</v>
      </c>
      <c r="J2" s="2720"/>
      <c r="K2" s="1366"/>
      <c r="L2" s="2721" t="s">
        <v>2803</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2804</v>
      </c>
      <c r="B3" s="248" t="e">
        <f>ROUND(B2*10000/D1,0)</f>
        <v>#DIV/0!</v>
      </c>
      <c r="C3" s="2716" t="s">
        <v>2805</v>
      </c>
      <c r="D3" s="2717" t="s">
        <v>2806</v>
      </c>
      <c r="E3" s="2722"/>
      <c r="F3" s="2723" t="s">
        <v>2807</v>
      </c>
      <c r="G3" s="909">
        <f>IF(F3="宗地容积率",'数据-汇总表'!I4,IF(F3="估价对象容积率",'数据-汇总表'!I6,'数据-汇总表'!I7))</f>
        <v>11</v>
      </c>
      <c r="H3" s="198" t="s">
        <v>2808</v>
      </c>
      <c r="I3" s="940"/>
      <c r="J3" s="2720" t="s">
        <v>2809</v>
      </c>
      <c r="K3" s="1366"/>
      <c r="L3" s="2721" t="s">
        <v>2810</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72"/>
      <c r="B4" s="3373"/>
      <c r="C4" s="3373"/>
      <c r="D4" s="3374"/>
      <c r="E4" s="3374"/>
      <c r="F4" s="3374"/>
      <c r="G4" s="3374"/>
      <c r="H4" s="3374"/>
      <c r="I4" s="3374"/>
      <c r="J4" s="3375"/>
      <c r="K4" s="1366"/>
      <c r="L4" s="2721" t="s">
        <v>2811</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2812</v>
      </c>
      <c r="C5" s="910" t="e">
        <f>ROUND(IF(E2="商业",IF(F16="增加",C6*C7+C16,C6*C7-C16),IF(E2="住宅",IF(F16="增加",C6*C12+C16,C6*C12-C16),IF(F16="增加",C6+C16,C6-C16))),0)</f>
        <v>#DIV/0!</v>
      </c>
      <c r="D5" s="1783">
        <f>ROUND(IF(E2="商业",IF(F16="增加",C6+C16,C6-C16)),0)</f>
        <v>0</v>
      </c>
      <c r="E5" s="2726"/>
      <c r="F5" s="2726"/>
      <c r="G5" s="2727"/>
      <c r="H5" s="2727"/>
      <c r="I5" s="2727"/>
      <c r="J5" s="2728"/>
      <c r="K5" s="2729"/>
      <c r="L5" s="2721" t="s">
        <v>2813</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0"/>
      <c r="AD5" s="2731"/>
      <c r="AE5" s="2731"/>
      <c r="AF5" s="2731"/>
      <c r="AG5" s="2731"/>
      <c r="AH5" s="2731"/>
      <c r="AI5" s="2731"/>
      <c r="AJ5" s="2732"/>
    </row>
    <row r="6" spans="1:36" ht="15.75" thickBot="1">
      <c r="A6" s="2734" t="s">
        <v>2814</v>
      </c>
      <c r="B6" s="2735" t="s">
        <v>2815</v>
      </c>
      <c r="C6" s="911">
        <f>SUMIF(L1:L12,G2,M1:M12)</f>
        <v>0</v>
      </c>
      <c r="D6" s="2736" t="s">
        <v>2816</v>
      </c>
      <c r="E6" s="2737"/>
      <c r="F6" s="2737"/>
      <c r="G6" s="2738"/>
      <c r="H6" s="2738"/>
      <c r="I6" s="2738"/>
      <c r="J6" s="2739"/>
      <c r="K6" s="1838"/>
      <c r="L6" s="2721" t="s">
        <v>2817</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0"/>
      <c r="AD6" s="2731"/>
      <c r="AE6" s="2731"/>
      <c r="AF6" s="2731"/>
      <c r="AG6" s="2731"/>
      <c r="AH6" s="2731"/>
      <c r="AI6" s="2731"/>
      <c r="AJ6" s="2732"/>
    </row>
    <row r="7" spans="1:36" ht="24">
      <c r="A7" s="3376" t="str">
        <f>IF(E2="商业",IF(C8="不临58条商业街","",2),"")</f>
        <v/>
      </c>
      <c r="B7" s="2740" t="s">
        <v>2818</v>
      </c>
      <c r="C7" s="912" t="e">
        <f>IF(C8="不临58条商业街",1,ROUND(1+(1.6*E8+1.2*E9+0.8*E10+0.4*E11)*C9,4))</f>
        <v>#DIV/0!</v>
      </c>
      <c r="D7" s="2741" t="s">
        <v>2819</v>
      </c>
      <c r="E7" s="941"/>
      <c r="F7" s="2742"/>
      <c r="G7" s="2743"/>
      <c r="H7" s="2743"/>
      <c r="I7" s="2743"/>
      <c r="J7" s="2744"/>
      <c r="K7" s="1838"/>
      <c r="L7" s="2721" t="s">
        <v>2820</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2821</v>
      </c>
      <c r="X7" s="1600">
        <f>G2</f>
        <v>0</v>
      </c>
      <c r="Y7" s="1600" t="s">
        <v>2822</v>
      </c>
      <c r="Z7" s="1601">
        <f>G3</f>
        <v>11</v>
      </c>
      <c r="AA7" s="1602"/>
      <c r="AB7" s="1602"/>
      <c r="AC7" s="1603"/>
      <c r="AD7" s="1604"/>
      <c r="AE7" s="1604"/>
      <c r="AF7" s="1604"/>
      <c r="AG7" s="1604"/>
      <c r="AH7" s="1604"/>
      <c r="AI7" s="1604"/>
      <c r="AJ7" s="1605"/>
    </row>
    <row r="8" spans="1:36" ht="15">
      <c r="A8" s="3377"/>
      <c r="B8" s="198" t="s">
        <v>2823</v>
      </c>
      <c r="C8" s="2745"/>
      <c r="D8" s="913" t="s">
        <v>139</v>
      </c>
      <c r="E8" s="914" t="e">
        <f>ROUND(C11/E7,4)</f>
        <v>#DIV/0!</v>
      </c>
      <c r="F8" s="2746" t="s">
        <v>2824</v>
      </c>
      <c r="G8" s="2747"/>
      <c r="H8" s="2747"/>
      <c r="I8" s="2747"/>
      <c r="J8" s="2748"/>
      <c r="K8" s="1366"/>
      <c r="L8" s="2721" t="s">
        <v>2825</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369" t="s">
        <v>2826</v>
      </c>
      <c r="X8" s="3370"/>
      <c r="Y8" s="1606" t="s">
        <v>2827</v>
      </c>
      <c r="Z8" s="1606" t="s">
        <v>2828</v>
      </c>
      <c r="AA8" s="1606" t="s">
        <v>2829</v>
      </c>
      <c r="AB8" s="1606" t="s">
        <v>2830</v>
      </c>
      <c r="AC8" s="1606" t="s">
        <v>2831</v>
      </c>
      <c r="AD8" s="1606" t="s">
        <v>2832</v>
      </c>
      <c r="AE8" s="1606" t="s">
        <v>2833</v>
      </c>
      <c r="AF8" s="1606" t="s">
        <v>2834</v>
      </c>
      <c r="AG8" s="1606" t="s">
        <v>2835</v>
      </c>
      <c r="AH8" s="1606" t="s">
        <v>2836</v>
      </c>
      <c r="AI8" s="1606" t="s">
        <v>2837</v>
      </c>
      <c r="AJ8" s="1606" t="s">
        <v>2838</v>
      </c>
    </row>
    <row r="9" spans="1:36" ht="15">
      <c r="A9" s="3377"/>
      <c r="B9" s="198" t="s">
        <v>2839</v>
      </c>
      <c r="C9" s="915">
        <f>SUMIF(修正!C59:C119,C8,修正!E59:E119)</f>
        <v>0</v>
      </c>
      <c r="D9" s="200" t="s">
        <v>140</v>
      </c>
      <c r="E9" s="200" t="e">
        <f>ROUND(C11/E7,4)</f>
        <v>#DIV/0!</v>
      </c>
      <c r="F9" s="2746" t="s">
        <v>2840</v>
      </c>
      <c r="G9" s="2747"/>
      <c r="H9" s="2747"/>
      <c r="I9" s="2747"/>
      <c r="J9" s="2748"/>
      <c r="K9" s="1366"/>
      <c r="L9" s="2721" t="s">
        <v>2841</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71" t="s">
        <v>2842</v>
      </c>
      <c r="X9" s="1607" t="s">
        <v>2843</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77"/>
      <c r="B10" s="198" t="s">
        <v>2844</v>
      </c>
      <c r="C10" s="200">
        <f>SUMIF(修正!C59:C119,C8,修正!F59:F119)</f>
        <v>0</v>
      </c>
      <c r="D10" s="200" t="s">
        <v>141</v>
      </c>
      <c r="E10" s="200" t="e">
        <f>ROUND(C11/E7,4)</f>
        <v>#DIV/0!</v>
      </c>
      <c r="F10" s="2746" t="s">
        <v>2845</v>
      </c>
      <c r="G10" s="2747"/>
      <c r="H10" s="2747"/>
      <c r="I10" s="2747"/>
      <c r="J10" s="2748"/>
      <c r="K10" s="1366"/>
      <c r="L10" s="2721" t="s">
        <v>2846</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71"/>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77"/>
      <c r="B11" s="2749" t="s">
        <v>2847</v>
      </c>
      <c r="C11" s="916">
        <f>C10/4</f>
        <v>0</v>
      </c>
      <c r="D11" s="916" t="s">
        <v>142</v>
      </c>
      <c r="E11" s="916" t="e">
        <f>ROUND(C11/E7,4)</f>
        <v>#DIV/0!</v>
      </c>
      <c r="F11" s="2750" t="s">
        <v>2848</v>
      </c>
      <c r="G11" s="2751"/>
      <c r="H11" s="2751"/>
      <c r="I11" s="2751"/>
      <c r="J11" s="2752"/>
      <c r="K11" s="1366"/>
      <c r="L11" s="2721" t="s">
        <v>2849</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71" t="s">
        <v>2850</v>
      </c>
      <c r="X11" s="1610" t="s">
        <v>2851</v>
      </c>
      <c r="Y11" s="1611">
        <f>$G$3</f>
        <v>11</v>
      </c>
      <c r="Z11" s="1611">
        <f t="shared" ref="Z11:AJ11" si="3">$G$3</f>
        <v>11</v>
      </c>
      <c r="AA11" s="1611">
        <f t="shared" si="3"/>
        <v>11</v>
      </c>
      <c r="AB11" s="1611">
        <f t="shared" si="3"/>
        <v>11</v>
      </c>
      <c r="AC11" s="1611">
        <f t="shared" si="3"/>
        <v>11</v>
      </c>
      <c r="AD11" s="1611">
        <f t="shared" si="3"/>
        <v>11</v>
      </c>
      <c r="AE11" s="1611">
        <f t="shared" si="3"/>
        <v>11</v>
      </c>
      <c r="AF11" s="1611">
        <f t="shared" si="3"/>
        <v>11</v>
      </c>
      <c r="AG11" s="1611">
        <f t="shared" si="3"/>
        <v>11</v>
      </c>
      <c r="AH11" s="1611">
        <f t="shared" si="3"/>
        <v>11</v>
      </c>
      <c r="AI11" s="1611">
        <f t="shared" si="3"/>
        <v>11</v>
      </c>
      <c r="AJ11" s="1611">
        <f t="shared" si="3"/>
        <v>11</v>
      </c>
    </row>
    <row r="12" spans="1:36" ht="25.5" thickBot="1">
      <c r="A12" s="3376" t="s">
        <v>2852</v>
      </c>
      <c r="B12" s="2753" t="s">
        <v>2853</v>
      </c>
      <c r="C12" s="912">
        <f>ROUND(C15*D15*E15*F15*G15*H15*I15*J15,4)</f>
        <v>1</v>
      </c>
      <c r="D12" s="2754" t="s">
        <v>2854</v>
      </c>
      <c r="E12" s="2755"/>
      <c r="F12" s="2755"/>
      <c r="G12" s="2756"/>
      <c r="H12" s="2756"/>
      <c r="I12" s="2756"/>
      <c r="J12" s="2757"/>
      <c r="K12" s="1366"/>
      <c r="L12" s="2758" t="s">
        <v>2855</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71"/>
      <c r="X12" s="1612" t="s">
        <v>2856</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78"/>
      <c r="B13" s="2759" t="s">
        <v>2857</v>
      </c>
      <c r="C13" s="2760" t="s">
        <v>2858</v>
      </c>
      <c r="D13" s="1804" t="s">
        <v>2859</v>
      </c>
      <c r="E13" s="1804" t="s">
        <v>2860</v>
      </c>
      <c r="F13" s="30" t="s">
        <v>2861</v>
      </c>
      <c r="G13" s="2761" t="s">
        <v>2862</v>
      </c>
      <c r="H13" s="2761" t="s">
        <v>2862</v>
      </c>
      <c r="I13" s="2761" t="s">
        <v>2862</v>
      </c>
      <c r="J13" s="2762" t="s">
        <v>2862</v>
      </c>
      <c r="K13" s="1366"/>
      <c r="L13" s="1366"/>
      <c r="M13" s="1366"/>
      <c r="N13" s="1366"/>
      <c r="O13" s="1366"/>
      <c r="P13" s="1366"/>
      <c r="Q13" s="1366"/>
      <c r="R13" s="1598">
        <v>12</v>
      </c>
      <c r="S13" s="1599"/>
      <c r="T13" s="1598" t="e">
        <f t="shared" si="0"/>
        <v>#DIV/0!</v>
      </c>
      <c r="U13" s="1599"/>
      <c r="V13" s="1598" t="e">
        <f t="shared" si="1"/>
        <v>#DIV/0!</v>
      </c>
      <c r="W13" s="3371"/>
      <c r="X13" s="1612"/>
      <c r="Y13" s="1609">
        <f>(-0.163*(Y12^2)-0.59*Y12+7617)*(10^(-4))/Y11</f>
        <v>6.9245454545454554E-2</v>
      </c>
      <c r="Z13" s="1609">
        <f t="shared" ref="Z13:AJ13" si="5">(-0.163*(Z12^2)-0.59*Z12+7617)*(10^(-4))/Z11</f>
        <v>6.9245454545454554E-2</v>
      </c>
      <c r="AA13" s="1609">
        <f t="shared" si="5"/>
        <v>6.9245454545454554E-2</v>
      </c>
      <c r="AB13" s="1609">
        <f t="shared" si="5"/>
        <v>6.9245454545454554E-2</v>
      </c>
      <c r="AC13" s="1609">
        <f t="shared" si="5"/>
        <v>6.9245454545454554E-2</v>
      </c>
      <c r="AD13" s="1609">
        <f t="shared" si="5"/>
        <v>6.9245454545454554E-2</v>
      </c>
      <c r="AE13" s="1609">
        <f t="shared" si="5"/>
        <v>6.9245454545454554E-2</v>
      </c>
      <c r="AF13" s="1609">
        <f t="shared" si="5"/>
        <v>6.9245454545454554E-2</v>
      </c>
      <c r="AG13" s="1609">
        <f t="shared" si="5"/>
        <v>6.9245454545454554E-2</v>
      </c>
      <c r="AH13" s="1609">
        <f t="shared" si="5"/>
        <v>6.9245454545454554E-2</v>
      </c>
      <c r="AI13" s="1609">
        <f t="shared" si="5"/>
        <v>6.9245454545454554E-2</v>
      </c>
      <c r="AJ13" s="1609">
        <f t="shared" si="5"/>
        <v>6.9245454545454554E-2</v>
      </c>
    </row>
    <row r="14" spans="1:36" ht="15">
      <c r="A14" s="3378"/>
      <c r="B14" s="2763"/>
      <c r="C14" s="2764"/>
      <c r="D14" s="2765"/>
      <c r="E14" s="2765"/>
      <c r="F14" s="2766"/>
      <c r="G14" s="2767" t="s">
        <v>2863</v>
      </c>
      <c r="H14" s="2768"/>
      <c r="I14" s="2769"/>
      <c r="J14" s="2770"/>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79"/>
      <c r="B15" s="2771" t="s">
        <v>2864</v>
      </c>
      <c r="C15" s="229">
        <f>IF(C14="有",1.1,1)</f>
        <v>1</v>
      </c>
      <c r="D15" s="229">
        <f>IF(D14="有",1.1,1)</f>
        <v>1</v>
      </c>
      <c r="E15" s="229">
        <f>IF(E14="有",1.1,1)</f>
        <v>1</v>
      </c>
      <c r="F15" s="229">
        <f>IF(F14="500米范围内",1.2,IF(F14="500-1000米",1.1,1))</f>
        <v>1</v>
      </c>
      <c r="G15" s="942">
        <v>1</v>
      </c>
      <c r="H15" s="942">
        <v>1</v>
      </c>
      <c r="I15" s="942">
        <v>1</v>
      </c>
      <c r="J15" s="943">
        <v>1</v>
      </c>
      <c r="K15" s="1366"/>
      <c r="L15" s="2772" t="s">
        <v>2800</v>
      </c>
      <c r="M15" s="913" t="s">
        <v>2865</v>
      </c>
      <c r="N15" s="913" t="s">
        <v>2866</v>
      </c>
      <c r="O15" s="913" t="s">
        <v>2867</v>
      </c>
      <c r="P15" s="2773" t="s">
        <v>2868</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76" t="s">
        <v>2869</v>
      </c>
      <c r="B16" s="2740" t="s">
        <v>2870</v>
      </c>
      <c r="C16" s="1797" t="e">
        <f>ROUND(SUM(G17:J17)/C17,0)</f>
        <v>#DIV/0!</v>
      </c>
      <c r="D16" s="2774" t="s">
        <v>2871</v>
      </c>
      <c r="E16" s="2775"/>
      <c r="F16" s="2776"/>
      <c r="G16" s="2777"/>
      <c r="H16" s="2777"/>
      <c r="I16" s="2777"/>
      <c r="J16" s="2778"/>
      <c r="K16" s="1366"/>
      <c r="L16" s="2779" t="s">
        <v>2872</v>
      </c>
      <c r="M16" s="915">
        <v>0.25</v>
      </c>
      <c r="N16" s="915">
        <v>0.2</v>
      </c>
      <c r="O16" s="915">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77"/>
      <c r="B17" s="2780" t="s">
        <v>2873</v>
      </c>
      <c r="C17" s="917">
        <f>SUMPRODUCT((修正!A2:A5=E2)*(修正!B1:M1=G2)*(修正!B2:M5))</f>
        <v>0</v>
      </c>
      <c r="D17" s="2781" t="s">
        <v>2874</v>
      </c>
      <c r="E17" s="916" t="str">
        <f>IF(OR(G2="八级",G2="九级",G2="十级",G2="十一级",G2="十二级"),"五通一平","七通一平")</f>
        <v>七通一平</v>
      </c>
      <c r="F17" s="917" t="s">
        <v>2875</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2" t="s">
        <v>2876</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3"/>
      <c r="AF17" s="2783"/>
      <c r="AG17" s="2715"/>
      <c r="AH17" s="2715"/>
      <c r="AI17" s="2715"/>
      <c r="AJ17" s="2715"/>
    </row>
    <row r="18" spans="1:37" s="2733" customFormat="1" ht="15.75" thickBot="1">
      <c r="A18" s="2784" t="s">
        <v>808</v>
      </c>
      <c r="B18" s="2785" t="s">
        <v>2877</v>
      </c>
      <c r="C18" s="919">
        <f>SUMIF(修正!C18:C39,E3,修正!E18:E39)</f>
        <v>0</v>
      </c>
      <c r="D18" s="2786"/>
      <c r="E18" s="2787"/>
      <c r="F18" s="2788"/>
      <c r="G18" s="2789"/>
      <c r="H18" s="2789"/>
      <c r="I18" s="2789"/>
      <c r="J18" s="2790"/>
      <c r="K18" s="1373"/>
      <c r="O18" s="1371"/>
      <c r="P18" s="1371"/>
      <c r="Q18" s="1372"/>
      <c r="R18" s="1372"/>
      <c r="S18" s="1372"/>
      <c r="T18" s="1367"/>
      <c r="U18" s="1367"/>
      <c r="V18" s="1367"/>
      <c r="W18" s="1366"/>
      <c r="X18" s="1366"/>
      <c r="Y18" s="1366"/>
      <c r="Z18" s="1373"/>
      <c r="AA18" s="1374"/>
      <c r="AB18" s="1374"/>
      <c r="AC18" s="1374"/>
      <c r="AD18" s="1374"/>
      <c r="AE18" s="1368"/>
      <c r="AF18" s="1368"/>
      <c r="AG18" s="2791"/>
      <c r="AH18" s="2791"/>
      <c r="AI18" s="2791"/>
    </row>
    <row r="19" spans="1:37" s="2733" customFormat="1" ht="27.75" thickBot="1">
      <c r="A19" s="2784" t="s">
        <v>809</v>
      </c>
      <c r="B19" s="2785" t="s">
        <v>2878</v>
      </c>
      <c r="C19" s="920" t="e">
        <f>ROUND(IF(H19="按公示增长率计算",SUMPRODUCT((地价!A3:A21=YEAR(G19)&amp;"-"&amp;ROUNDUP(MONTH(G19)/3,0))*(地价!X2:AB2=E2)*(地价!X3:AB21)),IF(H19="地价指数",M20/M19,(1+I19)^O19)),4)</f>
        <v>#DIV/0!</v>
      </c>
      <c r="D19" s="2792" t="s">
        <v>2879</v>
      </c>
      <c r="E19" s="921">
        <v>41640</v>
      </c>
      <c r="F19" s="2792" t="s">
        <v>2880</v>
      </c>
      <c r="G19" s="922">
        <f>'数据-取费表'!B2</f>
        <v>43185</v>
      </c>
      <c r="H19" s="2793" t="s">
        <v>2881</v>
      </c>
      <c r="I19" s="923" t="str">
        <f>IF(H19="季度增幅（自定义）",SUMIF(N21:N24,E2,O21:O24),"")</f>
        <v/>
      </c>
      <c r="J19" s="2790"/>
      <c r="K19" s="1373"/>
      <c r="L19" s="2794" t="s">
        <v>2882</v>
      </c>
      <c r="M19" s="1730">
        <f>ROUND(SUMIF(地价!B2:F2,E2,地价!B21:F21),0)</f>
        <v>0</v>
      </c>
      <c r="N19" s="2795" t="s">
        <v>2883</v>
      </c>
      <c r="O19" s="924">
        <f>ROUNDDOWN(DATEDIF(E19,G19,"M")/3,0)</f>
        <v>16</v>
      </c>
      <c r="P19" s="1370"/>
      <c r="Q19" s="1372"/>
      <c r="R19" s="1372"/>
      <c r="S19" s="1372"/>
      <c r="T19" s="1367"/>
      <c r="U19" s="1367"/>
      <c r="V19" s="1367"/>
      <c r="W19" s="1366"/>
      <c r="X19" s="1366"/>
      <c r="Y19" s="1366"/>
      <c r="Z19" s="1373"/>
      <c r="AA19" s="1374"/>
      <c r="AB19" s="1374"/>
      <c r="AC19" s="1374"/>
      <c r="AD19" s="1374"/>
      <c r="AE19" s="1374"/>
      <c r="AF19" s="2796"/>
      <c r="AG19" s="2797"/>
      <c r="AH19" s="2791"/>
      <c r="AI19" s="2798"/>
      <c r="AJ19" s="2798"/>
      <c r="AK19" s="2798"/>
    </row>
    <row r="20" spans="1:37" s="2733" customFormat="1" ht="27.75" thickBot="1">
      <c r="A20" s="2799" t="s">
        <v>810</v>
      </c>
      <c r="B20" s="2800" t="s">
        <v>2884</v>
      </c>
      <c r="C20" s="925" t="e">
        <f>ROUND(POWER(1+G20,J20-I20)*(POWER(1+G20,I20)-1)/(POWER(1+G20,J20)-1),4)</f>
        <v>#DIV/0!</v>
      </c>
      <c r="D20" s="2801" t="s">
        <v>2885</v>
      </c>
      <c r="E20" s="1764">
        <f ca="1">存贷款利率!D4/100</f>
        <v>4.3499999999999997E-2</v>
      </c>
      <c r="F20" s="2801" t="s">
        <v>2876</v>
      </c>
      <c r="G20" s="930">
        <f>SUMIF(M15:P15,E2,M17:P17)</f>
        <v>0</v>
      </c>
      <c r="H20" s="2801" t="s">
        <v>2886</v>
      </c>
      <c r="I20" s="931" t="e">
        <f>SUMIF('数据-取费表'!C6:C15,E2,'数据-取费表'!F6:F15)/COUNTIF('数据-取费表'!C6:C15,E2)</f>
        <v>#DIV/0!</v>
      </c>
      <c r="J20" s="932">
        <f>IF(E2="住宅",70,IF(E2="商业",40,50))</f>
        <v>50</v>
      </c>
      <c r="K20" s="1373"/>
      <c r="L20" s="2802" t="s">
        <v>2887</v>
      </c>
      <c r="M20" s="1731">
        <f>ROUND(SUMPRODUCT((地价!A4:A21=YEAR(G19)&amp;"-"&amp;ROUNDUP(MONTH(G19)/3,0))*(地价!B2:F2=E2)*(地价!B4:F21)),0)</f>
        <v>0</v>
      </c>
      <c r="N20" s="2803" t="s">
        <v>2888</v>
      </c>
      <c r="O20" s="2804" t="s">
        <v>2889</v>
      </c>
      <c r="P20" s="2805" t="s">
        <v>2890</v>
      </c>
      <c r="R20" s="1372"/>
      <c r="S20" s="1372"/>
      <c r="T20" s="1367"/>
      <c r="U20" s="1367"/>
      <c r="V20" s="1367"/>
      <c r="W20" s="1366"/>
      <c r="X20" s="1366"/>
      <c r="Y20" s="1366"/>
      <c r="Z20" s="1373"/>
      <c r="AA20" s="1374"/>
      <c r="AB20" s="1374"/>
      <c r="AC20" s="1374"/>
      <c r="AD20" s="1374"/>
      <c r="AE20" s="1374"/>
      <c r="AF20" s="1374"/>
    </row>
    <row r="21" spans="1:37" s="2733" customFormat="1" ht="15">
      <c r="A21" s="2806" t="s">
        <v>811</v>
      </c>
      <c r="B21" s="2807" t="s">
        <v>2891</v>
      </c>
      <c r="C21" s="933">
        <f>IF(B21="容积率修正",IF(G3&lt;=10,D22,J22),C23)</f>
        <v>0</v>
      </c>
      <c r="D21" s="2808"/>
      <c r="E21" s="2808"/>
      <c r="F21" s="2808"/>
      <c r="G21" s="2808"/>
      <c r="H21" s="2808"/>
      <c r="I21" s="2808"/>
      <c r="J21" s="2809"/>
      <c r="K21" s="1373"/>
      <c r="N21" s="2810" t="s">
        <v>2892</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3" customFormat="1" ht="14.25">
      <c r="A22" s="2659" t="s">
        <v>2893</v>
      </c>
      <c r="B22" s="2811" t="s">
        <v>2894</v>
      </c>
      <c r="C22" s="1806" t="s">
        <v>2895</v>
      </c>
      <c r="D22" s="1806" t="str">
        <f>IF(E22=G22,F22,IF(G3&lt;=10,ROUND(F22+(H22-F22)*(G3-E22)/(G22-E22),4),"——"))</f>
        <v>——</v>
      </c>
      <c r="E22" s="909">
        <f>ROUNDDOWN(G3,1)</f>
        <v>11</v>
      </c>
      <c r="F22" s="1806"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09">
        <f>ROUNDUP(G3,1)</f>
        <v>11</v>
      </c>
      <c r="H22" s="1806"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6" t="s">
        <v>155</v>
      </c>
      <c r="J22" s="934">
        <f>IF(G3&gt;10,D113,"——")</f>
        <v>0</v>
      </c>
      <c r="K22" s="1373"/>
      <c r="N22" s="2810" t="s">
        <v>2896</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59" t="s">
        <v>2897</v>
      </c>
      <c r="B23" s="2812" t="s">
        <v>2898</v>
      </c>
      <c r="C23" s="1009">
        <f>ROUND(IF(G3&gt;1,IF(I3&lt;7,SUMPRODUCT((B93:B98=I3)*(C92:N92=G2)*(C93:N98)),SUMIF(C92:N92,G2,C100:N100)),IF(I3&lt;7,SUMPRODUCT((B102:B107=I3)*(C92:N92=G2)*(C102:N107)),SUMIF(C92:N92,G2,C109:N109))),4)</f>
        <v>0</v>
      </c>
      <c r="D23" s="2768"/>
      <c r="E23" s="2768"/>
      <c r="F23" s="2813"/>
      <c r="G23" s="2814"/>
      <c r="H23" s="2815"/>
      <c r="I23" s="2816"/>
      <c r="J23" s="2817"/>
      <c r="K23" s="1366"/>
      <c r="N23" s="2810" t="s">
        <v>2899</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1"/>
    </row>
    <row r="24" spans="1:37" s="2733" customFormat="1" ht="15.75" thickBot="1">
      <c r="A24" s="2799" t="s">
        <v>812</v>
      </c>
      <c r="B24" s="2785" t="s">
        <v>2900</v>
      </c>
      <c r="C24" s="920">
        <f>SUMIF(A45:A88,E2,B45:B88)</f>
        <v>0</v>
      </c>
      <c r="D24" s="2788"/>
      <c r="E24" s="2818"/>
      <c r="F24" s="2818"/>
      <c r="G24" s="2818"/>
      <c r="H24" s="2818"/>
      <c r="I24" s="2818"/>
      <c r="J24" s="2819"/>
      <c r="K24" s="1373"/>
      <c r="N24" s="2820" t="s">
        <v>2901</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799" t="s">
        <v>813</v>
      </c>
      <c r="B25" s="2821" t="s">
        <v>2902</v>
      </c>
      <c r="C25" s="926"/>
      <c r="D25" s="2743"/>
      <c r="E25" s="2743"/>
      <c r="F25" s="2822"/>
      <c r="G25" s="2743"/>
      <c r="H25" s="2743"/>
      <c r="I25" s="2743"/>
      <c r="J25" s="2744"/>
      <c r="K25" s="1366"/>
      <c r="N25" s="2823" t="s">
        <v>2903</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4"/>
      <c r="B26" s="2811" t="s">
        <v>2904</v>
      </c>
      <c r="C26" s="206" t="e">
        <f>E29+SUM(E33:E39)</f>
        <v>#DIV/0!</v>
      </c>
      <c r="D26" s="2825"/>
      <c r="E26" s="2768"/>
      <c r="F26" s="2826"/>
      <c r="G26" s="2768"/>
      <c r="H26" s="2768"/>
      <c r="I26" s="2768"/>
      <c r="J26" s="2827"/>
      <c r="K26" s="1366"/>
      <c r="R26" s="1372"/>
      <c r="S26" s="1372"/>
      <c r="T26" s="1367"/>
      <c r="U26" s="1367"/>
      <c r="V26" s="1367"/>
      <c r="W26" s="1366"/>
      <c r="X26" s="1366"/>
      <c r="Y26" s="1366"/>
      <c r="Z26" s="1373"/>
      <c r="AA26" s="1374"/>
      <c r="AB26" s="1374"/>
      <c r="AC26" s="1374"/>
      <c r="AD26" s="1374"/>
    </row>
    <row r="27" spans="1:37" ht="15.75" thickBot="1">
      <c r="A27" s="2824"/>
      <c r="B27" s="2828" t="s">
        <v>2905</v>
      </c>
      <c r="C27" s="927" t="e">
        <f>E30+SUM(I33:I39)</f>
        <v>#DIV/0!</v>
      </c>
      <c r="D27" s="2829"/>
      <c r="E27" s="2830"/>
      <c r="F27" s="2831"/>
      <c r="G27" s="2830"/>
      <c r="H27" s="2830"/>
      <c r="I27" s="2830"/>
      <c r="J27" s="2832"/>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3"/>
      <c r="B28" s="2834" t="s">
        <v>2906</v>
      </c>
      <c r="C28" s="2835" t="s">
        <v>2907</v>
      </c>
      <c r="D28" s="2835" t="s">
        <v>2908</v>
      </c>
      <c r="E28" s="2836" t="s">
        <v>2909</v>
      </c>
      <c r="F28" s="2837"/>
      <c r="G28" s="2756"/>
      <c r="H28" s="2756"/>
      <c r="I28" s="2756"/>
      <c r="J28" s="2757"/>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8"/>
      <c r="B29" s="2839" t="s">
        <v>2910</v>
      </c>
      <c r="C29" s="206" t="e">
        <f>ROUND(C5*C18*C19*C20*C21*C24,0)</f>
        <v>#DIV/0!</v>
      </c>
      <c r="D29" s="2840"/>
      <c r="E29" s="938" t="e">
        <f>ROUND(C29*D29/10000,0)</f>
        <v>#DIV/0!</v>
      </c>
      <c r="F29" s="2841" t="s">
        <v>2911</v>
      </c>
      <c r="G29" s="2842"/>
      <c r="H29" s="2842"/>
      <c r="I29" s="2842"/>
      <c r="J29" s="2843"/>
      <c r="K29" s="1366"/>
      <c r="L29" s="1366"/>
      <c r="M29" s="1366"/>
      <c r="N29" s="1366"/>
      <c r="O29" s="1371"/>
      <c r="P29" s="1371"/>
      <c r="Q29" s="1372"/>
      <c r="R29" s="1372"/>
      <c r="S29" s="1372"/>
      <c r="T29" s="1367"/>
      <c r="U29" s="1367"/>
      <c r="V29" s="1367"/>
      <c r="W29" s="1366"/>
      <c r="X29" s="1366"/>
      <c r="Y29" s="1366"/>
      <c r="Z29" s="1373"/>
      <c r="AA29" s="1374"/>
      <c r="AB29" s="1374"/>
      <c r="AC29" s="1374"/>
      <c r="AD29" s="1374"/>
      <c r="AE29" s="2783"/>
      <c r="AF29" s="2783"/>
      <c r="AG29" s="2715"/>
      <c r="AH29" s="2715"/>
      <c r="AI29" s="2715"/>
      <c r="AJ29" s="2715"/>
    </row>
    <row r="30" spans="1:37" ht="25.5" thickBot="1">
      <c r="A30" s="2844"/>
      <c r="B30" s="2845" t="s">
        <v>2912</v>
      </c>
      <c r="C30" s="229" t="e">
        <f>ROUND(IF(E2="工业",C29*M39,C29*M38),0)</f>
        <v>#DIV/0!</v>
      </c>
      <c r="D30" s="2846"/>
      <c r="E30" s="938" t="e">
        <f>ROUND(C30*D30/10000,0)</f>
        <v>#DIV/0!</v>
      </c>
      <c r="F30" s="2847" t="s">
        <v>2913</v>
      </c>
      <c r="G30" s="2848"/>
      <c r="H30" s="2848"/>
      <c r="I30" s="2848"/>
      <c r="J30" s="2849"/>
      <c r="K30" s="1366"/>
      <c r="L30" s="1366"/>
      <c r="M30" s="1366"/>
      <c r="N30" s="1366"/>
      <c r="O30" s="1371"/>
      <c r="P30" s="1371"/>
      <c r="Q30" s="1372"/>
      <c r="R30" s="1372"/>
      <c r="S30" s="1372"/>
      <c r="T30" s="1367"/>
      <c r="U30" s="1367"/>
      <c r="V30" s="1367"/>
      <c r="W30" s="1366"/>
      <c r="X30" s="1366"/>
      <c r="Y30" s="1366"/>
      <c r="Z30" s="1373"/>
      <c r="AA30" s="1374"/>
      <c r="AB30" s="1374"/>
      <c r="AC30" s="1374"/>
      <c r="AD30" s="1374"/>
      <c r="AE30" s="2783"/>
      <c r="AF30" s="2783"/>
      <c r="AG30" s="2715"/>
      <c r="AH30" s="2715"/>
      <c r="AI30" s="2715"/>
      <c r="AJ30" s="2715"/>
    </row>
    <row r="31" spans="1:37" ht="14.25">
      <c r="A31" s="2850"/>
      <c r="B31" s="2851" t="s">
        <v>2914</v>
      </c>
      <c r="C31" s="2852" t="s">
        <v>2915</v>
      </c>
      <c r="D31" s="2756"/>
      <c r="E31" s="2852"/>
      <c r="F31" s="2852"/>
      <c r="G31" s="2754" t="s">
        <v>2916</v>
      </c>
      <c r="H31" s="2756"/>
      <c r="I31" s="2853"/>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83"/>
      <c r="AF31" s="2783"/>
      <c r="AG31" s="2715"/>
      <c r="AH31" s="2715"/>
      <c r="AI31" s="2715"/>
      <c r="AJ31" s="2715"/>
    </row>
    <row r="32" spans="1:37" ht="24">
      <c r="A32" s="2838"/>
      <c r="B32" s="2854"/>
      <c r="C32" s="501" t="s">
        <v>2907</v>
      </c>
      <c r="D32" s="498" t="s">
        <v>2908</v>
      </c>
      <c r="E32" s="498" t="s">
        <v>2909</v>
      </c>
      <c r="F32" s="388" t="s">
        <v>2917</v>
      </c>
      <c r="G32" s="2855" t="s">
        <v>2907</v>
      </c>
      <c r="H32" s="2855" t="s">
        <v>2908</v>
      </c>
      <c r="I32" s="2855" t="s">
        <v>2909</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3"/>
      <c r="AF32" s="2783"/>
      <c r="AG32" s="2715"/>
      <c r="AH32" s="2715"/>
      <c r="AI32" s="2715"/>
      <c r="AJ32" s="2715"/>
    </row>
    <row r="33" spans="1:37" ht="36" customHeight="1">
      <c r="A33" s="3386" t="s">
        <v>2918</v>
      </c>
      <c r="B33" s="2856" t="s">
        <v>2919</v>
      </c>
      <c r="C33" s="206" t="e">
        <f>ROUND(D5*C19*C20*C24*F33,0)</f>
        <v>#DIV/0!</v>
      </c>
      <c r="D33" s="2840"/>
      <c r="E33" s="200" t="e">
        <f>ROUND(C33*D33/10000,0)</f>
        <v>#DIV/0!</v>
      </c>
      <c r="F33" s="200">
        <f>SUMIF(修正!A45:A56,G2,修正!B45:B56)</f>
        <v>0</v>
      </c>
      <c r="G33" s="200" t="e">
        <f t="shared" ref="G33:G39" si="6">ROUND(IF(E2="工业",C33*$M$39,C33*$M$38),0)</f>
        <v>#DIV/0!</v>
      </c>
      <c r="H33" s="200">
        <f>D33</f>
        <v>0</v>
      </c>
      <c r="I33" s="200" t="e">
        <f>ROUND(G33*H33/10000,0)</f>
        <v>#DIV/0!</v>
      </c>
      <c r="J33" s="2857"/>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87"/>
      <c r="B34" s="2760" t="s">
        <v>2920</v>
      </c>
      <c r="C34" s="206" t="e">
        <f>ROUND(D5*C19*C20*C24*F34,0)</f>
        <v>#DIV/0!</v>
      </c>
      <c r="D34" s="2840"/>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7"/>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87"/>
      <c r="B35" s="2760" t="s">
        <v>2921</v>
      </c>
      <c r="C35" s="206" t="e">
        <f>ROUND(D5*C19*C20*C24*F35,0)</f>
        <v>#DIV/0!</v>
      </c>
      <c r="D35" s="2840"/>
      <c r="E35" s="200" t="e">
        <f t="shared" si="7"/>
        <v>#DIV/0!</v>
      </c>
      <c r="F35" s="200">
        <f>SUMIF(修正!A45:A56,G2,修正!D45:D56)</f>
        <v>0</v>
      </c>
      <c r="G35" s="200" t="e">
        <f t="shared" si="6"/>
        <v>#DIV/0!</v>
      </c>
      <c r="H35" s="200">
        <f t="shared" si="8"/>
        <v>0</v>
      </c>
      <c r="I35" s="200" t="e">
        <f t="shared" si="9"/>
        <v>#DIV/0!</v>
      </c>
      <c r="J35" s="2857"/>
      <c r="K35" s="1366"/>
      <c r="L35" s="1366"/>
      <c r="M35" s="1366"/>
      <c r="N35" s="1366"/>
      <c r="O35" s="1366"/>
      <c r="P35" s="1366"/>
      <c r="Q35" s="1366"/>
      <c r="R35" s="1366"/>
      <c r="S35" s="1366"/>
      <c r="T35" s="1366"/>
      <c r="U35" s="1366"/>
      <c r="V35" s="1366"/>
      <c r="W35" s="1366"/>
      <c r="X35" s="1366"/>
      <c r="Y35" s="1366"/>
      <c r="Z35" s="1367"/>
    </row>
    <row r="36" spans="1:37" ht="13.5" thickBot="1">
      <c r="A36" s="3388"/>
      <c r="B36" s="2760" t="s">
        <v>2922</v>
      </c>
      <c r="C36" s="206" t="e">
        <f>ROUND(D5*C19*C20*C24*F36,0)</f>
        <v>#DIV/0!</v>
      </c>
      <c r="D36" s="2840"/>
      <c r="E36" s="200" t="e">
        <f t="shared" si="7"/>
        <v>#DIV/0!</v>
      </c>
      <c r="F36" s="200">
        <f>SUMIF(修正!A45:A56,G2,修正!E45:E56)</f>
        <v>0</v>
      </c>
      <c r="G36" s="200" t="e">
        <f t="shared" si="6"/>
        <v>#DIV/0!</v>
      </c>
      <c r="H36" s="200">
        <f t="shared" si="8"/>
        <v>0</v>
      </c>
      <c r="I36" s="200" t="e">
        <f t="shared" si="9"/>
        <v>#DIV/0!</v>
      </c>
      <c r="J36" s="2857"/>
      <c r="K36" s="1366"/>
      <c r="L36" s="2714"/>
      <c r="M36" s="2714"/>
      <c r="N36" s="1366"/>
      <c r="O36" s="1366"/>
      <c r="P36" s="1366"/>
      <c r="Q36" s="1366"/>
      <c r="R36" s="1366"/>
      <c r="S36" s="1366"/>
      <c r="T36" s="1366"/>
      <c r="U36" s="1366"/>
      <c r="V36" s="1366"/>
      <c r="W36" s="1366"/>
      <c r="X36" s="1366"/>
      <c r="Y36" s="1366"/>
      <c r="Z36" s="1367"/>
    </row>
    <row r="37" spans="1:37">
      <c r="A37" s="2858"/>
      <c r="B37" s="2760" t="s">
        <v>2923</v>
      </c>
      <c r="C37" s="200" t="e">
        <f>ROUND(C5*C19*C20*C24*F37,0)</f>
        <v>#DIV/0!</v>
      </c>
      <c r="D37" s="2840"/>
      <c r="E37" s="200" t="e">
        <f t="shared" si="7"/>
        <v>#DIV/0!</v>
      </c>
      <c r="F37" s="206">
        <f>SUMIF(修正!A45:A56,G2,修正!F45:F56)</f>
        <v>0</v>
      </c>
      <c r="G37" s="200" t="e">
        <f t="shared" si="6"/>
        <v>#DIV/0!</v>
      </c>
      <c r="H37" s="200">
        <f t="shared" si="8"/>
        <v>0</v>
      </c>
      <c r="I37" s="200" t="e">
        <f t="shared" si="9"/>
        <v>#DIV/0!</v>
      </c>
      <c r="J37" s="2857"/>
      <c r="K37" s="1366"/>
      <c r="L37" s="2859" t="s">
        <v>2924</v>
      </c>
      <c r="M37" s="2860"/>
      <c r="N37" s="1366"/>
      <c r="O37" s="1366"/>
      <c r="P37" s="1366"/>
      <c r="Q37" s="1366"/>
      <c r="R37" s="1366"/>
      <c r="S37" s="1366"/>
      <c r="T37" s="1366"/>
      <c r="U37" s="1366"/>
      <c r="V37" s="1366"/>
      <c r="W37" s="1366"/>
      <c r="X37" s="1366"/>
      <c r="Y37" s="1366"/>
      <c r="Z37" s="1367"/>
    </row>
    <row r="38" spans="1:37">
      <c r="A38" s="2858"/>
      <c r="B38" s="2760" t="s">
        <v>2925</v>
      </c>
      <c r="C38" s="200" t="e">
        <f>ROUND(C5*C19*C20*C24*F38,0)</f>
        <v>#DIV/0!</v>
      </c>
      <c r="D38" s="2840"/>
      <c r="E38" s="200" t="e">
        <f t="shared" si="7"/>
        <v>#DIV/0!</v>
      </c>
      <c r="F38" s="206">
        <f>SUMIF(修正!A45:A56,G2,修正!G45:G56)</f>
        <v>0</v>
      </c>
      <c r="G38" s="200" t="e">
        <f t="shared" si="6"/>
        <v>#DIV/0!</v>
      </c>
      <c r="H38" s="200">
        <f t="shared" si="8"/>
        <v>0</v>
      </c>
      <c r="I38" s="200" t="e">
        <f t="shared" si="9"/>
        <v>#DIV/0!</v>
      </c>
      <c r="J38" s="2857"/>
      <c r="K38" s="1366"/>
      <c r="L38" s="1883" t="s">
        <v>2926</v>
      </c>
      <c r="M38" s="2861">
        <v>0.25</v>
      </c>
      <c r="N38" s="1366"/>
      <c r="O38" s="1366"/>
      <c r="P38" s="1366"/>
      <c r="Q38" s="1366"/>
      <c r="R38" s="1366"/>
      <c r="S38" s="1366"/>
      <c r="T38" s="1366"/>
      <c r="U38" s="1366"/>
      <c r="V38" s="1366"/>
      <c r="W38" s="1366"/>
      <c r="X38" s="1366"/>
      <c r="Y38" s="1366"/>
      <c r="Z38" s="1367"/>
    </row>
    <row r="39" spans="1:37" ht="13.5" thickBot="1">
      <c r="A39" s="2844"/>
      <c r="B39" s="2862" t="s">
        <v>2927</v>
      </c>
      <c r="C39" s="229" t="e">
        <f>ROUND(C5*C19*C20*C24*F39,0)</f>
        <v>#DIV/0!</v>
      </c>
      <c r="D39" s="2846"/>
      <c r="E39" s="229" t="e">
        <f t="shared" si="7"/>
        <v>#DIV/0!</v>
      </c>
      <c r="F39" s="928">
        <f>SUMIF(修正!A45:A56,G2,修正!H45:H56)</f>
        <v>0</v>
      </c>
      <c r="G39" s="229" t="e">
        <f t="shared" si="6"/>
        <v>#DIV/0!</v>
      </c>
      <c r="H39" s="229">
        <f t="shared" si="8"/>
        <v>0</v>
      </c>
      <c r="I39" s="229" t="e">
        <f t="shared" si="9"/>
        <v>#DIV/0!</v>
      </c>
      <c r="J39" s="2863"/>
      <c r="K39" s="1366"/>
      <c r="L39" s="2864" t="s">
        <v>2868</v>
      </c>
      <c r="M39" s="2865">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6"/>
      <c r="Z41" s="1367"/>
      <c r="AA41" s="1367"/>
      <c r="AB41" s="1367"/>
      <c r="AC41" s="1367"/>
      <c r="AD41" s="1367"/>
      <c r="AE41" s="1367"/>
      <c r="AF41" s="1367"/>
      <c r="AG41" s="1367"/>
      <c r="AH41" s="1367"/>
      <c r="AI41" s="1367"/>
      <c r="AJ41" s="1367"/>
    </row>
    <row r="42" spans="1:37" s="1366" customFormat="1">
      <c r="A42" s="1367"/>
      <c r="B42" s="2866"/>
      <c r="Z42" s="1367"/>
      <c r="AA42" s="1367"/>
      <c r="AB42" s="1367"/>
      <c r="AC42" s="1367"/>
      <c r="AD42" s="1367"/>
      <c r="AE42" s="1367"/>
      <c r="AF42" s="1367"/>
      <c r="AG42" s="1367"/>
      <c r="AH42" s="1367"/>
      <c r="AI42" s="1367"/>
      <c r="AJ42" s="1367"/>
    </row>
    <row r="43" spans="1:37" s="1366" customFormat="1">
      <c r="A43" s="1367"/>
      <c r="B43" s="2866"/>
      <c r="Z43" s="1367"/>
      <c r="AA43" s="1367"/>
      <c r="AB43" s="1367"/>
      <c r="AC43" s="1367"/>
      <c r="AD43" s="1367"/>
      <c r="AE43" s="1367"/>
      <c r="AF43" s="1367"/>
      <c r="AG43" s="1367"/>
      <c r="AH43" s="1367"/>
      <c r="AI43" s="1367"/>
      <c r="AJ43" s="1367"/>
    </row>
    <row r="44" spans="1:37" s="1366" customFormat="1">
      <c r="A44" s="1367"/>
      <c r="B44" s="2866"/>
      <c r="Z44" s="1367"/>
      <c r="AA44" s="1367"/>
      <c r="AB44" s="1367"/>
      <c r="AC44" s="1367"/>
      <c r="AD44" s="1367"/>
      <c r="AE44" s="1367"/>
      <c r="AF44" s="1367"/>
      <c r="AG44" s="1367"/>
      <c r="AH44" s="1367"/>
      <c r="AI44" s="1367"/>
      <c r="AJ44" s="1367"/>
    </row>
    <row r="45" spans="1:37" s="1366" customFormat="1" ht="15.75" thickBot="1">
      <c r="A45" s="2867" t="s">
        <v>2928</v>
      </c>
      <c r="B45" s="2868"/>
      <c r="C45" s="7"/>
      <c r="D45" s="7"/>
      <c r="E45" s="7"/>
      <c r="F45" s="6"/>
      <c r="G45" s="6"/>
      <c r="H45" s="6"/>
      <c r="I45" s="7"/>
      <c r="J45" s="7"/>
      <c r="K45" s="7"/>
      <c r="L45" s="7"/>
      <c r="M45" s="7"/>
      <c r="N45" s="2783"/>
      <c r="Z45" s="1367"/>
      <c r="AA45" s="1367"/>
      <c r="AB45" s="1367"/>
      <c r="AC45" s="1367"/>
      <c r="AD45" s="1367"/>
      <c r="AE45" s="1367"/>
      <c r="AF45" s="1367"/>
      <c r="AG45" s="1367"/>
      <c r="AH45" s="1367"/>
      <c r="AI45" s="1367"/>
      <c r="AJ45" s="1367"/>
    </row>
    <row r="46" spans="1:37" s="1366" customFormat="1" ht="15">
      <c r="A46" s="2869" t="s">
        <v>2929</v>
      </c>
      <c r="B46" s="2870">
        <f>1+E48</f>
        <v>1</v>
      </c>
      <c r="C46" s="2871"/>
      <c r="D46" s="807"/>
      <c r="E46" s="808"/>
      <c r="F46" s="2872"/>
      <c r="G46" s="6"/>
      <c r="H46" s="7"/>
      <c r="I46" s="7"/>
      <c r="J46" s="7"/>
      <c r="K46" s="7"/>
      <c r="L46" s="7"/>
      <c r="M46" s="7"/>
      <c r="N46" s="2783"/>
      <c r="Z46" s="1367"/>
      <c r="AA46" s="1367"/>
      <c r="AB46" s="1367"/>
      <c r="AC46" s="1367"/>
      <c r="AD46" s="1367"/>
      <c r="AE46" s="1367"/>
      <c r="AF46" s="1367"/>
      <c r="AG46" s="1367"/>
      <c r="AH46" s="1367"/>
      <c r="AI46" s="1367"/>
      <c r="AJ46" s="1367"/>
    </row>
    <row r="47" spans="1:37" s="1366" customFormat="1" ht="24.75">
      <c r="A47" s="2873" t="s">
        <v>2930</v>
      </c>
      <c r="B47" s="1805" t="s">
        <v>2931</v>
      </c>
      <c r="C47" s="1805" t="s">
        <v>2932</v>
      </c>
      <c r="D47" s="1805" t="s">
        <v>2933</v>
      </c>
      <c r="E47" s="812" t="s">
        <v>2934</v>
      </c>
      <c r="F47" s="2874" t="s">
        <v>2935</v>
      </c>
      <c r="G47" s="1805" t="s">
        <v>754</v>
      </c>
      <c r="H47" s="2875" t="s">
        <v>2936</v>
      </c>
      <c r="I47" s="1805" t="s">
        <v>2937</v>
      </c>
      <c r="J47" s="603" t="s">
        <v>2585</v>
      </c>
      <c r="K47" s="603" t="s">
        <v>2586</v>
      </c>
      <c r="L47" s="603" t="s">
        <v>2587</v>
      </c>
      <c r="M47" s="603" t="s">
        <v>2588</v>
      </c>
      <c r="N47" s="603" t="s">
        <v>2589</v>
      </c>
      <c r="AA47" s="1367"/>
      <c r="AB47" s="1367"/>
      <c r="AC47" s="1367"/>
      <c r="AD47" s="1367"/>
      <c r="AE47" s="1367"/>
      <c r="AF47" s="1367"/>
      <c r="AG47" s="1367"/>
      <c r="AH47" s="1367"/>
      <c r="AI47" s="1367"/>
      <c r="AJ47" s="1367"/>
      <c r="AK47" s="1367"/>
    </row>
    <row r="48" spans="1:37" s="1366" customFormat="1" ht="25.5">
      <c r="A48" s="2873" t="s">
        <v>2938</v>
      </c>
      <c r="B48" s="2876" t="str">
        <f>估价对象房地状况!C4</f>
        <v>XX商圈，周边商业氛围，人流量</v>
      </c>
      <c r="C48" s="2765"/>
      <c r="D48" s="1282">
        <f t="shared" ref="D48:D56" si="10">SUMIF($J$47:$N$47,C48,J48:N48)</f>
        <v>0</v>
      </c>
      <c r="E48" s="814">
        <f>ROUND(SUM(D48:D56),4)</f>
        <v>0</v>
      </c>
      <c r="F48" s="2496"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76.5">
      <c r="A49" s="2873" t="s">
        <v>2939</v>
      </c>
      <c r="B49" s="2877" t="str">
        <f>估价对象房地状况!C18</f>
        <v>周边道路状况、公共交通通达情况、停车便捷程度（快速路西四环北路 六号线海淀五路居站 五路桥公交站  61路 79路 121路 地上停车位）</v>
      </c>
      <c r="C49" s="2765"/>
      <c r="D49" s="1282">
        <f t="shared" si="10"/>
        <v>0</v>
      </c>
      <c r="E49" s="815"/>
      <c r="F49" s="2496"/>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3" t="s">
        <v>2940</v>
      </c>
      <c r="B50" s="2877">
        <f>估价对象房地状况!C19</f>
        <v>0</v>
      </c>
      <c r="C50" s="2765"/>
      <c r="D50" s="1282">
        <f t="shared" si="10"/>
        <v>0</v>
      </c>
      <c r="E50" s="815"/>
      <c r="F50" s="2496"/>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3" t="s">
        <v>2941</v>
      </c>
      <c r="B51" s="2878" t="s">
        <v>2942</v>
      </c>
      <c r="C51" s="2765"/>
      <c r="D51" s="1282">
        <f t="shared" si="10"/>
        <v>0</v>
      </c>
      <c r="E51" s="815"/>
      <c r="F51" s="2496"/>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3" t="s">
        <v>2943</v>
      </c>
      <c r="B52" s="2877">
        <f>估价对象房地状况!C24</f>
        <v>0</v>
      </c>
      <c r="C52" s="2765"/>
      <c r="D52" s="1282">
        <f t="shared" si="10"/>
        <v>0</v>
      </c>
      <c r="E52" s="815"/>
      <c r="F52" s="2496"/>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3" t="s">
        <v>2944</v>
      </c>
      <c r="B53" s="2879" t="s">
        <v>2945</v>
      </c>
      <c r="C53" s="2765"/>
      <c r="D53" s="1282">
        <f t="shared" si="10"/>
        <v>0</v>
      </c>
      <c r="E53" s="815"/>
      <c r="F53" s="2496"/>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114.75">
      <c r="A54" s="2880" t="s">
        <v>2946</v>
      </c>
      <c r="B54" s="1721"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54" s="2765"/>
      <c r="D54" s="1282">
        <f t="shared" si="10"/>
        <v>0</v>
      </c>
      <c r="E54" s="815"/>
      <c r="F54" s="2496"/>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80" t="s">
        <v>2947</v>
      </c>
      <c r="B55" s="2877">
        <f>估价对象房地状况!C22</f>
        <v>0</v>
      </c>
      <c r="C55" s="2765"/>
      <c r="D55" s="1282">
        <f t="shared" si="10"/>
        <v>0</v>
      </c>
      <c r="E55" s="815"/>
      <c r="F55" s="2496"/>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81" t="s">
        <v>2948</v>
      </c>
      <c r="B56" s="2882">
        <f>估价对象房地状况!C20</f>
        <v>0</v>
      </c>
      <c r="C56" s="2765"/>
      <c r="D56" s="1282">
        <f t="shared" si="10"/>
        <v>0</v>
      </c>
      <c r="E56" s="818"/>
      <c r="F56" s="2496"/>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9" t="s">
        <v>2949</v>
      </c>
      <c r="B57" s="2870">
        <f>1+E59</f>
        <v>1</v>
      </c>
      <c r="C57" s="807"/>
      <c r="D57" s="807"/>
      <c r="E57" s="808"/>
      <c r="F57" s="2872"/>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3" t="s">
        <v>2930</v>
      </c>
      <c r="B58" s="1805"/>
      <c r="C58" s="1805" t="s">
        <v>2932</v>
      </c>
      <c r="D58" s="1805" t="s">
        <v>2933</v>
      </c>
      <c r="E58" s="812" t="s">
        <v>2934</v>
      </c>
      <c r="F58" s="2874" t="s">
        <v>2950</v>
      </c>
      <c r="G58" s="1805" t="s">
        <v>754</v>
      </c>
      <c r="H58" s="2875" t="s">
        <v>2936</v>
      </c>
      <c r="I58" s="1805" t="s">
        <v>2937</v>
      </c>
      <c r="J58" s="603" t="s">
        <v>2585</v>
      </c>
      <c r="K58" s="603" t="s">
        <v>2586</v>
      </c>
      <c r="L58" s="603" t="s">
        <v>2587</v>
      </c>
      <c r="M58" s="603" t="s">
        <v>2588</v>
      </c>
      <c r="N58" s="603" t="s">
        <v>2589</v>
      </c>
      <c r="AA58" s="1367"/>
      <c r="AB58" s="1367"/>
      <c r="AC58" s="1367"/>
      <c r="AD58" s="1367"/>
      <c r="AE58" s="1367"/>
      <c r="AF58" s="1367"/>
      <c r="AG58" s="1367"/>
      <c r="AH58" s="1367"/>
      <c r="AI58" s="1367"/>
      <c r="AJ58" s="1367"/>
      <c r="AK58" s="1367"/>
    </row>
    <row r="59" spans="1:37" s="1366" customFormat="1" ht="51">
      <c r="A59" s="2873" t="s">
        <v>2951</v>
      </c>
      <c r="B59" s="2876" t="str">
        <f>估价对象房地状况!C17</f>
        <v>XX商圈，周边办公楼项目，入驻率（物美慧科大厦 新奥特科技大厦 裕友大厦）</v>
      </c>
      <c r="C59" s="2765"/>
      <c r="D59" s="1282">
        <f t="shared" ref="D59:D67" si="15">SUMIF($J$58:$N$58,C59,J59:N59)</f>
        <v>0</v>
      </c>
      <c r="E59" s="814">
        <f>ROUND(SUM(D59:D67),4)</f>
        <v>0</v>
      </c>
      <c r="F59" s="2496"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76.5">
      <c r="A60" s="2873" t="s">
        <v>2939</v>
      </c>
      <c r="B60" s="2877" t="str">
        <f>估价对象房地状况!C18</f>
        <v>周边道路状况、公共交通通达情况、停车便捷程度（快速路西四环北路 六号线海淀五路居站 五路桥公交站  61路 79路 121路 地上停车位）</v>
      </c>
      <c r="C60" s="2765"/>
      <c r="D60" s="1282">
        <f t="shared" si="15"/>
        <v>0</v>
      </c>
      <c r="E60" s="815"/>
      <c r="F60" s="2496"/>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3" t="s">
        <v>2940</v>
      </c>
      <c r="B61" s="2877">
        <f>估价对象房地状况!C19</f>
        <v>0</v>
      </c>
      <c r="C61" s="2765"/>
      <c r="D61" s="1282">
        <f t="shared" si="15"/>
        <v>0</v>
      </c>
      <c r="E61" s="815"/>
      <c r="F61" s="2496"/>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3" t="s">
        <v>2941</v>
      </c>
      <c r="B62" s="2878" t="s">
        <v>2942</v>
      </c>
      <c r="C62" s="2765"/>
      <c r="D62" s="1282">
        <f t="shared" si="15"/>
        <v>0</v>
      </c>
      <c r="E62" s="815"/>
      <c r="F62" s="2496"/>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3" t="s">
        <v>2943</v>
      </c>
      <c r="B63" s="2877">
        <f>估价对象房地状况!C24</f>
        <v>0</v>
      </c>
      <c r="C63" s="2765"/>
      <c r="D63" s="1282">
        <f t="shared" si="15"/>
        <v>0</v>
      </c>
      <c r="E63" s="815"/>
      <c r="F63" s="2496"/>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3" t="s">
        <v>2944</v>
      </c>
      <c r="B64" s="2879" t="s">
        <v>2945</v>
      </c>
      <c r="C64" s="2765"/>
      <c r="D64" s="1282">
        <f t="shared" si="15"/>
        <v>0</v>
      </c>
      <c r="E64" s="815"/>
      <c r="F64" s="2496"/>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114.75">
      <c r="A65" s="2873" t="s">
        <v>2946</v>
      </c>
      <c r="B65" s="1721"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65" s="2765"/>
      <c r="D65" s="1282">
        <f t="shared" si="15"/>
        <v>0</v>
      </c>
      <c r="E65" s="815"/>
      <c r="F65" s="2496"/>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73" t="s">
        <v>2947</v>
      </c>
      <c r="B66" s="1721">
        <f>估价对象房地状况!C22</f>
        <v>0</v>
      </c>
      <c r="C66" s="2765"/>
      <c r="D66" s="1282">
        <f t="shared" si="15"/>
        <v>0</v>
      </c>
      <c r="E66" s="815"/>
      <c r="F66" s="2496"/>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81" t="s">
        <v>2948</v>
      </c>
      <c r="B67" s="2883">
        <f>估价对象房地状况!C20</f>
        <v>0</v>
      </c>
      <c r="C67" s="2765"/>
      <c r="D67" s="1282">
        <f t="shared" si="15"/>
        <v>0</v>
      </c>
      <c r="E67" s="818"/>
      <c r="F67" s="2496"/>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9" t="s">
        <v>2952</v>
      </c>
      <c r="B68" s="2870">
        <f>1+E70</f>
        <v>1</v>
      </c>
      <c r="C68" s="807"/>
      <c r="D68" s="807"/>
      <c r="E68" s="808"/>
      <c r="F68" s="2872"/>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3" t="s">
        <v>2930</v>
      </c>
      <c r="B69" s="1805"/>
      <c r="C69" s="1805" t="s">
        <v>2932</v>
      </c>
      <c r="D69" s="1805" t="s">
        <v>2933</v>
      </c>
      <c r="E69" s="812" t="s">
        <v>2934</v>
      </c>
      <c r="F69" s="2874" t="s">
        <v>2950</v>
      </c>
      <c r="G69" s="1805" t="s">
        <v>754</v>
      </c>
      <c r="H69" s="2875" t="s">
        <v>2936</v>
      </c>
      <c r="I69" s="1805" t="s">
        <v>2937</v>
      </c>
      <c r="J69" s="603" t="s">
        <v>2585</v>
      </c>
      <c r="K69" s="603" t="s">
        <v>2586</v>
      </c>
      <c r="L69" s="603" t="s">
        <v>2587</v>
      </c>
      <c r="M69" s="603" t="s">
        <v>2588</v>
      </c>
      <c r="N69" s="603" t="s">
        <v>2589</v>
      </c>
      <c r="AA69" s="1367"/>
      <c r="AB69" s="1367"/>
      <c r="AC69" s="1367"/>
      <c r="AD69" s="1367"/>
      <c r="AE69" s="1367"/>
      <c r="AF69" s="1367"/>
      <c r="AG69" s="1367"/>
      <c r="AH69" s="1367"/>
      <c r="AI69" s="1367"/>
      <c r="AJ69" s="1367"/>
      <c r="AK69" s="1367"/>
    </row>
    <row r="70" spans="1:37" s="1366" customFormat="1" ht="24">
      <c r="A70" s="2873" t="s">
        <v>2953</v>
      </c>
      <c r="B70" s="2876">
        <f>估价对象房地状况!C15</f>
        <v>0</v>
      </c>
      <c r="C70" s="2765"/>
      <c r="D70" s="1282">
        <f t="shared" ref="D70:D78" si="20">SUMIF($J$69:$N$69,C70,J70:N70)</f>
        <v>0</v>
      </c>
      <c r="E70" s="814">
        <f>ROUND(SUM(D70:D78),4)</f>
        <v>0</v>
      </c>
      <c r="F70" s="2496"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76.5">
      <c r="A71" s="2873" t="s">
        <v>2939</v>
      </c>
      <c r="B71" s="2877" t="str">
        <f>估价对象房地状况!C18</f>
        <v>周边道路状况、公共交通通达情况、停车便捷程度（快速路西四环北路 六号线海淀五路居站 五路桥公交站  61路 79路 121路 地上停车位）</v>
      </c>
      <c r="C71" s="2765"/>
      <c r="D71" s="1282">
        <f t="shared" si="20"/>
        <v>0</v>
      </c>
      <c r="E71" s="819"/>
      <c r="F71" s="2496"/>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3" t="s">
        <v>2940</v>
      </c>
      <c r="B72" s="2877">
        <f>估价对象房地状况!C19</f>
        <v>0</v>
      </c>
      <c r="C72" s="2765"/>
      <c r="D72" s="1282">
        <f t="shared" si="20"/>
        <v>0</v>
      </c>
      <c r="E72" s="819"/>
      <c r="F72" s="2496"/>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3" t="s">
        <v>2954</v>
      </c>
      <c r="B73" s="2877">
        <f>估价对象房地状况!C24</f>
        <v>0</v>
      </c>
      <c r="C73" s="2765"/>
      <c r="D73" s="1282">
        <f t="shared" si="20"/>
        <v>0</v>
      </c>
      <c r="E73" s="819"/>
      <c r="F73" s="2496"/>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114.75">
      <c r="A74" s="2873" t="s">
        <v>2946</v>
      </c>
      <c r="B74" s="1721"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74" s="2765"/>
      <c r="D74" s="1282">
        <f t="shared" si="20"/>
        <v>0</v>
      </c>
      <c r="E74" s="819"/>
      <c r="F74" s="2496"/>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73" t="s">
        <v>2947</v>
      </c>
      <c r="B75" s="1721">
        <f>估价对象房地状况!C22</f>
        <v>0</v>
      </c>
      <c r="C75" s="2765"/>
      <c r="D75" s="1282">
        <f t="shared" si="20"/>
        <v>0</v>
      </c>
      <c r="E75" s="819"/>
      <c r="F75" s="2496"/>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c r="A76" s="2873" t="s">
        <v>2944</v>
      </c>
      <c r="B76" s="2879" t="s">
        <v>2945</v>
      </c>
      <c r="C76" s="2765"/>
      <c r="D76" s="1282">
        <f t="shared" si="20"/>
        <v>0</v>
      </c>
      <c r="E76" s="819"/>
      <c r="F76" s="2496"/>
      <c r="G76" s="1280"/>
      <c r="H76" s="1284" t="str">
        <f t="shared" si="21"/>
        <v>——</v>
      </c>
      <c r="I76" s="813">
        <v>0.05</v>
      </c>
      <c r="J76" s="1281">
        <f t="shared" si="22"/>
        <v>0</v>
      </c>
      <c r="K76" s="1281">
        <f t="shared" si="23"/>
        <v>0</v>
      </c>
      <c r="L76" s="1281">
        <v>0</v>
      </c>
      <c r="M76" s="1281">
        <f t="shared" si="24"/>
        <v>0</v>
      </c>
      <c r="N76" s="1281">
        <f t="shared" si="24"/>
        <v>0</v>
      </c>
      <c r="AA76" s="2884"/>
      <c r="AB76" s="1367"/>
      <c r="AC76" s="1367"/>
      <c r="AD76" s="1367"/>
      <c r="AE76" s="1367"/>
      <c r="AF76" s="1367"/>
      <c r="AG76" s="1367"/>
      <c r="AH76" s="2884"/>
      <c r="AI76" s="2884"/>
      <c r="AJ76" s="2884"/>
      <c r="AK76" s="2884"/>
    </row>
    <row r="77" spans="1:37" ht="24">
      <c r="A77" s="2873" t="s">
        <v>2948</v>
      </c>
      <c r="B77" s="2876">
        <f>估价对象房地状况!C20</f>
        <v>0</v>
      </c>
      <c r="C77" s="2765"/>
      <c r="D77" s="1282">
        <f t="shared" si="20"/>
        <v>0</v>
      </c>
      <c r="E77" s="819"/>
      <c r="F77" s="2496"/>
      <c r="G77" s="1280"/>
      <c r="H77" s="1284" t="str">
        <f t="shared" si="21"/>
        <v>——</v>
      </c>
      <c r="I77" s="813">
        <v>0.15</v>
      </c>
      <c r="J77" s="1281">
        <f t="shared" si="22"/>
        <v>0</v>
      </c>
      <c r="K77" s="1281">
        <f t="shared" si="23"/>
        <v>0</v>
      </c>
      <c r="L77" s="1281">
        <v>0</v>
      </c>
      <c r="M77" s="1281">
        <f t="shared" si="24"/>
        <v>0</v>
      </c>
      <c r="N77" s="1281">
        <f t="shared" si="24"/>
        <v>0</v>
      </c>
      <c r="Z77" s="2715"/>
      <c r="AA77" s="2791"/>
      <c r="AG77" s="1368"/>
      <c r="AK77" s="2791"/>
    </row>
    <row r="78" spans="1:37" ht="24.75" thickBot="1">
      <c r="A78" s="2881" t="s">
        <v>2955</v>
      </c>
      <c r="B78" s="2885"/>
      <c r="C78" s="2765"/>
      <c r="D78" s="1282">
        <f t="shared" si="20"/>
        <v>0</v>
      </c>
      <c r="E78" s="820"/>
      <c r="F78" s="2496"/>
      <c r="G78" s="1280"/>
      <c r="H78" s="1284" t="str">
        <f t="shared" si="21"/>
        <v>——</v>
      </c>
      <c r="I78" s="817">
        <v>0.04</v>
      </c>
      <c r="J78" s="1281">
        <f t="shared" si="22"/>
        <v>0</v>
      </c>
      <c r="K78" s="1281">
        <f t="shared" si="23"/>
        <v>0</v>
      </c>
      <c r="L78" s="1281">
        <v>0</v>
      </c>
      <c r="M78" s="1281">
        <f t="shared" si="24"/>
        <v>0</v>
      </c>
      <c r="N78" s="1281">
        <f t="shared" si="24"/>
        <v>0</v>
      </c>
      <c r="Z78" s="2715"/>
      <c r="AA78" s="2791"/>
      <c r="AG78" s="1368"/>
      <c r="AK78" s="2791"/>
    </row>
    <row r="79" spans="1:37" ht="15">
      <c r="A79" s="2869" t="s">
        <v>2956</v>
      </c>
      <c r="B79" s="2870">
        <f>1+E81</f>
        <v>1</v>
      </c>
      <c r="C79" s="807"/>
      <c r="D79" s="807"/>
      <c r="E79" s="808"/>
      <c r="F79" s="2872"/>
      <c r="G79" s="6"/>
      <c r="H79" s="6"/>
      <c r="I79" s="6"/>
      <c r="J79" s="7"/>
      <c r="K79" s="7"/>
      <c r="L79" s="7"/>
      <c r="M79" s="7"/>
      <c r="N79" s="7"/>
      <c r="Z79" s="2715"/>
      <c r="AA79" s="2791"/>
      <c r="AG79" s="1368"/>
      <c r="AK79" s="2791"/>
    </row>
    <row r="80" spans="1:37" ht="24.75">
      <c r="A80" s="2873" t="s">
        <v>2930</v>
      </c>
      <c r="B80" s="1805"/>
      <c r="C80" s="1805" t="s">
        <v>2932</v>
      </c>
      <c r="D80" s="1805" t="s">
        <v>2933</v>
      </c>
      <c r="E80" s="812" t="s">
        <v>2934</v>
      </c>
      <c r="F80" s="2874" t="s">
        <v>2950</v>
      </c>
      <c r="G80" s="1805" t="s">
        <v>754</v>
      </c>
      <c r="H80" s="2875" t="s">
        <v>2936</v>
      </c>
      <c r="I80" s="1805" t="s">
        <v>2937</v>
      </c>
      <c r="J80" s="603" t="s">
        <v>2585</v>
      </c>
      <c r="K80" s="603" t="s">
        <v>2586</v>
      </c>
      <c r="L80" s="603" t="s">
        <v>2587</v>
      </c>
      <c r="M80" s="603" t="s">
        <v>2588</v>
      </c>
      <c r="N80" s="603" t="s">
        <v>2589</v>
      </c>
      <c r="Z80" s="2715"/>
      <c r="AA80" s="2791"/>
      <c r="AG80" s="1368"/>
      <c r="AK80" s="2791"/>
    </row>
    <row r="81" spans="1:37" ht="24">
      <c r="A81" s="2873" t="s">
        <v>2957</v>
      </c>
      <c r="B81" s="2877">
        <f>估价对象房地状况!G15</f>
        <v>0</v>
      </c>
      <c r="C81" s="2765"/>
      <c r="D81" s="1282">
        <f t="shared" ref="D81:D88" si="25">SUMIF($J$80:$N$80,C81,J81:N81)</f>
        <v>0</v>
      </c>
      <c r="E81" s="814">
        <f>ROUND(SUM(D81:D88),4)</f>
        <v>0</v>
      </c>
      <c r="F81" s="2496"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5"/>
      <c r="AA81" s="2791"/>
      <c r="AG81" s="1368"/>
      <c r="AK81" s="2791"/>
    </row>
    <row r="82" spans="1:37" ht="14.25">
      <c r="A82" s="2873" t="s">
        <v>2939</v>
      </c>
      <c r="B82" s="2877">
        <f>估价对象房地状况!G16</f>
        <v>0</v>
      </c>
      <c r="C82" s="2765"/>
      <c r="D82" s="1282">
        <f t="shared" si="25"/>
        <v>0</v>
      </c>
      <c r="E82" s="819"/>
      <c r="F82" s="2496"/>
      <c r="G82" s="1280"/>
      <c r="H82" s="1284" t="str">
        <f t="shared" si="26"/>
        <v>——</v>
      </c>
      <c r="I82" s="813">
        <v>0.33</v>
      </c>
      <c r="J82" s="1281">
        <f t="shared" si="27"/>
        <v>0</v>
      </c>
      <c r="K82" s="1281">
        <f t="shared" si="28"/>
        <v>0</v>
      </c>
      <c r="L82" s="1281">
        <v>0</v>
      </c>
      <c r="M82" s="1281">
        <f t="shared" si="29"/>
        <v>0</v>
      </c>
      <c r="N82" s="1281">
        <f t="shared" si="29"/>
        <v>0</v>
      </c>
      <c r="Z82" s="2715"/>
      <c r="AA82" s="2791"/>
      <c r="AG82" s="1368"/>
      <c r="AK82" s="2791"/>
    </row>
    <row r="83" spans="1:37" ht="24">
      <c r="A83" s="2873" t="s">
        <v>2940</v>
      </c>
      <c r="B83" s="2877">
        <f>估价对象房地状况!G17</f>
        <v>0</v>
      </c>
      <c r="C83" s="2765"/>
      <c r="D83" s="1282">
        <f t="shared" si="25"/>
        <v>0</v>
      </c>
      <c r="E83" s="819"/>
      <c r="F83" s="2496"/>
      <c r="G83" s="1280"/>
      <c r="H83" s="1284" t="str">
        <f t="shared" si="26"/>
        <v>——</v>
      </c>
      <c r="I83" s="813">
        <v>0.05</v>
      </c>
      <c r="J83" s="1281">
        <f t="shared" si="27"/>
        <v>0</v>
      </c>
      <c r="K83" s="1281">
        <f t="shared" si="28"/>
        <v>0</v>
      </c>
      <c r="L83" s="1281">
        <v>0</v>
      </c>
      <c r="M83" s="1281">
        <f t="shared" si="29"/>
        <v>0</v>
      </c>
      <c r="N83" s="1281">
        <f t="shared" si="29"/>
        <v>0</v>
      </c>
      <c r="Z83" s="2715"/>
      <c r="AA83" s="2791"/>
      <c r="AG83" s="1368"/>
      <c r="AK83" s="2791"/>
    </row>
    <row r="84" spans="1:37" ht="14.25">
      <c r="A84" s="2873" t="s">
        <v>2954</v>
      </c>
      <c r="B84" s="2877">
        <f>估价对象房地状况!G22</f>
        <v>0</v>
      </c>
      <c r="C84" s="2765"/>
      <c r="D84" s="1282">
        <f t="shared" si="25"/>
        <v>0</v>
      </c>
      <c r="E84" s="819"/>
      <c r="F84" s="2496"/>
      <c r="G84" s="1280"/>
      <c r="H84" s="1284" t="str">
        <f t="shared" si="26"/>
        <v>——</v>
      </c>
      <c r="I84" s="813">
        <v>0.04</v>
      </c>
      <c r="J84" s="1281">
        <f t="shared" si="27"/>
        <v>0</v>
      </c>
      <c r="K84" s="1281">
        <f t="shared" si="28"/>
        <v>0</v>
      </c>
      <c r="L84" s="1281">
        <v>0</v>
      </c>
      <c r="M84" s="1281">
        <f t="shared" si="29"/>
        <v>0</v>
      </c>
      <c r="N84" s="1281">
        <f t="shared" si="29"/>
        <v>0</v>
      </c>
      <c r="Z84" s="2715"/>
      <c r="AA84" s="2791"/>
      <c r="AG84" s="1368"/>
      <c r="AK84" s="2791"/>
    </row>
    <row r="85" spans="1:37" ht="24">
      <c r="A85" s="2873" t="s">
        <v>2946</v>
      </c>
      <c r="B85" s="1721">
        <f>估价对象房地状况!G19</f>
        <v>0</v>
      </c>
      <c r="C85" s="2765"/>
      <c r="D85" s="1282">
        <f t="shared" si="25"/>
        <v>0</v>
      </c>
      <c r="E85" s="819"/>
      <c r="F85" s="2496"/>
      <c r="G85" s="1280"/>
      <c r="H85" s="1284" t="str">
        <f t="shared" si="26"/>
        <v>——</v>
      </c>
      <c r="I85" s="813">
        <v>0.06</v>
      </c>
      <c r="J85" s="1281">
        <f t="shared" si="27"/>
        <v>0</v>
      </c>
      <c r="K85" s="1281">
        <f t="shared" si="28"/>
        <v>0</v>
      </c>
      <c r="L85" s="1281">
        <v>0</v>
      </c>
      <c r="M85" s="1281">
        <f t="shared" si="29"/>
        <v>0</v>
      </c>
      <c r="N85" s="1281">
        <f t="shared" si="29"/>
        <v>0</v>
      </c>
      <c r="Z85" s="2715"/>
      <c r="AA85" s="2791"/>
      <c r="AG85" s="1368"/>
      <c r="AK85" s="2791"/>
    </row>
    <row r="86" spans="1:37" ht="24">
      <c r="A86" s="2873" t="s">
        <v>2947</v>
      </c>
      <c r="B86" s="1721">
        <f>估价对象房地状况!G20</f>
        <v>0</v>
      </c>
      <c r="C86" s="2765"/>
      <c r="D86" s="1282">
        <f t="shared" si="25"/>
        <v>0</v>
      </c>
      <c r="E86" s="819"/>
      <c r="F86" s="2496"/>
      <c r="G86" s="1280"/>
      <c r="H86" s="1284" t="str">
        <f t="shared" si="26"/>
        <v>——</v>
      </c>
      <c r="I86" s="813">
        <v>0.15</v>
      </c>
      <c r="J86" s="1281">
        <f t="shared" si="27"/>
        <v>0</v>
      </c>
      <c r="K86" s="1281">
        <f t="shared" si="28"/>
        <v>0</v>
      </c>
      <c r="L86" s="1281">
        <v>0</v>
      </c>
      <c r="M86" s="1281">
        <f t="shared" si="29"/>
        <v>0</v>
      </c>
      <c r="N86" s="1281">
        <f t="shared" si="29"/>
        <v>0</v>
      </c>
      <c r="Z86" s="2715"/>
      <c r="AA86" s="2791"/>
      <c r="AG86" s="1368"/>
      <c r="AK86" s="2791"/>
    </row>
    <row r="87" spans="1:37" ht="24">
      <c r="A87" s="2873" t="s">
        <v>2944</v>
      </c>
      <c r="B87" s="2879" t="s">
        <v>2958</v>
      </c>
      <c r="C87" s="2765"/>
      <c r="D87" s="1282">
        <f t="shared" si="25"/>
        <v>0</v>
      </c>
      <c r="E87" s="819"/>
      <c r="F87" s="2496"/>
      <c r="G87" s="1280"/>
      <c r="H87" s="1284" t="str">
        <f t="shared" si="26"/>
        <v>——</v>
      </c>
      <c r="I87" s="813">
        <v>0.05</v>
      </c>
      <c r="J87" s="1281">
        <f t="shared" si="27"/>
        <v>0</v>
      </c>
      <c r="K87" s="1281">
        <f t="shared" si="28"/>
        <v>0</v>
      </c>
      <c r="L87" s="1281">
        <v>0</v>
      </c>
      <c r="M87" s="1281">
        <f t="shared" si="29"/>
        <v>0</v>
      </c>
      <c r="N87" s="1281">
        <f t="shared" si="29"/>
        <v>0</v>
      </c>
      <c r="Z87" s="2715"/>
      <c r="AA87" s="2791"/>
      <c r="AG87" s="1368"/>
      <c r="AK87" s="2791"/>
    </row>
    <row r="88" spans="1:37" ht="15" thickBot="1">
      <c r="A88" s="2881" t="s">
        <v>2959</v>
      </c>
      <c r="B88" s="2886">
        <f>估价对象房地状况!G18</f>
        <v>0</v>
      </c>
      <c r="C88" s="2765"/>
      <c r="D88" s="1282">
        <f t="shared" si="25"/>
        <v>0</v>
      </c>
      <c r="E88" s="820"/>
      <c r="F88" s="2496"/>
      <c r="G88" s="1280"/>
      <c r="H88" s="1284" t="str">
        <f t="shared" si="26"/>
        <v>——</v>
      </c>
      <c r="I88" s="817">
        <v>0.06</v>
      </c>
      <c r="J88" s="1281">
        <f t="shared" si="27"/>
        <v>0</v>
      </c>
      <c r="K88" s="1281">
        <f t="shared" si="28"/>
        <v>0</v>
      </c>
      <c r="L88" s="1281">
        <v>0</v>
      </c>
      <c r="M88" s="1281">
        <f t="shared" si="29"/>
        <v>0</v>
      </c>
      <c r="N88" s="1281">
        <f t="shared" si="29"/>
        <v>0</v>
      </c>
      <c r="Z88" s="2715"/>
      <c r="AA88" s="2791"/>
      <c r="AG88" s="1368"/>
      <c r="AK88" s="2791"/>
    </row>
    <row r="90" spans="1:37">
      <c r="A90" s="3380" t="s">
        <v>2960</v>
      </c>
      <c r="B90" s="3380"/>
      <c r="C90" s="3380"/>
      <c r="D90" s="3380"/>
      <c r="E90" s="3380"/>
      <c r="F90" s="3380"/>
      <c r="G90" s="3380"/>
      <c r="H90" s="3380"/>
      <c r="I90" s="3380"/>
      <c r="J90" s="3380"/>
      <c r="K90" s="2887"/>
      <c r="L90" s="2887"/>
      <c r="M90" s="2887"/>
      <c r="N90" s="2887"/>
    </row>
    <row r="91" spans="1:37">
      <c r="A91" s="3382" t="s">
        <v>2961</v>
      </c>
      <c r="B91" s="3382" t="s">
        <v>2962</v>
      </c>
      <c r="C91" s="2841" t="s">
        <v>2963</v>
      </c>
      <c r="D91" s="2842"/>
      <c r="E91" s="2842"/>
      <c r="F91" s="2842"/>
      <c r="G91" s="2842"/>
      <c r="H91" s="2842"/>
      <c r="I91" s="2842"/>
      <c r="J91" s="2888"/>
      <c r="K91" s="2889"/>
      <c r="L91" s="2889"/>
      <c r="M91" s="2889"/>
      <c r="N91" s="2889"/>
    </row>
    <row r="92" spans="1:37">
      <c r="A92" s="3382"/>
      <c r="B92" s="3382"/>
      <c r="C92" s="938" t="s">
        <v>2827</v>
      </c>
      <c r="D92" s="938" t="s">
        <v>2828</v>
      </c>
      <c r="E92" s="938" t="s">
        <v>2829</v>
      </c>
      <c r="F92" s="938" t="s">
        <v>2830</v>
      </c>
      <c r="G92" s="938" t="s">
        <v>2831</v>
      </c>
      <c r="H92" s="938" t="s">
        <v>2832</v>
      </c>
      <c r="I92" s="938" t="s">
        <v>2833</v>
      </c>
      <c r="J92" s="938" t="s">
        <v>2834</v>
      </c>
      <c r="K92" s="938" t="s">
        <v>2835</v>
      </c>
      <c r="L92" s="938" t="s">
        <v>2836</v>
      </c>
      <c r="M92" s="938" t="s">
        <v>2837</v>
      </c>
      <c r="N92" s="938" t="s">
        <v>2838</v>
      </c>
    </row>
    <row r="93" spans="1:37">
      <c r="A93" s="3383" t="s">
        <v>2964</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84"/>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84"/>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84"/>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84"/>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84"/>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84"/>
      <c r="B99" s="2890" t="s">
        <v>2843</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85"/>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83" t="s">
        <v>2965</v>
      </c>
      <c r="B101" s="2894" t="s">
        <v>2966</v>
      </c>
      <c r="C101" s="2895">
        <f>$G$3</f>
        <v>11</v>
      </c>
      <c r="D101" s="2895">
        <f t="shared" ref="D101:N101" si="31">$G$3</f>
        <v>11</v>
      </c>
      <c r="E101" s="2895">
        <f t="shared" si="31"/>
        <v>11</v>
      </c>
      <c r="F101" s="2895">
        <f t="shared" si="31"/>
        <v>11</v>
      </c>
      <c r="G101" s="2895">
        <f t="shared" si="31"/>
        <v>11</v>
      </c>
      <c r="H101" s="2895">
        <f t="shared" si="31"/>
        <v>11</v>
      </c>
      <c r="I101" s="2895">
        <f t="shared" si="31"/>
        <v>11</v>
      </c>
      <c r="J101" s="2895">
        <f t="shared" si="31"/>
        <v>11</v>
      </c>
      <c r="K101" s="2895">
        <f t="shared" si="31"/>
        <v>11</v>
      </c>
      <c r="L101" s="2895">
        <f t="shared" si="31"/>
        <v>11</v>
      </c>
      <c r="M101" s="2895">
        <f t="shared" si="31"/>
        <v>11</v>
      </c>
      <c r="N101" s="2895">
        <f t="shared" si="31"/>
        <v>11</v>
      </c>
    </row>
    <row r="102" spans="1:14">
      <c r="A102" s="3384"/>
      <c r="B102" s="2890">
        <v>1</v>
      </c>
      <c r="C102" s="2891">
        <f>1.9362/C101</f>
        <v>0.17601818181818182</v>
      </c>
      <c r="D102" s="2891">
        <f>1.9362/D101</f>
        <v>0.17601818181818182</v>
      </c>
      <c r="E102" s="2891">
        <f>1.8629/E101</f>
        <v>0.16935454545454545</v>
      </c>
      <c r="F102" s="2891">
        <f>1.8629/F101</f>
        <v>0.16935454545454545</v>
      </c>
      <c r="G102" s="2891">
        <f>1.8629/G101</f>
        <v>0.16935454545454545</v>
      </c>
      <c r="H102" s="2891">
        <f>1.8629/H101</f>
        <v>0.16935454545454545</v>
      </c>
      <c r="I102" s="2891">
        <f>1.8629/I101</f>
        <v>0.16935454545454545</v>
      </c>
      <c r="J102" s="2891">
        <f>1.942/J101</f>
        <v>0.17654545454545453</v>
      </c>
      <c r="K102" s="2891">
        <f>1.942/K101</f>
        <v>0.17654545454545453</v>
      </c>
      <c r="L102" s="2891">
        <f>1.942/L101</f>
        <v>0.17654545454545453</v>
      </c>
      <c r="M102" s="2891">
        <f>1.942/M101</f>
        <v>0.17654545454545453</v>
      </c>
      <c r="N102" s="2891">
        <f>1.942/N101</f>
        <v>0.17654545454545453</v>
      </c>
    </row>
    <row r="103" spans="1:14">
      <c r="A103" s="3384"/>
      <c r="B103" s="2890">
        <v>2</v>
      </c>
      <c r="C103" s="2891">
        <f>1.4198/C101</f>
        <v>0.12907272727272726</v>
      </c>
      <c r="D103" s="2891">
        <f>1.4198/D101</f>
        <v>0.12907272727272726</v>
      </c>
      <c r="E103" s="2891">
        <f>1.3372/E101</f>
        <v>0.12156363636363636</v>
      </c>
      <c r="F103" s="2891">
        <f>1.3372/F101</f>
        <v>0.12156363636363636</v>
      </c>
      <c r="G103" s="2891">
        <f>1.3372/G101</f>
        <v>0.12156363636363636</v>
      </c>
      <c r="H103" s="2891">
        <f>1.3372/H101</f>
        <v>0.12156363636363636</v>
      </c>
      <c r="I103" s="2891">
        <f>1.3372/I101</f>
        <v>0.12156363636363636</v>
      </c>
      <c r="J103" s="2891">
        <f>1.2799/J101</f>
        <v>0.11635454545454546</v>
      </c>
      <c r="K103" s="2891">
        <f>1.2799/K101</f>
        <v>0.11635454545454546</v>
      </c>
      <c r="L103" s="2891">
        <f>1.2799/L101</f>
        <v>0.11635454545454546</v>
      </c>
      <c r="M103" s="2891">
        <f>1.2799/M101</f>
        <v>0.11635454545454546</v>
      </c>
      <c r="N103" s="2891">
        <f>1.2799/N101</f>
        <v>0.11635454545454546</v>
      </c>
    </row>
    <row r="104" spans="1:14">
      <c r="A104" s="3384"/>
      <c r="B104" s="2890">
        <v>3</v>
      </c>
      <c r="C104" s="2891">
        <f>1.1594/C101</f>
        <v>0.10539999999999999</v>
      </c>
      <c r="D104" s="2891">
        <f>1.1594/D101</f>
        <v>0.10539999999999999</v>
      </c>
      <c r="E104" s="2891">
        <f>1.0788/E101</f>
        <v>9.807272727272727E-2</v>
      </c>
      <c r="F104" s="2891">
        <f>1.0788/F101</f>
        <v>9.807272727272727E-2</v>
      </c>
      <c r="G104" s="2891">
        <f>1.0788/G101</f>
        <v>9.807272727272727E-2</v>
      </c>
      <c r="H104" s="2891">
        <f>1.0788/H101</f>
        <v>9.807272727272727E-2</v>
      </c>
      <c r="I104" s="2891">
        <f>1.0788/I101</f>
        <v>9.807272727272727E-2</v>
      </c>
      <c r="J104" s="2891">
        <f>1.0072/J101</f>
        <v>9.1563636363636375E-2</v>
      </c>
      <c r="K104" s="2891">
        <f>1.0072/K101</f>
        <v>9.1563636363636375E-2</v>
      </c>
      <c r="L104" s="2891">
        <f>1.0072/L101</f>
        <v>9.1563636363636375E-2</v>
      </c>
      <c r="M104" s="2891">
        <f>1.0072/M101</f>
        <v>9.1563636363636375E-2</v>
      </c>
      <c r="N104" s="2891">
        <f>1.0072/N101</f>
        <v>9.1563636363636375E-2</v>
      </c>
    </row>
    <row r="105" spans="1:14">
      <c r="A105" s="3384"/>
      <c r="B105" s="2890">
        <v>4</v>
      </c>
      <c r="C105" s="2891">
        <f>0.9622/C101</f>
        <v>8.7472727272727271E-2</v>
      </c>
      <c r="D105" s="2891">
        <f>0.9622/D101</f>
        <v>8.7472727272727271E-2</v>
      </c>
      <c r="E105" s="2891">
        <f>0.8656/E101</f>
        <v>7.8690909090909089E-2</v>
      </c>
      <c r="F105" s="2891">
        <f>0.8656/F101</f>
        <v>7.8690909090909089E-2</v>
      </c>
      <c r="G105" s="2891">
        <f>0.8656/G101</f>
        <v>7.8690909090909089E-2</v>
      </c>
      <c r="H105" s="2891">
        <f>0.8656/H101</f>
        <v>7.8690909090909089E-2</v>
      </c>
      <c r="I105" s="2891">
        <f>0.8656/I101</f>
        <v>7.8690909090909089E-2</v>
      </c>
      <c r="J105" s="2891">
        <f>0.7525/J101</f>
        <v>6.8409090909090906E-2</v>
      </c>
      <c r="K105" s="2891">
        <f>0.7525/K101</f>
        <v>6.8409090909090906E-2</v>
      </c>
      <c r="L105" s="2891">
        <f>0.7525/L101</f>
        <v>6.8409090909090906E-2</v>
      </c>
      <c r="M105" s="2891">
        <f>0.7525/M101</f>
        <v>6.8409090909090906E-2</v>
      </c>
      <c r="N105" s="2891">
        <f>0.7525/N101</f>
        <v>6.8409090909090906E-2</v>
      </c>
    </row>
    <row r="106" spans="1:14">
      <c r="A106" s="3384"/>
      <c r="B106" s="2890">
        <v>5</v>
      </c>
      <c r="C106" s="2891">
        <f>0.8417/C101</f>
        <v>7.6518181818181819E-2</v>
      </c>
      <c r="D106" s="2891">
        <f>0.8417/D101</f>
        <v>7.6518181818181819E-2</v>
      </c>
      <c r="E106" s="2891">
        <f>0.7371/E101</f>
        <v>6.7009090909090907E-2</v>
      </c>
      <c r="F106" s="2891">
        <f>0.7371/F101</f>
        <v>6.7009090909090907E-2</v>
      </c>
      <c r="G106" s="2891">
        <f>0.7371/G101</f>
        <v>6.7009090909090907E-2</v>
      </c>
      <c r="H106" s="2891">
        <f>0.7371/H101</f>
        <v>6.7009090909090907E-2</v>
      </c>
      <c r="I106" s="2891">
        <f>0.7371/I101</f>
        <v>6.7009090909090907E-2</v>
      </c>
      <c r="J106" s="2891">
        <f>0.5659/J101</f>
        <v>5.1445454545454544E-2</v>
      </c>
      <c r="K106" s="2891">
        <f>0.5659/K101</f>
        <v>5.1445454545454544E-2</v>
      </c>
      <c r="L106" s="2891">
        <f>0.5659/L101</f>
        <v>5.1445454545454544E-2</v>
      </c>
      <c r="M106" s="2891">
        <f>0.5659/M101</f>
        <v>5.1445454545454544E-2</v>
      </c>
      <c r="N106" s="2891">
        <f>0.5659/N101</f>
        <v>5.1445454545454544E-2</v>
      </c>
    </row>
    <row r="107" spans="1:14">
      <c r="A107" s="3384"/>
      <c r="B107" s="2890">
        <v>6</v>
      </c>
      <c r="C107" s="2891">
        <f>0.7608/C101</f>
        <v>6.9163636363636372E-2</v>
      </c>
      <c r="D107" s="2891">
        <f>0.7608/D101</f>
        <v>6.9163636363636372E-2</v>
      </c>
      <c r="E107" s="2891">
        <f>0.6482/E101</f>
        <v>5.8927272727272724E-2</v>
      </c>
      <c r="F107" s="2891">
        <f>0.6482/F101</f>
        <v>5.8927272727272724E-2</v>
      </c>
      <c r="G107" s="2891">
        <f>0.6482/G101</f>
        <v>5.8927272727272724E-2</v>
      </c>
      <c r="H107" s="2891">
        <f>0.6482/H101</f>
        <v>5.8927272727272724E-2</v>
      </c>
      <c r="I107" s="2891">
        <f>0.6482/I101</f>
        <v>5.8927272727272724E-2</v>
      </c>
      <c r="J107" s="2891">
        <f>0.4525/J101</f>
        <v>4.1136363636363638E-2</v>
      </c>
      <c r="K107" s="2891">
        <f>0.4525/K101</f>
        <v>4.1136363636363638E-2</v>
      </c>
      <c r="L107" s="2891">
        <f>0.4525/L101</f>
        <v>4.1136363636363638E-2</v>
      </c>
      <c r="M107" s="2891">
        <f>0.4525/M101</f>
        <v>4.1136363636363638E-2</v>
      </c>
      <c r="N107" s="2891">
        <f>0.4525/N101</f>
        <v>4.1136363636363638E-2</v>
      </c>
    </row>
    <row r="108" spans="1:14">
      <c r="A108" s="3384"/>
      <c r="B108" s="3234" t="s">
        <v>2967</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85"/>
      <c r="B109" s="3235"/>
      <c r="C109" s="2893">
        <f>(-0.163*(C108^2)-0.59*C108+7617)*(10^(-4))/C101</f>
        <v>6.9245454545454554E-2</v>
      </c>
      <c r="D109" s="2893">
        <f>(-0.163*(D108^2)-0.59*D108+7617)*(10^(-4))/D101</f>
        <v>6.9245454545454554E-2</v>
      </c>
      <c r="E109" s="2893">
        <f>(-0.161*(E108^2)-7.509*E108+6533)*(10^(-4))/E101</f>
        <v>5.9390909090909091E-2</v>
      </c>
      <c r="F109" s="2893">
        <f>(-0.161*(F108^2)-7.509*F108+6533)*(10^(-4))/F101</f>
        <v>5.9390909090909091E-2</v>
      </c>
      <c r="G109" s="2893">
        <f>(-0.161*(G108^2)-7.509*G108+6533)*(10^(-4))/G101</f>
        <v>5.9390909090909091E-2</v>
      </c>
      <c r="H109" s="2893">
        <f>(-0.161*(H108^2)-7.509*H108+6533)*(10^(-4))/H101</f>
        <v>5.9390909090909091E-2</v>
      </c>
      <c r="I109" s="2893">
        <f>(-0.161*(I108^2)-7.509*I108+6533)*(10^(-4))/I101</f>
        <v>5.9390909090909091E-2</v>
      </c>
      <c r="J109" s="2893">
        <f>(-0.214*(J108^2)-21.991*J108+4665)*(10^(-4))/J101</f>
        <v>4.240909090909091E-2</v>
      </c>
      <c r="K109" s="2893">
        <f>(-0.214*(K108^2)-21.991*K108+4665)*(10^(-4))/K101</f>
        <v>4.240909090909091E-2</v>
      </c>
      <c r="L109" s="2893">
        <f>(-0.214*(L108^2)-21.991*L108+4665)*(10^(-4))/L101</f>
        <v>4.240909090909091E-2</v>
      </c>
      <c r="M109" s="2893">
        <f>(-0.214*(M108^2)-21.991*M108+4665)*(10^(-4))/M101</f>
        <v>4.240909090909091E-2</v>
      </c>
      <c r="N109" s="2893">
        <f>(-0.214*(N108^2)-21.991*N108+4665)*(10^(-4))/N101</f>
        <v>4.240909090909091E-2</v>
      </c>
    </row>
    <row r="110" spans="1:14">
      <c r="A110" s="3381" t="s">
        <v>2968</v>
      </c>
      <c r="B110" s="3381"/>
      <c r="C110" s="3381"/>
      <c r="D110" s="3381"/>
      <c r="E110" s="3381"/>
      <c r="F110" s="3381"/>
      <c r="G110" s="3381"/>
      <c r="H110" s="3381"/>
      <c r="I110" s="3381"/>
      <c r="J110" s="3381"/>
      <c r="K110" s="2896"/>
      <c r="L110" s="2896"/>
      <c r="M110" s="2896"/>
      <c r="N110" s="2896"/>
    </row>
    <row r="112" spans="1:14" ht="13.5" thickBot="1"/>
    <row r="113" spans="1:13" ht="25.5" thickBot="1">
      <c r="A113" s="896" t="s">
        <v>2969</v>
      </c>
      <c r="B113" s="1283">
        <f>G3</f>
        <v>11</v>
      </c>
      <c r="C113" s="897" t="s">
        <v>2970</v>
      </c>
      <c r="D113" s="898">
        <f>SUMPRODUCT((A115:A118=F113)*(B114:M114=H113)*B115:M118)</f>
        <v>0</v>
      </c>
      <c r="E113" s="2719" t="s">
        <v>2800</v>
      </c>
      <c r="F113" s="2898">
        <f>E2</f>
        <v>0</v>
      </c>
      <c r="G113" s="2719" t="s">
        <v>2801</v>
      </c>
      <c r="H113" s="2898">
        <f>G2</f>
        <v>0</v>
      </c>
      <c r="I113" s="2719"/>
      <c r="J113" s="2899"/>
      <c r="K113" s="2899"/>
      <c r="L113" s="2899"/>
      <c r="M113" s="2899"/>
    </row>
    <row r="114" spans="1:13">
      <c r="A114" s="901"/>
      <c r="B114" s="2900" t="s">
        <v>2971</v>
      </c>
      <c r="C114" s="2900" t="s">
        <v>2972</v>
      </c>
      <c r="D114" s="2900" t="s">
        <v>2973</v>
      </c>
      <c r="E114" s="2901" t="s">
        <v>2974</v>
      </c>
      <c r="F114" s="2901" t="s">
        <v>2975</v>
      </c>
      <c r="G114" s="2901" t="s">
        <v>2976</v>
      </c>
      <c r="H114" s="2902" t="s">
        <v>2977</v>
      </c>
      <c r="I114" s="2902" t="s">
        <v>2978</v>
      </c>
      <c r="J114" s="2903" t="s">
        <v>2979</v>
      </c>
      <c r="K114" s="2903" t="s">
        <v>2980</v>
      </c>
      <c r="L114" s="2903" t="s">
        <v>2981</v>
      </c>
      <c r="M114" s="2904" t="s">
        <v>2982</v>
      </c>
    </row>
    <row r="115" spans="1:13">
      <c r="A115" s="902" t="s">
        <v>2865</v>
      </c>
      <c r="B115" s="903">
        <f>ROUND(0.9335-0.0094*B113,4)</f>
        <v>0.83009999999999995</v>
      </c>
      <c r="C115" s="903">
        <f>B115</f>
        <v>0.83009999999999995</v>
      </c>
      <c r="D115" s="903">
        <f>ROUND(0.8331-0.0109*B113,4)</f>
        <v>0.71319999999999995</v>
      </c>
      <c r="E115" s="903">
        <f>D115</f>
        <v>0.71319999999999995</v>
      </c>
      <c r="F115" s="903">
        <f>E115</f>
        <v>0.71319999999999995</v>
      </c>
      <c r="G115" s="903">
        <f>F115</f>
        <v>0.71319999999999995</v>
      </c>
      <c r="H115" s="903">
        <f>G115</f>
        <v>0.71319999999999995</v>
      </c>
      <c r="I115" s="903">
        <f>ROUND(0.689-0.0155*B113,4)</f>
        <v>0.51849999999999996</v>
      </c>
      <c r="J115" s="903">
        <f t="shared" ref="J115:M118" si="33">I115</f>
        <v>0.51849999999999996</v>
      </c>
      <c r="K115" s="903">
        <f t="shared" si="33"/>
        <v>0.51849999999999996</v>
      </c>
      <c r="L115" s="903">
        <f t="shared" si="33"/>
        <v>0.51849999999999996</v>
      </c>
      <c r="M115" s="904">
        <f t="shared" si="33"/>
        <v>0.51849999999999996</v>
      </c>
    </row>
    <row r="116" spans="1:13">
      <c r="A116" s="902" t="s">
        <v>2866</v>
      </c>
      <c r="B116" s="903">
        <f>ROUND(0.949-0.012*B113,4)</f>
        <v>0.81699999999999995</v>
      </c>
      <c r="C116" s="903">
        <f>B116</f>
        <v>0.81699999999999995</v>
      </c>
      <c r="D116" s="903">
        <f>ROUND(0.8567-0.013*B113,4)</f>
        <v>0.7137</v>
      </c>
      <c r="E116" s="903">
        <f t="shared" ref="E116:H117" si="34">D116</f>
        <v>0.7137</v>
      </c>
      <c r="F116" s="903">
        <f t="shared" si="34"/>
        <v>0.7137</v>
      </c>
      <c r="G116" s="903">
        <f t="shared" si="34"/>
        <v>0.7137</v>
      </c>
      <c r="H116" s="903">
        <f t="shared" si="34"/>
        <v>0.7137</v>
      </c>
      <c r="I116" s="903">
        <f>ROUND(0.7694-0.014*B113,4)</f>
        <v>0.61539999999999995</v>
      </c>
      <c r="J116" s="903">
        <f t="shared" si="33"/>
        <v>0.61539999999999995</v>
      </c>
      <c r="K116" s="903">
        <f t="shared" si="33"/>
        <v>0.61539999999999995</v>
      </c>
      <c r="L116" s="903">
        <f t="shared" si="33"/>
        <v>0.61539999999999995</v>
      </c>
      <c r="M116" s="904">
        <f t="shared" si="33"/>
        <v>0.61539999999999995</v>
      </c>
    </row>
    <row r="117" spans="1:13">
      <c r="A117" s="902" t="s">
        <v>2867</v>
      </c>
      <c r="B117" s="903">
        <f>ROUND(0.8808-0.006*B113,4)</f>
        <v>0.81479999999999997</v>
      </c>
      <c r="C117" s="903">
        <f>B117</f>
        <v>0.81479999999999997</v>
      </c>
      <c r="D117" s="903">
        <f>ROUND(0.8748-0.008*B113,4)</f>
        <v>0.78680000000000005</v>
      </c>
      <c r="E117" s="903">
        <f t="shared" si="34"/>
        <v>0.78680000000000005</v>
      </c>
      <c r="F117" s="903">
        <f t="shared" si="34"/>
        <v>0.78680000000000005</v>
      </c>
      <c r="G117" s="903">
        <f t="shared" si="34"/>
        <v>0.78680000000000005</v>
      </c>
      <c r="H117" s="903">
        <f t="shared" si="34"/>
        <v>0.78680000000000005</v>
      </c>
      <c r="I117" s="903">
        <f>ROUND(0.7412-0.0095*B113,4)</f>
        <v>0.63670000000000004</v>
      </c>
      <c r="J117" s="903">
        <f t="shared" si="33"/>
        <v>0.63670000000000004</v>
      </c>
      <c r="K117" s="903">
        <f t="shared" si="33"/>
        <v>0.63670000000000004</v>
      </c>
      <c r="L117" s="903">
        <f t="shared" si="33"/>
        <v>0.63670000000000004</v>
      </c>
      <c r="M117" s="904">
        <f t="shared" si="33"/>
        <v>0.63670000000000004</v>
      </c>
    </row>
    <row r="118" spans="1:13" ht="13.5" thickBot="1">
      <c r="A118" s="712" t="s">
        <v>2868</v>
      </c>
      <c r="B118" s="905">
        <f>ROUND(0.7275-0.01*B113,4)</f>
        <v>0.61750000000000005</v>
      </c>
      <c r="C118" s="905">
        <f>B118</f>
        <v>0.61750000000000005</v>
      </c>
      <c r="D118" s="905">
        <f>ROUND(0.7043-0.012*B113,4)</f>
        <v>0.57230000000000003</v>
      </c>
      <c r="E118" s="905">
        <f>D118</f>
        <v>0.57230000000000003</v>
      </c>
      <c r="F118" s="905">
        <f>E118</f>
        <v>0.57230000000000003</v>
      </c>
      <c r="G118" s="905">
        <f>ROUND(0.6299-0.0122*B113,4)</f>
        <v>0.49569999999999997</v>
      </c>
      <c r="H118" s="905">
        <f>G118</f>
        <v>0.49569999999999997</v>
      </c>
      <c r="I118" s="905">
        <f>ROUND(0.5667-0.0136*B113,4)</f>
        <v>0.41710000000000003</v>
      </c>
      <c r="J118" s="905">
        <f t="shared" si="33"/>
        <v>0.41710000000000003</v>
      </c>
      <c r="K118" s="905">
        <f t="shared" si="33"/>
        <v>0.41710000000000003</v>
      </c>
      <c r="L118" s="905">
        <f t="shared" si="33"/>
        <v>0.41710000000000003</v>
      </c>
      <c r="M118" s="906">
        <f t="shared" si="33"/>
        <v>0.41710000000000003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2"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1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09" customWidth="1"/>
    <col min="2" max="9" width="8.125" style="871" customWidth="1"/>
    <col min="10" max="13" width="8.125" style="809"/>
    <col min="14" max="14" width="10" style="809" customWidth="1"/>
    <col min="15" max="16" width="8.125" style="809"/>
    <col min="17" max="17" width="34.125" style="809" customWidth="1"/>
    <col min="18" max="18" width="8.125" style="809" customWidth="1"/>
    <col min="19" max="19" width="8.125" style="809"/>
    <col min="20" max="20" width="11.625" style="809" customWidth="1"/>
    <col min="21" max="16384" width="8.1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89" t="s">
        <v>183</v>
      </c>
      <c r="B18" s="875" t="s">
        <v>560</v>
      </c>
      <c r="C18" s="876" t="s">
        <v>561</v>
      </c>
      <c r="D18" s="877"/>
      <c r="E18" s="875">
        <v>1</v>
      </c>
      <c r="F18" s="878" t="s">
        <v>562</v>
      </c>
      <c r="G18" s="879"/>
      <c r="H18" s="871"/>
      <c r="I18" s="871"/>
    </row>
    <row r="19" spans="1:9" s="880" customFormat="1" ht="19.5" customHeight="1">
      <c r="A19" s="3389"/>
      <c r="B19" s="3389" t="s">
        <v>563</v>
      </c>
      <c r="C19" s="876" t="s">
        <v>564</v>
      </c>
      <c r="D19" s="877"/>
      <c r="E19" s="875">
        <v>0.9</v>
      </c>
      <c r="F19" s="878" t="s">
        <v>565</v>
      </c>
      <c r="G19" s="879"/>
      <c r="H19" s="871"/>
      <c r="I19" s="871"/>
    </row>
    <row r="20" spans="1:9" s="880" customFormat="1" ht="19.5" customHeight="1">
      <c r="A20" s="3389"/>
      <c r="B20" s="3389"/>
      <c r="C20" s="876" t="s">
        <v>566</v>
      </c>
      <c r="D20" s="877"/>
      <c r="E20" s="875">
        <v>1.1000000000000001</v>
      </c>
      <c r="F20" s="878" t="s">
        <v>567</v>
      </c>
      <c r="G20" s="879"/>
      <c r="H20" s="871"/>
      <c r="I20" s="871"/>
    </row>
    <row r="21" spans="1:9" s="880" customFormat="1" ht="19.5" customHeight="1">
      <c r="A21" s="3389"/>
      <c r="B21" s="3389"/>
      <c r="C21" s="876" t="s">
        <v>568</v>
      </c>
      <c r="D21" s="877"/>
      <c r="E21" s="875">
        <v>0.8</v>
      </c>
      <c r="F21" s="878" t="s">
        <v>569</v>
      </c>
      <c r="G21" s="879"/>
      <c r="H21" s="871"/>
      <c r="I21" s="871"/>
    </row>
    <row r="22" spans="1:9" s="880" customFormat="1" ht="19.5" customHeight="1">
      <c r="A22" s="3389"/>
      <c r="B22" s="3389"/>
      <c r="C22" s="876" t="s">
        <v>570</v>
      </c>
      <c r="D22" s="877"/>
      <c r="E22" s="875">
        <v>0.5</v>
      </c>
      <c r="F22" s="878"/>
      <c r="G22" s="879"/>
      <c r="H22" s="871"/>
      <c r="I22" s="871"/>
    </row>
    <row r="23" spans="1:9" s="880" customFormat="1" ht="19.5" customHeight="1">
      <c r="A23" s="3389" t="s">
        <v>184</v>
      </c>
      <c r="B23" s="875" t="s">
        <v>560</v>
      </c>
      <c r="C23" s="876" t="s">
        <v>571</v>
      </c>
      <c r="D23" s="877"/>
      <c r="E23" s="875">
        <v>1</v>
      </c>
      <c r="F23" s="878" t="s">
        <v>572</v>
      </c>
      <c r="G23" s="879"/>
      <c r="H23" s="871"/>
      <c r="I23" s="871"/>
    </row>
    <row r="24" spans="1:9" s="880" customFormat="1" ht="19.5" customHeight="1">
      <c r="A24" s="3389"/>
      <c r="B24" s="3389" t="s">
        <v>563</v>
      </c>
      <c r="C24" s="876" t="s">
        <v>573</v>
      </c>
      <c r="D24" s="877"/>
      <c r="E24" s="875">
        <v>0.5</v>
      </c>
      <c r="F24" s="878"/>
      <c r="G24" s="879"/>
      <c r="H24" s="871"/>
      <c r="I24" s="871"/>
    </row>
    <row r="25" spans="1:9" s="880" customFormat="1" ht="19.5" customHeight="1">
      <c r="A25" s="3389"/>
      <c r="B25" s="3389"/>
      <c r="C25" s="876" t="s">
        <v>574</v>
      </c>
      <c r="D25" s="877"/>
      <c r="E25" s="875">
        <v>1.1000000000000001</v>
      </c>
      <c r="F25" s="878"/>
      <c r="G25" s="879"/>
      <c r="H25" s="871"/>
      <c r="I25" s="871"/>
    </row>
    <row r="26" spans="1:9" s="880" customFormat="1" ht="19.5" customHeight="1">
      <c r="A26" s="3389"/>
      <c r="B26" s="3389"/>
      <c r="C26" s="876" t="s">
        <v>575</v>
      </c>
      <c r="D26" s="877"/>
      <c r="E26" s="875">
        <v>1.1000000000000001</v>
      </c>
      <c r="F26" s="878"/>
      <c r="G26" s="879"/>
      <c r="H26" s="871"/>
      <c r="I26" s="871"/>
    </row>
    <row r="27" spans="1:9" s="880" customFormat="1" ht="19.5" customHeight="1">
      <c r="A27" s="3389"/>
      <c r="B27" s="3389"/>
      <c r="C27" s="876" t="s">
        <v>576</v>
      </c>
      <c r="D27" s="877"/>
      <c r="E27" s="875">
        <v>0.9</v>
      </c>
      <c r="F27" s="878" t="s">
        <v>577</v>
      </c>
      <c r="G27" s="879"/>
      <c r="H27" s="871"/>
      <c r="I27" s="871"/>
    </row>
    <row r="28" spans="1:9" s="880" customFormat="1" ht="19.5" customHeight="1">
      <c r="A28" s="3389"/>
      <c r="B28" s="3389"/>
      <c r="C28" s="876" t="s">
        <v>578</v>
      </c>
      <c r="D28" s="877"/>
      <c r="E28" s="875">
        <v>0.9</v>
      </c>
      <c r="F28" s="878" t="s">
        <v>579</v>
      </c>
      <c r="G28" s="879"/>
      <c r="H28" s="871"/>
      <c r="I28" s="871"/>
    </row>
    <row r="29" spans="1:9" s="880" customFormat="1" ht="19.5" customHeight="1">
      <c r="A29" s="3389"/>
      <c r="B29" s="3389"/>
      <c r="C29" s="876" t="s">
        <v>580</v>
      </c>
      <c r="D29" s="877"/>
      <c r="E29" s="875">
        <v>0.9</v>
      </c>
      <c r="F29" s="878" t="s">
        <v>581</v>
      </c>
      <c r="G29" s="879"/>
      <c r="H29" s="871"/>
      <c r="I29" s="871"/>
    </row>
    <row r="30" spans="1:9" s="880" customFormat="1" ht="19.5" customHeight="1">
      <c r="A30" s="3389"/>
      <c r="B30" s="3389"/>
      <c r="C30" s="876" t="s">
        <v>582</v>
      </c>
      <c r="D30" s="877"/>
      <c r="E30" s="875">
        <v>0.9</v>
      </c>
      <c r="F30" s="878" t="s">
        <v>583</v>
      </c>
      <c r="G30" s="879"/>
      <c r="H30" s="871"/>
      <c r="I30" s="871"/>
    </row>
    <row r="31" spans="1:9" s="880" customFormat="1" ht="19.5" customHeight="1">
      <c r="A31" s="3389"/>
      <c r="B31" s="3389"/>
      <c r="C31" s="876" t="s">
        <v>584</v>
      </c>
      <c r="D31" s="877"/>
      <c r="E31" s="875">
        <v>0.8</v>
      </c>
      <c r="F31" s="878" t="s">
        <v>585</v>
      </c>
      <c r="G31" s="879"/>
      <c r="H31" s="871"/>
      <c r="I31" s="871"/>
    </row>
    <row r="32" spans="1:9" s="880" customFormat="1" ht="19.5" customHeight="1">
      <c r="A32" s="3389"/>
      <c r="B32" s="3389"/>
      <c r="C32" s="876" t="s">
        <v>586</v>
      </c>
      <c r="D32" s="877"/>
      <c r="E32" s="875">
        <v>0.8</v>
      </c>
      <c r="F32" s="878" t="s">
        <v>587</v>
      </c>
      <c r="G32" s="879"/>
      <c r="H32" s="871"/>
      <c r="I32" s="871"/>
    </row>
    <row r="33" spans="1:9" s="880" customFormat="1" ht="19.5" customHeight="1">
      <c r="A33" s="3389" t="s">
        <v>185</v>
      </c>
      <c r="B33" s="875" t="s">
        <v>560</v>
      </c>
      <c r="C33" s="876" t="s">
        <v>588</v>
      </c>
      <c r="D33" s="877"/>
      <c r="E33" s="875">
        <v>1</v>
      </c>
      <c r="F33" s="878" t="s">
        <v>589</v>
      </c>
      <c r="G33" s="879"/>
      <c r="H33" s="871"/>
      <c r="I33" s="871"/>
    </row>
    <row r="34" spans="1:9" s="880" customFormat="1" ht="19.5" customHeight="1">
      <c r="A34" s="3389"/>
      <c r="B34" s="875" t="s">
        <v>563</v>
      </c>
      <c r="C34" s="876" t="s">
        <v>590</v>
      </c>
      <c r="D34" s="877"/>
      <c r="E34" s="875">
        <v>1.5</v>
      </c>
      <c r="F34" s="878" t="s">
        <v>591</v>
      </c>
      <c r="G34" s="879"/>
      <c r="H34" s="871"/>
      <c r="I34" s="871"/>
    </row>
    <row r="35" spans="1:9" s="880" customFormat="1" ht="19.5" customHeight="1">
      <c r="A35" s="3389" t="s">
        <v>186</v>
      </c>
      <c r="B35" s="875" t="s">
        <v>560</v>
      </c>
      <c r="C35" s="876" t="s">
        <v>592</v>
      </c>
      <c r="D35" s="877"/>
      <c r="E35" s="875">
        <v>1</v>
      </c>
      <c r="F35" s="878" t="s">
        <v>593</v>
      </c>
      <c r="G35" s="879"/>
      <c r="H35" s="871"/>
      <c r="I35" s="871"/>
    </row>
    <row r="36" spans="1:9" s="880" customFormat="1" ht="19.5" customHeight="1">
      <c r="A36" s="3389"/>
      <c r="B36" s="3389" t="s">
        <v>563</v>
      </c>
      <c r="C36" s="876" t="s">
        <v>594</v>
      </c>
      <c r="D36" s="877"/>
      <c r="E36" s="875">
        <v>1</v>
      </c>
      <c r="F36" s="878" t="s">
        <v>595</v>
      </c>
      <c r="G36" s="879"/>
      <c r="H36" s="871"/>
      <c r="I36" s="871"/>
    </row>
    <row r="37" spans="1:9" s="880" customFormat="1" ht="19.5" customHeight="1">
      <c r="A37" s="3389"/>
      <c r="B37" s="3389"/>
      <c r="C37" s="876" t="s">
        <v>596</v>
      </c>
      <c r="D37" s="877"/>
      <c r="E37" s="875">
        <v>1.5</v>
      </c>
      <c r="F37" s="878" t="s">
        <v>597</v>
      </c>
      <c r="G37" s="879"/>
      <c r="H37" s="871"/>
      <c r="I37" s="871"/>
    </row>
    <row r="38" spans="1:9" s="880" customFormat="1" ht="19.5" customHeight="1">
      <c r="A38" s="3389"/>
      <c r="B38" s="3389"/>
      <c r="C38" s="876" t="s">
        <v>598</v>
      </c>
      <c r="D38" s="877"/>
      <c r="E38" s="875">
        <v>1</v>
      </c>
      <c r="F38" s="878" t="s">
        <v>599</v>
      </c>
      <c r="G38" s="879"/>
      <c r="H38" s="871"/>
      <c r="I38" s="871"/>
    </row>
    <row r="39" spans="1:9" s="880" customFormat="1" ht="19.5" customHeight="1">
      <c r="A39" s="3389"/>
      <c r="B39" s="3389"/>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89" t="s">
        <v>614</v>
      </c>
      <c r="C61" s="811" t="s">
        <v>615</v>
      </c>
      <c r="D61" s="811" t="s">
        <v>616</v>
      </c>
      <c r="E61" s="888">
        <v>0.5</v>
      </c>
      <c r="F61" s="875">
        <v>80</v>
      </c>
    </row>
    <row r="62" spans="1:8" s="871" customFormat="1" ht="24">
      <c r="A62" s="875">
        <v>2</v>
      </c>
      <c r="B62" s="3389"/>
      <c r="C62" s="811" t="s">
        <v>617</v>
      </c>
      <c r="D62" s="811" t="s">
        <v>618</v>
      </c>
      <c r="E62" s="888">
        <v>0.5</v>
      </c>
      <c r="F62" s="875">
        <v>80</v>
      </c>
    </row>
    <row r="63" spans="1:8" s="871" customFormat="1" ht="36">
      <c r="A63" s="875">
        <v>3</v>
      </c>
      <c r="B63" s="3389"/>
      <c r="C63" s="811" t="s">
        <v>619</v>
      </c>
      <c r="D63" s="811" t="s">
        <v>620</v>
      </c>
      <c r="E63" s="888">
        <v>0.5</v>
      </c>
      <c r="F63" s="875">
        <v>80</v>
      </c>
    </row>
    <row r="64" spans="1:8" s="871" customFormat="1" ht="36">
      <c r="A64" s="875">
        <v>4</v>
      </c>
      <c r="B64" s="3389"/>
      <c r="C64" s="811" t="s">
        <v>621</v>
      </c>
      <c r="D64" s="811" t="s">
        <v>622</v>
      </c>
      <c r="E64" s="888">
        <v>0.4</v>
      </c>
      <c r="F64" s="875">
        <v>60</v>
      </c>
    </row>
    <row r="65" spans="1:6" s="871" customFormat="1" ht="36">
      <c r="A65" s="875">
        <v>5</v>
      </c>
      <c r="B65" s="3389"/>
      <c r="C65" s="811" t="s">
        <v>623</v>
      </c>
      <c r="D65" s="811" t="s">
        <v>624</v>
      </c>
      <c r="E65" s="888">
        <v>0.2</v>
      </c>
      <c r="F65" s="875">
        <v>30</v>
      </c>
    </row>
    <row r="66" spans="1:6" s="871" customFormat="1" ht="36">
      <c r="A66" s="875">
        <v>6</v>
      </c>
      <c r="B66" s="3389"/>
      <c r="C66" s="811" t="s">
        <v>625</v>
      </c>
      <c r="D66" s="811" t="s">
        <v>626</v>
      </c>
      <c r="E66" s="888">
        <v>0.3</v>
      </c>
      <c r="F66" s="875">
        <v>50</v>
      </c>
    </row>
    <row r="67" spans="1:6" s="871" customFormat="1" ht="36">
      <c r="A67" s="875">
        <v>7</v>
      </c>
      <c r="B67" s="3389"/>
      <c r="C67" s="811" t="s">
        <v>627</v>
      </c>
      <c r="D67" s="811" t="s">
        <v>628</v>
      </c>
      <c r="E67" s="888">
        <v>0.2</v>
      </c>
      <c r="F67" s="875">
        <v>30</v>
      </c>
    </row>
    <row r="68" spans="1:6" s="871" customFormat="1" ht="36">
      <c r="A68" s="875">
        <v>8</v>
      </c>
      <c r="B68" s="3389"/>
      <c r="C68" s="811" t="s">
        <v>629</v>
      </c>
      <c r="D68" s="811" t="s">
        <v>630</v>
      </c>
      <c r="E68" s="888">
        <v>0.2</v>
      </c>
      <c r="F68" s="875">
        <v>30</v>
      </c>
    </row>
    <row r="69" spans="1:6" s="871" customFormat="1" ht="36">
      <c r="A69" s="875">
        <v>9</v>
      </c>
      <c r="B69" s="3389"/>
      <c r="C69" s="811" t="s">
        <v>631</v>
      </c>
      <c r="D69" s="811" t="s">
        <v>632</v>
      </c>
      <c r="E69" s="888">
        <v>0.2</v>
      </c>
      <c r="F69" s="875">
        <v>30</v>
      </c>
    </row>
    <row r="70" spans="1:6" s="871" customFormat="1" ht="48">
      <c r="A70" s="875">
        <v>10</v>
      </c>
      <c r="B70" s="3389"/>
      <c r="C70" s="811" t="s">
        <v>633</v>
      </c>
      <c r="D70" s="811" t="s">
        <v>634</v>
      </c>
      <c r="E70" s="888">
        <v>0.2</v>
      </c>
      <c r="F70" s="875">
        <v>30</v>
      </c>
    </row>
    <row r="71" spans="1:6" s="871" customFormat="1" ht="48">
      <c r="A71" s="875">
        <v>11</v>
      </c>
      <c r="B71" s="3389"/>
      <c r="C71" s="811" t="s">
        <v>635</v>
      </c>
      <c r="D71" s="811" t="s">
        <v>636</v>
      </c>
      <c r="E71" s="888">
        <v>0.2</v>
      </c>
      <c r="F71" s="875">
        <v>30</v>
      </c>
    </row>
    <row r="72" spans="1:6" s="871" customFormat="1" ht="36">
      <c r="A72" s="875">
        <v>12</v>
      </c>
      <c r="B72" s="3389"/>
      <c r="C72" s="811" t="s">
        <v>637</v>
      </c>
      <c r="D72" s="811" t="s">
        <v>638</v>
      </c>
      <c r="E72" s="888">
        <v>0.5</v>
      </c>
      <c r="F72" s="875">
        <v>80</v>
      </c>
    </row>
    <row r="73" spans="1:6" s="871" customFormat="1" ht="24">
      <c r="A73" s="875">
        <v>13</v>
      </c>
      <c r="B73" s="3389"/>
      <c r="C73" s="811" t="s">
        <v>639</v>
      </c>
      <c r="D73" s="811" t="s">
        <v>640</v>
      </c>
      <c r="E73" s="888">
        <v>0.4</v>
      </c>
      <c r="F73" s="875">
        <v>60</v>
      </c>
    </row>
    <row r="74" spans="1:6" s="871" customFormat="1" ht="24">
      <c r="A74" s="875">
        <v>14</v>
      </c>
      <c r="B74" s="3389"/>
      <c r="C74" s="811" t="s">
        <v>641</v>
      </c>
      <c r="D74" s="811" t="s">
        <v>642</v>
      </c>
      <c r="E74" s="888">
        <v>0.2</v>
      </c>
      <c r="F74" s="875">
        <v>30</v>
      </c>
    </row>
    <row r="75" spans="1:6" s="871" customFormat="1" ht="24">
      <c r="A75" s="875">
        <v>15</v>
      </c>
      <c r="B75" s="3389"/>
      <c r="C75" s="811" t="s">
        <v>643</v>
      </c>
      <c r="D75" s="811" t="s">
        <v>644</v>
      </c>
      <c r="E75" s="888">
        <v>0.2</v>
      </c>
      <c r="F75" s="875">
        <v>30</v>
      </c>
    </row>
    <row r="76" spans="1:6" s="871" customFormat="1" ht="24">
      <c r="A76" s="875">
        <v>16</v>
      </c>
      <c r="B76" s="3389" t="s">
        <v>645</v>
      </c>
      <c r="C76" s="811" t="s">
        <v>646</v>
      </c>
      <c r="D76" s="811" t="s">
        <v>647</v>
      </c>
      <c r="E76" s="888">
        <v>0.5</v>
      </c>
      <c r="F76" s="875">
        <v>80</v>
      </c>
    </row>
    <row r="77" spans="1:6" s="871" customFormat="1" ht="24">
      <c r="A77" s="875">
        <v>17</v>
      </c>
      <c r="B77" s="3389"/>
      <c r="C77" s="811" t="s">
        <v>648</v>
      </c>
      <c r="D77" s="811" t="s">
        <v>649</v>
      </c>
      <c r="E77" s="888">
        <v>0.5</v>
      </c>
      <c r="F77" s="875">
        <v>80</v>
      </c>
    </row>
    <row r="78" spans="1:6" s="871" customFormat="1" ht="24">
      <c r="A78" s="875">
        <v>18</v>
      </c>
      <c r="B78" s="3389"/>
      <c r="C78" s="811" t="s">
        <v>650</v>
      </c>
      <c r="D78" s="811" t="s">
        <v>651</v>
      </c>
      <c r="E78" s="888">
        <v>0.2</v>
      </c>
      <c r="F78" s="875">
        <v>30</v>
      </c>
    </row>
    <row r="79" spans="1:6" s="871" customFormat="1" ht="24">
      <c r="A79" s="875">
        <v>19</v>
      </c>
      <c r="B79" s="3389"/>
      <c r="C79" s="811" t="s">
        <v>652</v>
      </c>
      <c r="D79" s="811" t="s">
        <v>653</v>
      </c>
      <c r="E79" s="888">
        <v>0.5</v>
      </c>
      <c r="F79" s="875">
        <v>80</v>
      </c>
    </row>
    <row r="80" spans="1:6" s="871" customFormat="1" ht="36">
      <c r="A80" s="875">
        <v>20</v>
      </c>
      <c r="B80" s="3389"/>
      <c r="C80" s="811" t="s">
        <v>654</v>
      </c>
      <c r="D80" s="811" t="s">
        <v>655</v>
      </c>
      <c r="E80" s="888">
        <v>0.2</v>
      </c>
      <c r="F80" s="875">
        <v>30</v>
      </c>
    </row>
    <row r="81" spans="1:6" s="871" customFormat="1" ht="36">
      <c r="A81" s="875">
        <v>21</v>
      </c>
      <c r="B81" s="3389"/>
      <c r="C81" s="811" t="s">
        <v>656</v>
      </c>
      <c r="D81" s="811" t="s">
        <v>657</v>
      </c>
      <c r="E81" s="888">
        <v>0.2</v>
      </c>
      <c r="F81" s="875">
        <v>30</v>
      </c>
    </row>
    <row r="82" spans="1:6" s="871" customFormat="1" ht="48">
      <c r="A82" s="875">
        <v>22</v>
      </c>
      <c r="B82" s="3389"/>
      <c r="C82" s="811" t="s">
        <v>658</v>
      </c>
      <c r="D82" s="811" t="s">
        <v>659</v>
      </c>
      <c r="E82" s="888">
        <v>0.2</v>
      </c>
      <c r="F82" s="875">
        <v>30</v>
      </c>
    </row>
    <row r="83" spans="1:6" s="871" customFormat="1" ht="48">
      <c r="A83" s="875">
        <v>23</v>
      </c>
      <c r="B83" s="3389"/>
      <c r="C83" s="811" t="s">
        <v>660</v>
      </c>
      <c r="D83" s="811" t="s">
        <v>661</v>
      </c>
      <c r="E83" s="888">
        <v>0.2</v>
      </c>
      <c r="F83" s="875">
        <v>30</v>
      </c>
    </row>
    <row r="84" spans="1:6" s="871" customFormat="1" ht="36">
      <c r="A84" s="875">
        <v>24</v>
      </c>
      <c r="B84" s="3389"/>
      <c r="C84" s="811" t="s">
        <v>662</v>
      </c>
      <c r="D84" s="811" t="s">
        <v>663</v>
      </c>
      <c r="E84" s="888">
        <v>0.2</v>
      </c>
      <c r="F84" s="875">
        <v>30</v>
      </c>
    </row>
    <row r="85" spans="1:6" s="871" customFormat="1" ht="36">
      <c r="A85" s="875">
        <v>25</v>
      </c>
      <c r="B85" s="3389"/>
      <c r="C85" s="811" t="s">
        <v>664</v>
      </c>
      <c r="D85" s="811" t="s">
        <v>665</v>
      </c>
      <c r="E85" s="888">
        <v>0.5</v>
      </c>
      <c r="F85" s="875">
        <v>80</v>
      </c>
    </row>
    <row r="86" spans="1:6" s="871" customFormat="1" ht="36">
      <c r="A86" s="875">
        <v>26</v>
      </c>
      <c r="B86" s="3389"/>
      <c r="C86" s="811" t="s">
        <v>666</v>
      </c>
      <c r="D86" s="811" t="s">
        <v>667</v>
      </c>
      <c r="E86" s="888">
        <v>0.2</v>
      </c>
      <c r="F86" s="875">
        <v>30</v>
      </c>
    </row>
    <row r="87" spans="1:6" s="871" customFormat="1" ht="36">
      <c r="A87" s="875">
        <v>27</v>
      </c>
      <c r="B87" s="3389"/>
      <c r="C87" s="811" t="s">
        <v>668</v>
      </c>
      <c r="D87" s="811" t="s">
        <v>669</v>
      </c>
      <c r="E87" s="888">
        <v>0.2</v>
      </c>
      <c r="F87" s="875">
        <v>30</v>
      </c>
    </row>
    <row r="88" spans="1:6" s="871" customFormat="1" ht="36">
      <c r="A88" s="875">
        <v>28</v>
      </c>
      <c r="B88" s="3389"/>
      <c r="C88" s="811" t="s">
        <v>670</v>
      </c>
      <c r="D88" s="811" t="s">
        <v>671</v>
      </c>
      <c r="E88" s="888">
        <v>0.2</v>
      </c>
      <c r="F88" s="875">
        <v>30</v>
      </c>
    </row>
    <row r="89" spans="1:6" s="871" customFormat="1" ht="24">
      <c r="A89" s="875">
        <v>29</v>
      </c>
      <c r="B89" s="3389"/>
      <c r="C89" s="811" t="s">
        <v>672</v>
      </c>
      <c r="D89" s="811" t="s">
        <v>673</v>
      </c>
      <c r="E89" s="888">
        <v>0.2</v>
      </c>
      <c r="F89" s="875">
        <v>30</v>
      </c>
    </row>
    <row r="90" spans="1:6" s="871" customFormat="1" ht="24">
      <c r="A90" s="875">
        <v>30</v>
      </c>
      <c r="B90" s="3389"/>
      <c r="C90" s="811" t="s">
        <v>674</v>
      </c>
      <c r="D90" s="811" t="s">
        <v>675</v>
      </c>
      <c r="E90" s="888">
        <v>0.2</v>
      </c>
      <c r="F90" s="875">
        <v>30</v>
      </c>
    </row>
    <row r="91" spans="1:6" s="871" customFormat="1" ht="36">
      <c r="A91" s="875">
        <v>31</v>
      </c>
      <c r="B91" s="3389"/>
      <c r="C91" s="811" t="s">
        <v>676</v>
      </c>
      <c r="D91" s="811" t="s">
        <v>677</v>
      </c>
      <c r="E91" s="888">
        <v>0.2</v>
      </c>
      <c r="F91" s="875">
        <v>30</v>
      </c>
    </row>
    <row r="92" spans="1:6" s="871" customFormat="1" ht="24">
      <c r="A92" s="875">
        <v>32</v>
      </c>
      <c r="B92" s="3389" t="s">
        <v>678</v>
      </c>
      <c r="C92" s="875" t="s">
        <v>679</v>
      </c>
      <c r="D92" s="811" t="s">
        <v>680</v>
      </c>
      <c r="E92" s="888">
        <v>0.2</v>
      </c>
      <c r="F92" s="875">
        <v>30</v>
      </c>
    </row>
    <row r="93" spans="1:6" s="871" customFormat="1" ht="36">
      <c r="A93" s="875">
        <v>33</v>
      </c>
      <c r="B93" s="3389"/>
      <c r="C93" s="875" t="s">
        <v>681</v>
      </c>
      <c r="D93" s="811" t="s">
        <v>682</v>
      </c>
      <c r="E93" s="888">
        <v>0.2</v>
      </c>
      <c r="F93" s="875">
        <v>30</v>
      </c>
    </row>
    <row r="94" spans="1:6" s="871" customFormat="1" ht="48">
      <c r="A94" s="875">
        <v>34</v>
      </c>
      <c r="B94" s="3389"/>
      <c r="C94" s="875" t="s">
        <v>683</v>
      </c>
      <c r="D94" s="811" t="s">
        <v>684</v>
      </c>
      <c r="E94" s="888">
        <v>0.2</v>
      </c>
      <c r="F94" s="875">
        <v>30</v>
      </c>
    </row>
    <row r="95" spans="1:6" s="871" customFormat="1" ht="36">
      <c r="A95" s="875">
        <v>35</v>
      </c>
      <c r="B95" s="3389"/>
      <c r="C95" s="875" t="s">
        <v>685</v>
      </c>
      <c r="D95" s="811" t="s">
        <v>686</v>
      </c>
      <c r="E95" s="888">
        <v>0.2</v>
      </c>
      <c r="F95" s="875">
        <v>30</v>
      </c>
    </row>
    <row r="96" spans="1:6" s="871" customFormat="1" ht="48">
      <c r="A96" s="875">
        <v>36</v>
      </c>
      <c r="B96" s="3389"/>
      <c r="C96" s="811" t="s">
        <v>687</v>
      </c>
      <c r="D96" s="811" t="s">
        <v>688</v>
      </c>
      <c r="E96" s="888">
        <v>0.2</v>
      </c>
      <c r="F96" s="875">
        <v>30</v>
      </c>
    </row>
    <row r="97" spans="1:6" s="871" customFormat="1" ht="36">
      <c r="A97" s="875">
        <v>37</v>
      </c>
      <c r="B97" s="3389"/>
      <c r="C97" s="875" t="s">
        <v>689</v>
      </c>
      <c r="D97" s="811" t="s">
        <v>690</v>
      </c>
      <c r="E97" s="888">
        <v>0.2</v>
      </c>
      <c r="F97" s="875">
        <v>30</v>
      </c>
    </row>
    <row r="98" spans="1:6" s="871" customFormat="1" ht="36">
      <c r="A98" s="875">
        <v>38</v>
      </c>
      <c r="B98" s="3389"/>
      <c r="C98" s="875" t="s">
        <v>691</v>
      </c>
      <c r="D98" s="811" t="s">
        <v>692</v>
      </c>
      <c r="E98" s="888">
        <v>0.2</v>
      </c>
      <c r="F98" s="875">
        <v>30</v>
      </c>
    </row>
    <row r="99" spans="1:6" s="871" customFormat="1" ht="36">
      <c r="A99" s="875">
        <v>39</v>
      </c>
      <c r="B99" s="3389" t="s">
        <v>693</v>
      </c>
      <c r="C99" s="875" t="s">
        <v>694</v>
      </c>
      <c r="D99" s="811" t="s">
        <v>695</v>
      </c>
      <c r="E99" s="888">
        <v>0.3</v>
      </c>
      <c r="F99" s="875">
        <v>50</v>
      </c>
    </row>
    <row r="100" spans="1:6" s="871" customFormat="1" ht="24">
      <c r="A100" s="875">
        <v>40</v>
      </c>
      <c r="B100" s="3389"/>
      <c r="C100" s="875" t="s">
        <v>696</v>
      </c>
      <c r="D100" s="811" t="s">
        <v>697</v>
      </c>
      <c r="E100" s="888">
        <v>0.2</v>
      </c>
      <c r="F100" s="875">
        <v>30</v>
      </c>
    </row>
    <row r="101" spans="1:6" s="871" customFormat="1" ht="36">
      <c r="A101" s="875">
        <v>41</v>
      </c>
      <c r="B101" s="3389"/>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89" t="s">
        <v>708</v>
      </c>
      <c r="C105" s="875" t="s">
        <v>709</v>
      </c>
      <c r="D105" s="811" t="s">
        <v>710</v>
      </c>
      <c r="E105" s="888">
        <v>0.2</v>
      </c>
      <c r="F105" s="875">
        <v>30</v>
      </c>
    </row>
    <row r="106" spans="1:6" s="871" customFormat="1" ht="36">
      <c r="A106" s="875">
        <v>46</v>
      </c>
      <c r="B106" s="3389"/>
      <c r="C106" s="875" t="s">
        <v>711</v>
      </c>
      <c r="D106" s="811" t="s">
        <v>712</v>
      </c>
      <c r="E106" s="888">
        <v>0.2</v>
      </c>
      <c r="F106" s="875">
        <v>30</v>
      </c>
    </row>
    <row r="107" spans="1:6" s="871" customFormat="1" ht="36">
      <c r="A107" s="875">
        <v>47</v>
      </c>
      <c r="B107" s="3389" t="s">
        <v>713</v>
      </c>
      <c r="C107" s="875" t="s">
        <v>714</v>
      </c>
      <c r="D107" s="811" t="s">
        <v>715</v>
      </c>
      <c r="E107" s="888">
        <v>0.3</v>
      </c>
      <c r="F107" s="875">
        <v>50</v>
      </c>
    </row>
    <row r="108" spans="1:6" s="871" customFormat="1" ht="36">
      <c r="A108" s="875">
        <v>48</v>
      </c>
      <c r="B108" s="3389"/>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89" t="s">
        <v>724</v>
      </c>
      <c r="C111" s="875" t="s">
        <v>725</v>
      </c>
      <c r="D111" s="811" t="s">
        <v>726</v>
      </c>
      <c r="E111" s="888">
        <v>0.2</v>
      </c>
      <c r="F111" s="875">
        <v>30</v>
      </c>
    </row>
    <row r="112" spans="1:6" s="871" customFormat="1" ht="24">
      <c r="A112" s="875">
        <v>52</v>
      </c>
      <c r="B112" s="3389"/>
      <c r="C112" s="875" t="s">
        <v>727</v>
      </c>
      <c r="D112" s="811" t="s">
        <v>728</v>
      </c>
      <c r="E112" s="888">
        <v>0.2</v>
      </c>
      <c r="F112" s="875">
        <v>30</v>
      </c>
    </row>
    <row r="113" spans="1:6" s="871" customFormat="1" ht="24">
      <c r="A113" s="875">
        <v>53</v>
      </c>
      <c r="B113" s="3389"/>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89" t="s">
        <v>737</v>
      </c>
      <c r="C116" s="875" t="s">
        <v>738</v>
      </c>
      <c r="D116" s="811" t="s">
        <v>739</v>
      </c>
      <c r="E116" s="888">
        <v>0.2</v>
      </c>
      <c r="F116" s="875">
        <v>30</v>
      </c>
    </row>
    <row r="117" spans="1:6" ht="36">
      <c r="A117" s="875">
        <v>57</v>
      </c>
      <c r="B117" s="3389"/>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2"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908"/>
    <col min="2" max="16384" width="8.875"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2" type="noConversion"/>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W3" sqref="W3"/>
    </sheetView>
  </sheetViews>
  <sheetFormatPr defaultColWidth="8.875"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8.875" style="1941"/>
  </cols>
  <sheetData>
    <row r="1" spans="1:5" ht="21">
      <c r="A1" s="2556" t="s">
        <v>2991</v>
      </c>
    </row>
    <row r="2" spans="1:5" ht="15.75">
      <c r="A2" s="2905" t="s">
        <v>2983</v>
      </c>
      <c r="B2" s="2906" t="e">
        <f ca="1">SUMIF(B6:B13,"&lt;&gt;#ref!",B6:B13)</f>
        <v>#DIV/0!</v>
      </c>
      <c r="C2" s="2905" t="s">
        <v>2984</v>
      </c>
      <c r="D2" s="2905" t="s">
        <v>2985</v>
      </c>
      <c r="E2" s="2906" t="e">
        <f ca="1">SUM(E6:E13)</f>
        <v>#REF!</v>
      </c>
    </row>
    <row r="3" spans="1:5" ht="15.75">
      <c r="A3" s="2905" t="s">
        <v>2986</v>
      </c>
      <c r="B3" s="2906" t="e">
        <f ca="1">ROUND(B2*10000/E2,0)</f>
        <v>#DIV/0!</v>
      </c>
      <c r="C3" s="2905" t="s">
        <v>2992</v>
      </c>
      <c r="D3" s="2907"/>
      <c r="E3" s="2907"/>
    </row>
    <row r="4" spans="1:5" ht="15.75">
      <c r="A4" s="2908"/>
      <c r="B4" s="2907"/>
      <c r="C4" s="2907"/>
      <c r="D4" s="2907"/>
      <c r="E4" s="2907"/>
    </row>
    <row r="5" spans="1:5" ht="28.5">
      <c r="A5" s="2909" t="s">
        <v>2987</v>
      </c>
      <c r="B5" s="2905" t="s">
        <v>2988</v>
      </c>
      <c r="C5" s="2906"/>
      <c r="D5" s="2907"/>
      <c r="E5" s="2905" t="s">
        <v>2989</v>
      </c>
    </row>
    <row r="6" spans="1:5" ht="15.75">
      <c r="A6" s="2910" t="s">
        <v>2990</v>
      </c>
      <c r="B6" s="2906" t="e">
        <f ca="1">SUMIF(INDIRECT("'"&amp;A6&amp;"'"&amp;"!A:A"),"总价",INDIRECT("'"&amp;A6&amp;"'"&amp;"!B:B"))</f>
        <v>#DIV/0!</v>
      </c>
      <c r="C6" s="2905" t="s">
        <v>2984</v>
      </c>
      <c r="D6" s="2907"/>
      <c r="E6" s="2570">
        <f ca="1">SUMIF(INDIRECT("'"&amp;A6&amp;"'"&amp;"!C:C"),"建筑面积",INDIRECT("'"&amp;A6&amp;"'"&amp;"!D:D"))</f>
        <v>0</v>
      </c>
    </row>
    <row r="7" spans="1:5" ht="15.75">
      <c r="A7" s="2910"/>
      <c r="B7" s="2906" t="e">
        <f ca="1">SUMIF(INDIRECT("'"&amp;A7&amp;"'"&amp;"!A:A"),"总价",INDIRECT("'"&amp;A7&amp;"'"&amp;"!B:B"))</f>
        <v>#REF!</v>
      </c>
      <c r="C7" s="2905" t="s">
        <v>2984</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2984</v>
      </c>
      <c r="D8" s="2907"/>
      <c r="E8" s="2570" t="e">
        <f t="shared" ca="1" si="0"/>
        <v>#REF!</v>
      </c>
    </row>
    <row r="9" spans="1:5" ht="15.75">
      <c r="A9" s="2910"/>
      <c r="B9" s="2906" t="e">
        <f t="shared" ca="1" si="1"/>
        <v>#REF!</v>
      </c>
      <c r="C9" s="2905" t="s">
        <v>2984</v>
      </c>
      <c r="D9" s="2907"/>
      <c r="E9" s="2570" t="e">
        <f t="shared" ca="1" si="0"/>
        <v>#REF!</v>
      </c>
    </row>
    <row r="10" spans="1:5" ht="15.75">
      <c r="A10" s="2910"/>
      <c r="B10" s="2906" t="e">
        <f t="shared" ca="1" si="1"/>
        <v>#REF!</v>
      </c>
      <c r="C10" s="2905" t="s">
        <v>2984</v>
      </c>
      <c r="D10" s="2907"/>
      <c r="E10" s="2570" t="e">
        <f t="shared" ca="1" si="0"/>
        <v>#REF!</v>
      </c>
    </row>
    <row r="11" spans="1:5" ht="15.75">
      <c r="A11" s="2910"/>
      <c r="B11" s="2906" t="e">
        <f t="shared" ca="1" si="1"/>
        <v>#REF!</v>
      </c>
      <c r="C11" s="2905" t="s">
        <v>2984</v>
      </c>
      <c r="D11" s="2907"/>
      <c r="E11" s="2570" t="e">
        <f t="shared" ca="1" si="0"/>
        <v>#REF!</v>
      </c>
    </row>
    <row r="12" spans="1:5" ht="15.75">
      <c r="A12" s="2910"/>
      <c r="B12" s="2906" t="e">
        <f t="shared" ca="1" si="1"/>
        <v>#REF!</v>
      </c>
      <c r="C12" s="2905" t="s">
        <v>2984</v>
      </c>
      <c r="D12" s="2907"/>
      <c r="E12" s="2570" t="e">
        <f t="shared" ca="1" si="0"/>
        <v>#REF!</v>
      </c>
    </row>
    <row r="13" spans="1:5" ht="15.75">
      <c r="A13" s="2910"/>
      <c r="B13" s="2906" t="e">
        <f t="shared" ca="1" si="1"/>
        <v>#REF!</v>
      </c>
      <c r="C13" s="2905" t="s">
        <v>2984</v>
      </c>
      <c r="D13" s="2907"/>
      <c r="E13" s="2570" t="e">
        <f t="shared" ca="1" si="0"/>
        <v>#REF!</v>
      </c>
    </row>
  </sheetData>
  <sheetProtection password="C66D" sheet="1" objects="1" scenarios="1" formatCells="0"/>
  <phoneticPr fontId="146"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4"/>
  <sheetViews>
    <sheetView zoomScale="80" zoomScaleNormal="80" zoomScalePageLayoutView="80" workbookViewId="0">
      <selection activeCell="W3" sqref="W3"/>
    </sheetView>
  </sheetViews>
  <sheetFormatPr defaultColWidth="8.875" defaultRowHeight="12.75"/>
  <cols>
    <col min="1" max="1" width="8.875" style="1467"/>
    <col min="2" max="6" width="9" style="1467" customWidth="1"/>
    <col min="7" max="7" width="8.875" style="1482"/>
    <col min="8" max="8" width="8.875" style="1467"/>
    <col min="9" max="12" width="9" style="1467" customWidth="1"/>
    <col min="13" max="13" width="2.1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125" style="1467" customWidth="1"/>
    <col min="24" max="25" width="8.875" style="1467"/>
    <col min="26" max="27" width="11.625" style="1467" customWidth="1"/>
    <col min="28" max="28" width="8.875" style="1467"/>
    <col min="29" max="29" width="2" style="1467" customWidth="1"/>
    <col min="30" max="16384" width="8.875" style="1467"/>
  </cols>
  <sheetData>
    <row r="1" spans="1:34" s="1441" customFormat="1">
      <c r="B1" s="3395" t="s">
        <v>1150</v>
      </c>
      <c r="C1" s="3395"/>
      <c r="D1" s="3395"/>
      <c r="E1" s="3395"/>
      <c r="F1" s="3395"/>
      <c r="G1" s="3394" t="s">
        <v>1151</v>
      </c>
      <c r="H1" s="3394"/>
      <c r="I1" s="3394"/>
      <c r="J1" s="3394"/>
      <c r="K1" s="3394"/>
      <c r="L1" s="3394"/>
      <c r="N1" s="3394" t="s">
        <v>1152</v>
      </c>
      <c r="O1" s="3394"/>
      <c r="P1" s="3394"/>
      <c r="Q1" s="3394"/>
      <c r="R1" s="1442"/>
      <c r="S1" s="3394" t="s">
        <v>1153</v>
      </c>
      <c r="T1" s="3394"/>
      <c r="U1" s="3394"/>
      <c r="V1" s="3394"/>
      <c r="X1" s="3393" t="s">
        <v>1154</v>
      </c>
      <c r="Y1" s="3394"/>
      <c r="Z1" s="3394"/>
      <c r="AA1" s="3394"/>
      <c r="AB1" s="3394"/>
      <c r="AD1" s="3393" t="s">
        <v>1155</v>
      </c>
      <c r="AE1" s="3394"/>
      <c r="AF1" s="3394"/>
      <c r="AG1" s="3394"/>
      <c r="AH1" s="3394"/>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4" customFormat="1" ht="14.25">
      <c r="A3" s="2933" t="s">
        <v>3030</v>
      </c>
      <c r="B3" s="2925"/>
      <c r="C3" s="2925"/>
      <c r="D3" s="2926"/>
      <c r="E3" s="2926"/>
      <c r="F3" s="2925"/>
      <c r="G3" s="2927"/>
      <c r="H3" s="2928"/>
      <c r="I3" s="2929">
        <f>ROUND(AVERAGE($I6:$I21),2)</f>
        <v>2.4500000000000002</v>
      </c>
      <c r="J3" s="2929">
        <f>ROUND(AVERAGE($J6:$J21),2)</f>
        <v>1.65</v>
      </c>
      <c r="K3" s="2929">
        <f>ROUND(AVERAGE($K6:$K21),2)</f>
        <v>2.71</v>
      </c>
      <c r="L3" s="2929">
        <f>ROUND(AVERAGE($L6:$L21),2)</f>
        <v>1.39</v>
      </c>
      <c r="N3" s="2927"/>
      <c r="O3" s="2930"/>
      <c r="P3" s="2930"/>
      <c r="Q3" s="2930"/>
      <c r="R3" s="2930"/>
      <c r="S3" s="2927"/>
      <c r="T3" s="2930"/>
      <c r="U3" s="2930"/>
      <c r="V3" s="2930"/>
      <c r="W3" s="2922"/>
      <c r="X3" s="2931">
        <f>ROUND(SUMPRODUCT(PRODUCT(1+N3:N$20)),4)</f>
        <v>1.4274</v>
      </c>
      <c r="Y3" s="2931">
        <f>ROUND(SUMPRODUCT(PRODUCT(1+O3:O$20)),4)</f>
        <v>1.2685</v>
      </c>
      <c r="Z3" s="2931">
        <f t="shared" ref="Z3:Z18" si="0">Y3</f>
        <v>1.2685</v>
      </c>
      <c r="AA3" s="2931">
        <f>ROUND(SUMPRODUCT(PRODUCT(1+P3:P$20)),4)</f>
        <v>1.4825999999999999</v>
      </c>
      <c r="AB3" s="2931">
        <f>ROUND(SUMPRODUCT(PRODUCT(1+Q3:Q$20)),4)</f>
        <v>1.2309000000000001</v>
      </c>
      <c r="AD3" s="2932">
        <f>ROUND(AVERAGE(I3:I$21)/100,4)</f>
        <v>2.3099999999999999E-2</v>
      </c>
      <c r="AE3" s="2932">
        <f>ROUND(AVERAGE(J3:J$21)/100,4)</f>
        <v>1.5599999999999999E-2</v>
      </c>
      <c r="AF3" s="2932">
        <f t="shared" ref="AF3:AF19" si="1">AE3</f>
        <v>1.5599999999999999E-2</v>
      </c>
      <c r="AG3" s="2932">
        <f>ROUND(AVERAGE(K3:K$21)/100,4)</f>
        <v>2.5600000000000001E-2</v>
      </c>
      <c r="AH3" s="2932">
        <f>ROUND(AVERAGE(L3:L$21)/100,4)</f>
        <v>1.32E-2</v>
      </c>
    </row>
    <row r="4" spans="1:34" s="1449" customFormat="1" ht="14.25">
      <c r="B4" s="1450"/>
      <c r="C4" s="1450"/>
      <c r="D4" s="1451"/>
      <c r="E4" s="1451"/>
      <c r="F4" s="1450"/>
      <c r="G4" s="1452"/>
      <c r="H4" s="1453"/>
      <c r="I4" s="2918"/>
      <c r="J4" s="2918"/>
      <c r="K4" s="2918"/>
      <c r="L4" s="2918"/>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3029</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21">
        <v>2018</v>
      </c>
      <c r="H5" s="1726">
        <v>1</v>
      </c>
      <c r="I5" s="2919">
        <v>0</v>
      </c>
      <c r="J5" s="2919">
        <v>0</v>
      </c>
      <c r="K5" s="2919">
        <v>0</v>
      </c>
      <c r="L5" s="2919">
        <v>0</v>
      </c>
      <c r="N5" s="1463">
        <f t="shared" ref="N5:N10" si="7">I5/100</f>
        <v>0</v>
      </c>
      <c r="O5" s="1463">
        <f t="shared" ref="O5" si="8">J5/100</f>
        <v>0</v>
      </c>
      <c r="P5" s="1463">
        <f t="shared" ref="P5" si="9">K5/100</f>
        <v>0</v>
      </c>
      <c r="Q5" s="1463">
        <f t="shared" ref="Q5" si="10">L5/100</f>
        <v>0</v>
      </c>
      <c r="R5" s="1728"/>
      <c r="S5" s="1729"/>
      <c r="T5" s="1728"/>
      <c r="U5" s="1728"/>
      <c r="V5" s="1728"/>
      <c r="W5" s="2923" t="s">
        <v>3031</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3026</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21">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3027</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7"/>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6"/>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17"/>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96">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91"/>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91"/>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92"/>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90">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91"/>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91"/>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92"/>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90">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91"/>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91"/>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92"/>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1163</v>
      </c>
      <c r="B22" s="1465">
        <v>299</v>
      </c>
      <c r="C22" s="1465">
        <v>252</v>
      </c>
      <c r="D22" s="1465">
        <f t="shared" si="35"/>
        <v>252</v>
      </c>
      <c r="E22" s="1465">
        <v>409</v>
      </c>
      <c r="F22" s="1466">
        <v>227</v>
      </c>
      <c r="G22" s="3397">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98"/>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398"/>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399"/>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390">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391"/>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391"/>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392"/>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390">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91">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391">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392">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390">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91">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391">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392">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390">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91">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391">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392">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390">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91">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391">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392">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390">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91">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391">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392">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390">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91">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391">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392">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390">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91">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391">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392">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390">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91">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391">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392">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390">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391">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391">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392">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390">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391">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391">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392">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C40" sqref="C40"/>
      <selection pane="bottomLeft" activeCell="C40" sqref="C40"/>
    </sheetView>
  </sheetViews>
  <sheetFormatPr defaultColWidth="8.875" defaultRowHeight="12.75"/>
  <cols>
    <col min="1" max="1" width="11.5" style="139"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700"/>
    <col min="19" max="19" width="8.875" style="139"/>
    <col min="20" max="45" width="8.875" style="793"/>
    <col min="46" max="16384" width="8.875" style="139"/>
  </cols>
  <sheetData>
    <row r="1" spans="1:45" ht="14.25" customHeight="1" thickBot="1">
      <c r="A1" s="155"/>
      <c r="B1" s="1200" t="s">
        <v>2993</v>
      </c>
      <c r="C1" s="3401" t="s">
        <v>2994</v>
      </c>
      <c r="D1" s="3402"/>
      <c r="E1" s="3402"/>
      <c r="F1" s="3402"/>
      <c r="G1" s="3402"/>
      <c r="H1" s="3402"/>
      <c r="I1" s="3402"/>
      <c r="J1" s="3402"/>
      <c r="K1" s="3402"/>
      <c r="L1" s="3402"/>
      <c r="M1" s="3402"/>
      <c r="N1" s="3402"/>
      <c r="O1" s="3402"/>
      <c r="P1" s="3402"/>
      <c r="Q1" s="3402"/>
      <c r="R1" s="3402"/>
      <c r="S1" s="3403"/>
      <c r="T1" s="1200" t="s">
        <v>2995</v>
      </c>
    </row>
    <row r="2" spans="1:45" s="705" customFormat="1">
      <c r="A2" s="1201"/>
      <c r="B2" s="701" t="s">
        <v>2996</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3"/>
      <c r="B3" s="706"/>
      <c r="C3" s="707"/>
      <c r="D3" s="708"/>
      <c r="E3" s="708"/>
      <c r="F3" s="1700"/>
      <c r="G3" s="1700"/>
      <c r="H3" s="1700"/>
      <c r="I3" s="1700"/>
      <c r="J3" s="1700"/>
      <c r="K3" s="1700"/>
      <c r="L3" s="1701"/>
      <c r="M3" s="1702"/>
      <c r="N3" s="1702"/>
      <c r="O3" s="1700"/>
      <c r="P3" s="1700"/>
      <c r="Q3" s="1700"/>
      <c r="R3" s="1700"/>
      <c r="S3" s="1703"/>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1"/>
      <c r="B5" s="1765" t="s">
        <v>2997</v>
      </c>
      <c r="C5" s="1212"/>
      <c r="D5" s="1213"/>
      <c r="E5" s="1213"/>
      <c r="F5" s="1707"/>
      <c r="G5" s="1707"/>
      <c r="H5" s="1707"/>
      <c r="I5" s="1707"/>
      <c r="J5" s="1707"/>
      <c r="K5" s="1707"/>
      <c r="L5" s="1708"/>
      <c r="M5" s="1709"/>
      <c r="N5" s="1709"/>
      <c r="O5" s="1707"/>
      <c r="P5" s="1707"/>
      <c r="Q5" s="1707"/>
      <c r="R5" s="1707"/>
      <c r="S5" s="1710"/>
      <c r="T5" s="1215"/>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1"/>
      <c r="B7" s="1766" t="s">
        <v>2998</v>
      </c>
      <c r="C7" s="1117"/>
      <c r="D7" s="1111"/>
      <c r="E7" s="1111"/>
      <c r="F7" s="1712"/>
      <c r="G7" s="1712"/>
      <c r="H7" s="1712"/>
      <c r="I7" s="1712"/>
      <c r="J7" s="1712"/>
      <c r="K7" s="1712"/>
      <c r="L7" s="1712"/>
      <c r="M7" s="1713"/>
      <c r="N7" s="1714"/>
      <c r="O7" s="1715"/>
      <c r="P7" s="1716"/>
      <c r="Q7" s="1717"/>
      <c r="R7" s="1718"/>
      <c r="S7" s="1719"/>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1"/>
      <c r="B9" s="1766" t="s">
        <v>2999</v>
      </c>
      <c r="C9" s="1117"/>
      <c r="D9" s="1111"/>
      <c r="E9" s="1111"/>
      <c r="F9" s="1712"/>
      <c r="G9" s="1712"/>
      <c r="H9" s="1712"/>
      <c r="I9" s="1712"/>
      <c r="J9" s="1712"/>
      <c r="K9" s="1712"/>
      <c r="L9" s="1720"/>
      <c r="M9" s="1713"/>
      <c r="N9" s="1714"/>
      <c r="O9" s="1715"/>
      <c r="P9" s="1716"/>
      <c r="Q9" s="1717"/>
      <c r="R9" s="1718"/>
      <c r="S9" s="1719"/>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1"/>
      <c r="B11" s="1765" t="s">
        <v>3000</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1"/>
      <c r="B13" s="1765" t="s">
        <v>3001</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1"/>
      <c r="B15" s="1765" t="s">
        <v>3002</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1" t="s">
        <v>3003</v>
      </c>
      <c r="B17" s="2912" t="s">
        <v>3004</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5"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8"/>
      <c r="B19" s="168"/>
      <c r="C19" s="168"/>
      <c r="D19" s="2913" t="s">
        <v>3005</v>
      </c>
      <c r="E19" s="1788"/>
      <c r="F19" s="1788"/>
      <c r="G19" s="1788"/>
      <c r="H19" s="1276"/>
      <c r="I19" s="168"/>
      <c r="J19" s="168"/>
      <c r="K19" s="168"/>
      <c r="L19" s="168"/>
      <c r="M19" s="168"/>
      <c r="N19" s="168"/>
      <c r="O19" s="168"/>
      <c r="P19" s="168"/>
      <c r="Q19" s="168"/>
      <c r="R19" s="786"/>
      <c r="S19" s="138"/>
    </row>
    <row r="20" spans="1:45" ht="16.5" thickBot="1">
      <c r="A20" s="713" t="s">
        <v>3006</v>
      </c>
      <c r="B20" s="338" t="e">
        <f ca="1">IF(D20="——",S22,S22-F20)</f>
        <v>#REF!</v>
      </c>
      <c r="C20" s="168"/>
      <c r="D20" s="2914" t="s">
        <v>3007</v>
      </c>
      <c r="E20" s="1789"/>
      <c r="F20" s="1200" t="e">
        <f ca="1">SUMIF(INDIRECT("'"&amp;H20&amp;"'"&amp;"!A:A"),"承租人权益价值",INDIRECT("'"&amp;H20&amp;"'"&amp;"!c:c"))</f>
        <v>#REF!</v>
      </c>
      <c r="G20" s="1200" t="s">
        <v>3008</v>
      </c>
      <c r="H20" s="2915"/>
      <c r="I20" s="168"/>
      <c r="J20" s="168"/>
      <c r="K20" s="168"/>
      <c r="L20" s="168"/>
      <c r="M20" s="168"/>
      <c r="N20" s="168"/>
      <c r="O20" s="168"/>
      <c r="P20" s="168"/>
      <c r="Q20" s="168"/>
      <c r="R20" s="786"/>
      <c r="S20" s="138"/>
    </row>
    <row r="21" spans="1:45" ht="15.75">
      <c r="A21" s="713" t="s">
        <v>3009</v>
      </c>
      <c r="B21" s="338">
        <f>R22</f>
        <v>10000</v>
      </c>
      <c r="C21" s="168"/>
      <c r="D21" s="168"/>
      <c r="E21" s="168"/>
      <c r="F21" s="168"/>
      <c r="G21" s="168"/>
      <c r="H21" s="168"/>
      <c r="I21" s="168"/>
      <c r="J21" s="168"/>
      <c r="K21" s="168"/>
      <c r="L21" s="168"/>
      <c r="M21" s="168"/>
      <c r="N21" s="168"/>
      <c r="O21" s="168"/>
      <c r="P21" s="168"/>
      <c r="Q21" s="168"/>
      <c r="R21" s="786"/>
      <c r="S21" s="138"/>
    </row>
    <row r="22" spans="1:45">
      <c r="A22" s="361" t="s">
        <v>3010</v>
      </c>
      <c r="B22" s="24">
        <f>SUM(B24:B10000)</f>
        <v>100</v>
      </c>
      <c r="C22" s="3256" t="s">
        <v>33</v>
      </c>
      <c r="D22" s="3257"/>
      <c r="E22" s="3257"/>
      <c r="F22" s="3257"/>
      <c r="G22" s="3257"/>
      <c r="H22" s="3257"/>
      <c r="I22" s="3257"/>
      <c r="J22" s="3257"/>
      <c r="K22" s="3257"/>
      <c r="L22" s="3257"/>
      <c r="M22" s="3257"/>
      <c r="N22" s="3257"/>
      <c r="O22" s="3257"/>
      <c r="P22" s="3257"/>
      <c r="Q22" s="3400"/>
      <c r="R22" s="714">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5" t="s">
        <v>3014</v>
      </c>
      <c r="S23" s="11" t="s">
        <v>3015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3016</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61">
        <f t="shared" si="11"/>
        <v>0</v>
      </c>
    </row>
    <row r="26" spans="1:45">
      <c r="A26" s="159"/>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61">
        <f t="shared" si="11"/>
        <v>0</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8"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3"/>
      <c r="C1" s="242"/>
      <c r="D1" s="242"/>
      <c r="E1" s="242"/>
      <c r="F1" s="242"/>
      <c r="G1" s="1375">
        <f>MATCH(B1,'数据-取费表'!A6:A16,0)+5</f>
        <v>9</v>
      </c>
    </row>
    <row r="2" spans="1:9" s="244" customFormat="1" ht="18" customHeight="1">
      <c r="A2" s="245" t="s">
        <v>2315</v>
      </c>
      <c r="B2" s="246">
        <f ca="1">IF(D2="——",C52,C52-E2)</f>
        <v>5208</v>
      </c>
      <c r="C2" s="243" t="s">
        <v>2316</v>
      </c>
      <c r="D2" s="2542" t="s">
        <v>70</v>
      </c>
      <c r="E2" s="1436" t="e">
        <f ca="1">SUMIF(INDIRECT("'"&amp;G2&amp;"'"&amp;"!A:A"),"承租人权益价值",INDIRECT("'"&amp;G2&amp;"'"&amp;"!c:c"))</f>
        <v>#REF!</v>
      </c>
      <c r="F2" s="2543" t="s">
        <v>2316</v>
      </c>
      <c r="G2" s="2544"/>
    </row>
    <row r="3" spans="1:9" s="244" customFormat="1" ht="18" customHeight="1" thickBot="1">
      <c r="A3" s="247" t="s">
        <v>2317</v>
      </c>
      <c r="B3" s="248">
        <f ca="1">ROUND(B2*10000/(IF(B1="",'数据-汇总表'!E3,INDIRECT("'数据-取费表'!k"&amp;$G$1))),0)</f>
        <v>4479</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233</v>
      </c>
      <c r="D5" s="255" t="s">
        <v>2322</v>
      </c>
      <c r="E5" s="256" t="s">
        <v>2323</v>
      </c>
      <c r="F5" s="256" t="s">
        <v>2324</v>
      </c>
      <c r="G5" s="257"/>
    </row>
    <row r="6" spans="1:9" s="258" customFormat="1" ht="13.5" customHeight="1">
      <c r="A6" s="945" t="s">
        <v>2325</v>
      </c>
      <c r="B6" s="259" t="s">
        <v>2326</v>
      </c>
      <c r="C6" s="260"/>
      <c r="D6" s="261"/>
      <c r="E6" s="262"/>
      <c r="F6" s="262"/>
      <c r="G6" s="263"/>
    </row>
    <row r="7" spans="1:9" s="258" customFormat="1" ht="13.5" customHeight="1">
      <c r="A7" s="945" t="s">
        <v>2327</v>
      </c>
      <c r="B7" s="259" t="s">
        <v>2328</v>
      </c>
      <c r="C7" s="264">
        <f>ROUND(C6*F7,0)</f>
        <v>0</v>
      </c>
      <c r="D7" s="264"/>
      <c r="E7" s="262"/>
      <c r="F7" s="265">
        <f>'数据-取费表'!B48+'数据-取费表'!B49</f>
        <v>3.0499999999999999E-2</v>
      </c>
      <c r="G7" s="263"/>
    </row>
    <row r="8" spans="1:9" s="267" customFormat="1">
      <c r="A8" s="945" t="s">
        <v>2329</v>
      </c>
      <c r="B8" s="259" t="s">
        <v>2330</v>
      </c>
      <c r="C8" s="264">
        <f ca="1">IF(G8="已包含在土地购买价格中","0",IF(B1="",'数据-取费表'!B29,IF(G9="全部缴纳",C9+C10,H9)))</f>
        <v>233</v>
      </c>
      <c r="D8" s="266"/>
      <c r="E8" s="264"/>
      <c r="F8" s="265"/>
      <c r="G8" s="2545"/>
    </row>
    <row r="9" spans="1:9" s="258" customFormat="1" ht="13.5" customHeight="1">
      <c r="A9" s="946" t="s">
        <v>800</v>
      </c>
      <c r="B9" s="268" t="s">
        <v>2331</v>
      </c>
      <c r="C9" s="269">
        <f ca="1">ROUND(D9*E9/10000,0)</f>
        <v>0</v>
      </c>
      <c r="D9" s="1028">
        <f ca="1">IF(B1="",'数据-汇总表'!E5,IF(INDIRECT("'数据-取费表'!c"&amp;$G$1)="住宅",INDIRECT("'数据-取费表'!k"&amp;$G$1),0))</f>
        <v>0</v>
      </c>
      <c r="E9" s="269">
        <f>'数据-取费表'!B27</f>
        <v>160</v>
      </c>
      <c r="F9" s="265"/>
      <c r="G9" s="2546"/>
      <c r="H9" s="1386"/>
      <c r="I9" s="2547" t="s">
        <v>2332</v>
      </c>
    </row>
    <row r="10" spans="1:9" s="258" customFormat="1" ht="13.5" customHeight="1">
      <c r="A10" s="946" t="s">
        <v>801</v>
      </c>
      <c r="B10" s="268" t="s">
        <v>2333</v>
      </c>
      <c r="C10" s="269">
        <f ca="1">ROUND(D10*E10/10000,0)</f>
        <v>233</v>
      </c>
      <c r="D10" s="1028">
        <f ca="1">IF(B1="",'数据-汇总表'!E6,IF(INDIRECT("'数据-取费表'!c"&amp;$G$1)="住宅",INDIRECT("'数据-取费表'!s"&amp;$G$1),INDIRECT("'数据-取费表'!k"&amp;$G$1)+INDIRECT("'数据-取费表'!s"&amp;$G$1)))</f>
        <v>11628.210000000001</v>
      </c>
      <c r="E10" s="269">
        <f>'数据-取费表'!B28</f>
        <v>200</v>
      </c>
      <c r="F10" s="265"/>
      <c r="G10" s="270"/>
    </row>
    <row r="11" spans="1:9" s="258" customFormat="1" ht="13.5" hidden="1" customHeight="1">
      <c r="A11" s="271" t="s">
        <v>7</v>
      </c>
      <c r="B11" s="259" t="s">
        <v>2334</v>
      </c>
      <c r="C11" s="255"/>
      <c r="D11" s="1030"/>
      <c r="E11" s="262"/>
      <c r="F11" s="262"/>
      <c r="G11" s="263"/>
    </row>
    <row r="12" spans="1:9" s="258" customFormat="1" ht="13.5" hidden="1" customHeight="1">
      <c r="A12" s="271" t="s">
        <v>8</v>
      </c>
      <c r="B12" s="259" t="s">
        <v>2335</v>
      </c>
      <c r="C12" s="255">
        <v>0</v>
      </c>
      <c r="D12" s="1030"/>
      <c r="E12" s="272"/>
      <c r="F12" s="265">
        <v>3.0499999999999999E-2</v>
      </c>
      <c r="G12" s="263"/>
    </row>
    <row r="13" spans="1:9" s="258" customFormat="1" ht="13.5" hidden="1" customHeight="1">
      <c r="A13" s="271" t="s">
        <v>9</v>
      </c>
      <c r="B13" s="259" t="s">
        <v>2336</v>
      </c>
      <c r="C13" s="255"/>
      <c r="D13" s="1030"/>
      <c r="E13" s="262"/>
      <c r="F13" s="262"/>
      <c r="G13" s="263"/>
    </row>
    <row r="14" spans="1:9" s="258" customFormat="1" ht="13.5" hidden="1" customHeight="1">
      <c r="A14" s="271" t="s">
        <v>10</v>
      </c>
      <c r="B14" s="259" t="s">
        <v>2337</v>
      </c>
      <c r="C14" s="255"/>
      <c r="D14" s="1030"/>
      <c r="E14" s="262"/>
      <c r="F14" s="262"/>
      <c r="G14" s="263" t="s">
        <v>2338</v>
      </c>
    </row>
    <row r="15" spans="1:9" s="258" customFormat="1" ht="13.5" hidden="1" customHeight="1">
      <c r="A15" s="271" t="s">
        <v>11</v>
      </c>
      <c r="B15" s="259" t="s">
        <v>2339</v>
      </c>
      <c r="C15" s="264"/>
      <c r="D15" s="1030"/>
      <c r="E15" s="262"/>
      <c r="F15" s="262"/>
      <c r="G15" s="263" t="s">
        <v>2340</v>
      </c>
    </row>
    <row r="16" spans="1:9" s="258" customFormat="1" ht="13.5" hidden="1" customHeight="1">
      <c r="A16" s="271" t="s">
        <v>12</v>
      </c>
      <c r="B16" s="259" t="s">
        <v>2337</v>
      </c>
      <c r="C16" s="264"/>
      <c r="D16" s="1030"/>
      <c r="E16" s="262"/>
      <c r="F16" s="262"/>
      <c r="G16" s="263"/>
    </row>
    <row r="17" spans="1:7" s="258" customFormat="1" ht="13.5" hidden="1" customHeight="1">
      <c r="A17" s="271" t="s">
        <v>13</v>
      </c>
      <c r="B17" s="259" t="s">
        <v>2341</v>
      </c>
      <c r="C17" s="273"/>
      <c r="D17" s="1031"/>
      <c r="E17" s="273"/>
      <c r="F17" s="273"/>
      <c r="G17" s="263" t="s">
        <v>2340</v>
      </c>
    </row>
    <row r="18" spans="1:7" s="258" customFormat="1" ht="13.5" hidden="1" customHeight="1">
      <c r="A18" s="271" t="s">
        <v>14</v>
      </c>
      <c r="B18" s="259" t="s">
        <v>2342</v>
      </c>
      <c r="C18" s="264">
        <v>0</v>
      </c>
      <c r="D18" s="1030"/>
      <c r="E18" s="262"/>
      <c r="F18" s="265">
        <v>3.0499999999999999E-2</v>
      </c>
      <c r="G18" s="263" t="s">
        <v>2343</v>
      </c>
    </row>
    <row r="19" spans="1:7" s="267" customFormat="1" ht="13.5" customHeight="1">
      <c r="A19" s="299" t="s">
        <v>2344</v>
      </c>
      <c r="B19" s="254" t="s">
        <v>2345</v>
      </c>
      <c r="C19" s="255">
        <f ca="1">IF(G19="已包含在土地取得成本中","0",ROUND(D19*E19/10000,0))</f>
        <v>233</v>
      </c>
      <c r="D19" s="1032">
        <f ca="1">D9+D10</f>
        <v>11628.210000000001</v>
      </c>
      <c r="E19" s="255">
        <f>'数据-取费表'!B31</f>
        <v>200</v>
      </c>
      <c r="F19" s="275"/>
      <c r="G19" s="2545"/>
    </row>
    <row r="20" spans="1:7" s="258" customFormat="1" ht="13.5" customHeight="1">
      <c r="A20" s="299" t="s">
        <v>2346</v>
      </c>
      <c r="B20" s="254" t="s">
        <v>2347</v>
      </c>
      <c r="C20" s="276">
        <f ca="1">ROUND((C5+C19)*F20,0)</f>
        <v>9</v>
      </c>
      <c r="D20" s="276"/>
      <c r="E20" s="276"/>
      <c r="F20" s="277">
        <f>'数据-取费表'!B37</f>
        <v>0.02</v>
      </c>
      <c r="G20" s="278" t="s">
        <v>2348</v>
      </c>
    </row>
    <row r="21" spans="1:7" s="258" customFormat="1" ht="13.5" customHeight="1">
      <c r="A21" s="299" t="s">
        <v>2349</v>
      </c>
      <c r="B21" s="254" t="s">
        <v>2350</v>
      </c>
      <c r="C21" s="279">
        <f>F21</f>
        <v>0.03</v>
      </c>
      <c r="D21" s="280" t="s">
        <v>2351</v>
      </c>
      <c r="E21" s="276"/>
      <c r="F21" s="277">
        <f>'数据-取费表'!B38</f>
        <v>0.03</v>
      </c>
      <c r="G21" s="278" t="s">
        <v>2352</v>
      </c>
    </row>
    <row r="22" spans="1:7" s="258" customFormat="1" ht="13.5" customHeight="1">
      <c r="A22" s="299" t="s">
        <v>2353</v>
      </c>
      <c r="B22" s="254" t="s">
        <v>2354</v>
      </c>
      <c r="C22" s="1350">
        <f ca="1">ROUND(SUM(C23:C25),0)</f>
        <v>46</v>
      </c>
      <c r="D22" s="279">
        <f ca="1">C26</f>
        <v>1.4E-3</v>
      </c>
      <c r="E22" s="280" t="s">
        <v>2351</v>
      </c>
      <c r="F22" s="281">
        <f ca="1">'数据-取费表'!B40</f>
        <v>4.7500000000000001E-2</v>
      </c>
      <c r="G22" s="278" t="str">
        <f>IF('数据-取费表'!B22&lt;=1,"单利计息","复利计息")</f>
        <v>复利计息</v>
      </c>
    </row>
    <row r="23" spans="1:7" s="258" customFormat="1" ht="13.5" customHeight="1">
      <c r="A23" s="947" t="s">
        <v>2355</v>
      </c>
      <c r="B23" s="259" t="s">
        <v>2356</v>
      </c>
      <c r="C23" s="1351">
        <f ca="1">ROUND(IF('数据-取费表'!B22&lt;=1,C5*F22*'数据-取费表'!B23,C5*(POWER((1+F22),'数据-取费表'!B23)-1)),0)</f>
        <v>23</v>
      </c>
      <c r="D23" s="282"/>
      <c r="E23" s="282"/>
      <c r="F23" s="283"/>
      <c r="G23" s="284" t="s">
        <v>2357</v>
      </c>
    </row>
    <row r="24" spans="1:7" s="258" customFormat="1" ht="13.5" customHeight="1">
      <c r="A24" s="947" t="s">
        <v>2358</v>
      </c>
      <c r="B24" s="259" t="s">
        <v>2359</v>
      </c>
      <c r="C24" s="1351">
        <f ca="1">ROUND(IF('数据-取费表'!B22&lt;=1,C19*F22*('数据-取费表'!B19/2+'数据-取费表'!B21),C19*(POWER((1+F22),('数据-取费表'!B19/2+'数据-取费表'!B21))-1)),0)</f>
        <v>23</v>
      </c>
      <c r="D24" s="282"/>
      <c r="E24" s="282"/>
      <c r="F24" s="283"/>
      <c r="G24" s="284" t="s">
        <v>2360</v>
      </c>
    </row>
    <row r="25" spans="1:7" s="258" customFormat="1" ht="24">
      <c r="A25" s="947" t="s">
        <v>2361</v>
      </c>
      <c r="B25" s="259" t="s">
        <v>2362</v>
      </c>
      <c r="C25" s="1351">
        <f ca="1">ROUND(IF('数据-取费表'!B22&lt;=1,C20*F22*'数据-取费表'!B23/2,C20*(POWER((1+F22),'数据-取费表'!B23/2)-1)),0)</f>
        <v>0</v>
      </c>
      <c r="D25" s="282"/>
      <c r="E25" s="285"/>
      <c r="F25" s="283"/>
      <c r="G25" s="286" t="s">
        <v>2363</v>
      </c>
    </row>
    <row r="26" spans="1:7" s="258" customFormat="1">
      <c r="A26" s="947" t="s">
        <v>795</v>
      </c>
      <c r="B26" s="259" t="s">
        <v>2364</v>
      </c>
      <c r="C26" s="282">
        <f ca="1">ROUND(IF('数据-取费表'!B22&lt;=1,F21*F22*'数据-取费表'!B23/2,F21*(POWER((1+F22),'数据-取费表'!B23/2)-1)),4)</f>
        <v>1.4E-3</v>
      </c>
      <c r="D26" s="282"/>
      <c r="E26" s="285"/>
      <c r="F26" s="283"/>
      <c r="G26" s="287"/>
    </row>
    <row r="27" spans="1:7" s="258" customFormat="1" ht="24.75">
      <c r="A27" s="299" t="s">
        <v>2365</v>
      </c>
      <c r="B27" s="288" t="s">
        <v>2366</v>
      </c>
      <c r="C27" s="289">
        <f ca="1">C28</f>
        <v>71</v>
      </c>
      <c r="D27" s="279">
        <f ca="1">C29</f>
        <v>4.4999999999999997E-3</v>
      </c>
      <c r="E27" s="280" t="s">
        <v>2367</v>
      </c>
      <c r="F27" s="290">
        <f ca="1">IF(B1="",'数据-取费表'!Q16,INDIRECT("'数据-取费表'!q"&amp;$G$1))</f>
        <v>0.15</v>
      </c>
      <c r="G27" s="291" t="s">
        <v>2368</v>
      </c>
    </row>
    <row r="28" spans="1:7" s="258" customFormat="1" ht="13.5" customHeight="1">
      <c r="A28" s="947" t="s">
        <v>791</v>
      </c>
      <c r="B28" s="292" t="s">
        <v>2369</v>
      </c>
      <c r="C28" s="293">
        <f ca="1">ROUND((C5+C19+C20)*F27*'数据-取费表'!B21/'数据-取费表'!B20,0)</f>
        <v>71</v>
      </c>
      <c r="D28" s="279"/>
      <c r="E28" s="280"/>
      <c r="F28" s="290"/>
      <c r="G28" s="291"/>
    </row>
    <row r="29" spans="1:7" s="258" customFormat="1" ht="13.5" customHeight="1">
      <c r="A29" s="947" t="s">
        <v>792</v>
      </c>
      <c r="B29" s="292" t="s">
        <v>2370</v>
      </c>
      <c r="C29" s="282">
        <f ca="1">ROUND(C21*F27*'数据-取费表'!B21/'数据-取费表'!B20,4)</f>
        <v>4.4999999999999997E-3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650</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3775</v>
      </c>
      <c r="D33" s="276"/>
      <c r="E33" s="256"/>
      <c r="F33" s="285"/>
      <c r="G33" s="278"/>
    </row>
    <row r="34" spans="1:7" s="302" customFormat="1" ht="13.5" customHeight="1">
      <c r="A34" s="947" t="s">
        <v>791</v>
      </c>
      <c r="B34" s="259" t="s">
        <v>2378</v>
      </c>
      <c r="C34" s="264">
        <f ca="1">IF(B1="",IF(F34=100%,'数据-取费表'!M16,'数据-取费表'!O16),IF(F34=100%,INDIRECT("'数据-取费表'!m"&amp;$G$1)+INDIRECT("'数据-取费表'!t"&amp;$G$1),INDIRECT("'数据-取费表'!o"&amp;$G$1)+INDIRECT("'数据-取费表'!aq"&amp;$G$1)))</f>
        <v>3389</v>
      </c>
      <c r="D34" s="261"/>
      <c r="E34" s="264"/>
      <c r="F34" s="301">
        <f ca="1">IF('数据-取费表'!B24=0,1,IF(B1="",'数据-取费表'!N16,INDIRECT("'数据-取费表'!n"&amp;$G$1)))</f>
        <v>1</v>
      </c>
      <c r="G34" s="263" t="s">
        <v>2379</v>
      </c>
    </row>
    <row r="35" spans="1:7" ht="13.5" customHeight="1">
      <c r="A35" s="947" t="s">
        <v>796</v>
      </c>
      <c r="B35" s="259" t="s">
        <v>2380</v>
      </c>
      <c r="C35" s="264">
        <f ca="1">ROUND(C34*F35,0)</f>
        <v>102</v>
      </c>
      <c r="D35" s="264"/>
      <c r="E35" s="264"/>
      <c r="F35" s="303">
        <f>'数据-取费表'!B33</f>
        <v>0.03</v>
      </c>
      <c r="G35" s="263" t="s">
        <v>2381</v>
      </c>
    </row>
    <row r="36" spans="1:7" ht="24">
      <c r="A36" s="947"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7" t="s">
        <v>798</v>
      </c>
      <c r="B37" s="259" t="s">
        <v>2384</v>
      </c>
      <c r="C37" s="293">
        <f ca="1">ROUND(E37*D37*F34/10000,0)</f>
        <v>233</v>
      </c>
      <c r="D37" s="261">
        <f ca="1">D19</f>
        <v>11628.210000000001</v>
      </c>
      <c r="E37" s="293">
        <f>'数据-取费表'!B35</f>
        <v>200</v>
      </c>
      <c r="F37" s="303"/>
      <c r="G37" s="305" t="s">
        <v>2385</v>
      </c>
    </row>
    <row r="38" spans="1:7" ht="13.5" customHeight="1">
      <c r="A38" s="947" t="s">
        <v>799</v>
      </c>
      <c r="B38" s="259" t="s">
        <v>2386</v>
      </c>
      <c r="C38" s="264">
        <f ca="1">ROUND(C34*F38,0)</f>
        <v>51</v>
      </c>
      <c r="D38" s="264"/>
      <c r="E38" s="264"/>
      <c r="F38" s="303">
        <f>'数据-取费表'!B36</f>
        <v>1.4999999999999999E-2</v>
      </c>
      <c r="G38" s="263" t="s">
        <v>2381</v>
      </c>
    </row>
    <row r="39" spans="1:7" s="258" customFormat="1" ht="13.5" customHeight="1">
      <c r="A39" s="299" t="s">
        <v>2387</v>
      </c>
      <c r="B39" s="254" t="s">
        <v>2388</v>
      </c>
      <c r="C39" s="276">
        <f ca="1">ROUND(C33*F20,0)</f>
        <v>76</v>
      </c>
      <c r="D39" s="276"/>
      <c r="E39" s="276"/>
      <c r="F39" s="277"/>
      <c r="G39" s="278" t="s">
        <v>2389</v>
      </c>
    </row>
    <row r="40" spans="1:7" s="258" customFormat="1" ht="13.5" customHeight="1">
      <c r="A40" s="299" t="s">
        <v>2390</v>
      </c>
      <c r="B40" s="254" t="s">
        <v>2391</v>
      </c>
      <c r="C40" s="1724">
        <f>F21</f>
        <v>0.03</v>
      </c>
      <c r="D40" s="280" t="s">
        <v>2392</v>
      </c>
      <c r="E40" s="276"/>
      <c r="F40" s="277"/>
      <c r="G40" s="278" t="s">
        <v>2393</v>
      </c>
    </row>
    <row r="41" spans="1:7" s="258" customFormat="1" ht="13.5" customHeight="1">
      <c r="A41" s="299" t="s">
        <v>2394</v>
      </c>
      <c r="B41" s="254" t="s">
        <v>2395</v>
      </c>
      <c r="C41" s="276">
        <f ca="1">ROUND(SUM(C42:C43),0)</f>
        <v>183</v>
      </c>
      <c r="D41" s="279">
        <f ca="1">C44</f>
        <v>1.4E-3</v>
      </c>
      <c r="E41" s="280" t="s">
        <v>2392</v>
      </c>
      <c r="F41" s="281"/>
      <c r="G41" s="278" t="str">
        <f>IF('数据-取费表'!B22&lt;=1,"单利计息","复利计息")</f>
        <v>复利计息</v>
      </c>
    </row>
    <row r="42" spans="1:7" ht="13.5" customHeight="1">
      <c r="A42" s="947" t="s">
        <v>791</v>
      </c>
      <c r="B42" s="259" t="s">
        <v>2396</v>
      </c>
      <c r="C42" s="282">
        <f ca="1">ROUND(IF('数据-取费表'!B22&lt;=1,C33*F22*'数据-取费表'!B21/2,C33*(POWER((1+F22),'数据-取费表'!B21/2)-1)),0)</f>
        <v>179</v>
      </c>
      <c r="D42" s="282"/>
      <c r="E42" s="282"/>
      <c r="F42" s="283"/>
      <c r="G42" s="3261" t="s">
        <v>2397</v>
      </c>
    </row>
    <row r="43" spans="1:7" ht="13.5" customHeight="1">
      <c r="A43" s="947" t="s">
        <v>792</v>
      </c>
      <c r="B43" s="259" t="s">
        <v>2398</v>
      </c>
      <c r="C43" s="282">
        <f ca="1">ROUND(IF('数据-取费表'!B22&lt;=1,C39*F22*'数据-取费表'!B21/2,C39*(POWER((1+F22),'数据-取费表'!B21/2)-1)),0)</f>
        <v>4</v>
      </c>
      <c r="D43" s="282"/>
      <c r="E43" s="282"/>
      <c r="F43" s="283"/>
      <c r="G43" s="3262"/>
    </row>
    <row r="44" spans="1:7" ht="13.5" customHeight="1">
      <c r="A44" s="947" t="s">
        <v>793</v>
      </c>
      <c r="B44" s="259" t="s">
        <v>2399</v>
      </c>
      <c r="C44" s="282">
        <f ca="1">ROUND(IF('数据-取费表'!B22&lt;=1,C40*F22*'数据-取费表'!B21/2,C40*(POWER((1+F22),'数据-取费表'!B21/2)-1)),4)</f>
        <v>1.4E-3</v>
      </c>
      <c r="D44" s="282"/>
      <c r="E44" s="282"/>
      <c r="F44" s="283"/>
      <c r="G44" s="3263"/>
    </row>
    <row r="45" spans="1:7" s="258" customFormat="1" ht="13.5" customHeight="1">
      <c r="A45" s="299" t="s">
        <v>2400</v>
      </c>
      <c r="B45" s="288" t="s">
        <v>2366</v>
      </c>
      <c r="C45" s="289">
        <f ca="1">C46</f>
        <v>578</v>
      </c>
      <c r="D45" s="279">
        <f ca="1">C47</f>
        <v>4.4999999999999997E-3</v>
      </c>
      <c r="E45" s="280" t="s">
        <v>2392</v>
      </c>
      <c r="F45" s="290"/>
      <c r="G45" s="291" t="s">
        <v>2401</v>
      </c>
    </row>
    <row r="46" spans="1:7" s="258" customFormat="1" ht="13.5" customHeight="1">
      <c r="A46" s="947" t="s">
        <v>791</v>
      </c>
      <c r="B46" s="292" t="s">
        <v>2402</v>
      </c>
      <c r="C46" s="293">
        <f ca="1">ROUND((C33+C39)*F27,0)</f>
        <v>578</v>
      </c>
      <c r="D46" s="307"/>
      <c r="E46" s="280"/>
      <c r="F46" s="290"/>
      <c r="G46" s="291"/>
    </row>
    <row r="47" spans="1:7" s="258" customFormat="1" ht="13.5" customHeight="1">
      <c r="A47" s="947" t="s">
        <v>792</v>
      </c>
      <c r="B47" s="292" t="s">
        <v>2403</v>
      </c>
      <c r="C47" s="282">
        <f ca="1">ROUND(C40*F27,4)</f>
        <v>4.4999999999999997E-3</v>
      </c>
      <c r="D47" s="307"/>
      <c r="E47" s="280"/>
      <c r="F47" s="290"/>
      <c r="G47" s="291"/>
    </row>
    <row r="48" spans="1:7" s="258" customFormat="1" ht="13.5" customHeight="1">
      <c r="A48" s="299" t="s">
        <v>2365</v>
      </c>
      <c r="B48" s="254" t="s">
        <v>2404</v>
      </c>
      <c r="C48" s="1724">
        <f>ROUND(F30/(1+'数据-取费表'!C42),4)</f>
        <v>5.33E-2</v>
      </c>
      <c r="D48" s="280" t="s">
        <v>2392</v>
      </c>
      <c r="E48" s="276"/>
      <c r="F48" s="281"/>
      <c r="G48" s="278" t="s">
        <v>2405</v>
      </c>
    </row>
    <row r="49" spans="1:7" ht="16.5" customHeight="1">
      <c r="A49" s="299" t="s">
        <v>2371</v>
      </c>
      <c r="B49" s="254" t="s">
        <v>2406</v>
      </c>
      <c r="C49" s="276">
        <f ca="1">ROUND((C33+C39+C41+C45)/(1-C40-D41-D45-C48),0)</f>
        <v>5064</v>
      </c>
      <c r="D49" s="276"/>
      <c r="E49" s="276"/>
      <c r="F49" s="308"/>
      <c r="G49" s="278" t="s">
        <v>2407</v>
      </c>
    </row>
    <row r="50" spans="1:7" s="302" customFormat="1" ht="24">
      <c r="A50" s="299" t="s">
        <v>2408</v>
      </c>
      <c r="B50" s="254" t="s">
        <v>2409</v>
      </c>
      <c r="C50" s="276"/>
      <c r="D50" s="276"/>
      <c r="E50" s="276"/>
      <c r="F50" s="308">
        <f>IF('数据-取费表'!B24=0,'数据-取费表'!N16,1)</f>
        <v>0.9</v>
      </c>
      <c r="G50" s="291" t="s">
        <v>2410</v>
      </c>
    </row>
    <row r="51" spans="1:7" ht="16.5" customHeight="1">
      <c r="A51" s="299" t="s">
        <v>2411</v>
      </c>
      <c r="B51" s="254" t="s">
        <v>2412</v>
      </c>
      <c r="C51" s="276">
        <f ca="1">ROUND(C49*F50,0)</f>
        <v>4558</v>
      </c>
      <c r="D51" s="276"/>
      <c r="E51" s="276"/>
      <c r="F51" s="308"/>
      <c r="G51" s="278" t="s">
        <v>2413</v>
      </c>
    </row>
    <row r="52" spans="1:7" s="252" customFormat="1" ht="16.5" thickBot="1">
      <c r="A52" s="309" t="s">
        <v>2414</v>
      </c>
      <c r="B52" s="310"/>
      <c r="C52" s="311">
        <f ca="1">C31+C51</f>
        <v>5208</v>
      </c>
      <c r="D52" s="310"/>
      <c r="E52" s="310"/>
      <c r="F52" s="310"/>
      <c r="G52" s="312"/>
    </row>
    <row r="55" spans="1:7" ht="15">
      <c r="B55" s="314" t="s">
        <v>2415</v>
      </c>
      <c r="C55" s="315"/>
    </row>
    <row r="56" spans="1:7">
      <c r="B56" s="317" t="s">
        <v>1514</v>
      </c>
      <c r="C56" s="319">
        <f ca="1">1-C57</f>
        <v>0.125</v>
      </c>
    </row>
    <row r="57" spans="1:7">
      <c r="B57" s="317" t="s">
        <v>1515</v>
      </c>
      <c r="C57" s="318">
        <f ca="1">ROUND(C51/C52,3)</f>
        <v>0.875</v>
      </c>
    </row>
  </sheetData>
  <sheetProtection password="C66D" sheet="1" objects="1" scenarios="1" formatCells="0"/>
  <mergeCells count="1">
    <mergeCell ref="G42:G44"/>
  </mergeCells>
  <phoneticPr fontId="14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33650</v>
      </c>
      <c r="C2" s="2" t="s">
        <v>133</v>
      </c>
      <c r="D2" s="243"/>
      <c r="E2" s="243"/>
      <c r="F2" s="243"/>
      <c r="G2" s="243"/>
    </row>
    <row r="3" spans="1:7" s="244" customFormat="1" ht="18" customHeight="1" thickBot="1">
      <c r="A3" s="247" t="s">
        <v>85</v>
      </c>
      <c r="B3" s="248">
        <f ca="1">ROUND(B2*10000/'数据-汇总表'!E3,0)</f>
        <v>28938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1148</v>
      </c>
    </row>
    <row r="9" spans="1:7" s="258" customFormat="1" ht="13.5" customHeight="1">
      <c r="A9" s="946" t="s">
        <v>800</v>
      </c>
      <c r="B9" s="268" t="s">
        <v>93</v>
      </c>
      <c r="C9" s="269">
        <f>ROUND(D9*E9/10000,0)</f>
        <v>0</v>
      </c>
      <c r="D9" s="1028">
        <f>'数据-汇总表'!E5</f>
        <v>0</v>
      </c>
      <c r="E9" s="269">
        <f>'数据-取费表'!B27</f>
        <v>160</v>
      </c>
      <c r="F9" s="265"/>
      <c r="G9" s="270"/>
    </row>
    <row r="10" spans="1:7" s="258" customFormat="1" ht="13.5" customHeight="1">
      <c r="A10" s="946" t="s">
        <v>801</v>
      </c>
      <c r="B10" s="268" t="s">
        <v>94</v>
      </c>
      <c r="C10" s="269">
        <f>ROUND(D10*E10/10000,0)</f>
        <v>233</v>
      </c>
      <c r="D10" s="1028">
        <f>'数据-汇总表'!E6</f>
        <v>11628.210000000001</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1055</v>
      </c>
      <c r="B19" s="254" t="s">
        <v>111</v>
      </c>
      <c r="C19" s="255">
        <f>IF(G19="已包含在土地取得成本中","0",ROUND(D19*E19/10000,0))</f>
        <v>233</v>
      </c>
      <c r="D19" s="1032">
        <f>'数据-汇总表'!E3</f>
        <v>11628.210000000001</v>
      </c>
      <c r="E19" s="255">
        <f>'数据-取费表'!B31</f>
        <v>200</v>
      </c>
      <c r="F19" s="275"/>
      <c r="G19" s="1" t="s">
        <v>1074</v>
      </c>
    </row>
    <row r="20" spans="1:7" s="258" customFormat="1" ht="13.5" customHeight="1">
      <c r="A20" s="944" t="s">
        <v>1057</v>
      </c>
      <c r="B20" s="254" t="s">
        <v>104</v>
      </c>
      <c r="C20" s="276">
        <f>ROUND((C5+C19)*F20,0)</f>
        <v>417</v>
      </c>
      <c r="D20" s="276"/>
      <c r="E20" s="276"/>
      <c r="F20" s="277">
        <f>'数据-取费表'!B37</f>
        <v>0.02</v>
      </c>
      <c r="G20" s="1285" t="s">
        <v>1068</v>
      </c>
    </row>
    <row r="21" spans="1:7" s="258" customFormat="1" ht="13.5" customHeight="1">
      <c r="A21" s="944" t="s">
        <v>1059</v>
      </c>
      <c r="B21" s="254" t="s">
        <v>105</v>
      </c>
      <c r="C21" s="279">
        <f>F21</f>
        <v>0.03</v>
      </c>
      <c r="D21" s="280" t="s">
        <v>126</v>
      </c>
      <c r="E21" s="276"/>
      <c r="F21" s="277">
        <f>'数据-取费表'!B38</f>
        <v>0.03</v>
      </c>
      <c r="G21" s="278" t="s">
        <v>106</v>
      </c>
    </row>
    <row r="22" spans="1:7" s="258" customFormat="1" ht="13.5" customHeight="1">
      <c r="A22" s="944" t="s">
        <v>786</v>
      </c>
      <c r="B22" s="254" t="s">
        <v>107</v>
      </c>
      <c r="C22" s="1350">
        <f ca="1">ROUND(SUM(C23:C25),0)</f>
        <v>2047</v>
      </c>
      <c r="D22" s="279">
        <f ca="1">C26</f>
        <v>1.4E-3</v>
      </c>
      <c r="E22" s="280" t="s">
        <v>126</v>
      </c>
      <c r="F22" s="281">
        <f ca="1">'数据-取费表'!B40</f>
        <v>4.7500000000000001E-2</v>
      </c>
      <c r="G22" s="1285" t="str">
        <f>IF('数据-取费表'!B22&lt;=1,"单利计息","复利计息")</f>
        <v>复利计息</v>
      </c>
    </row>
    <row r="23" spans="1:7" s="258" customFormat="1" ht="13.5" customHeight="1">
      <c r="A23" s="947" t="s">
        <v>794</v>
      </c>
      <c r="B23" s="259" t="s">
        <v>1061</v>
      </c>
      <c r="C23" s="1351">
        <f ca="1">ROUND(IF('数据-取费表'!B22&lt;=1,C5*F22*'数据-取费表'!B23,C5*(POWER((1+F22),'数据-取费表'!B23)-1)),0)</f>
        <v>2004</v>
      </c>
      <c r="D23" s="282"/>
      <c r="E23" s="282"/>
      <c r="F23" s="283"/>
      <c r="G23" s="284" t="s">
        <v>108</v>
      </c>
    </row>
    <row r="24" spans="1:7" s="258" customFormat="1" ht="13.5" customHeight="1">
      <c r="A24" s="947" t="s">
        <v>792</v>
      </c>
      <c r="B24" s="259" t="s">
        <v>1056</v>
      </c>
      <c r="C24" s="1351">
        <f ca="1">ROUND(IF('数据-取费表'!B22&lt;=1,C19*F22*('数据-取费表'!B19/2+'数据-取费表'!B21),C19*(POWER((1+F22),('数据-取费表'!B19/2+'数据-取费表'!B21))-1)),0)</f>
        <v>23</v>
      </c>
      <c r="D24" s="282"/>
      <c r="E24" s="282"/>
      <c r="F24" s="283"/>
      <c r="G24" s="284" t="s">
        <v>109</v>
      </c>
    </row>
    <row r="25" spans="1:7" s="258" customFormat="1" ht="24">
      <c r="A25" s="947" t="s">
        <v>793</v>
      </c>
      <c r="B25" s="259" t="s">
        <v>1058</v>
      </c>
      <c r="C25" s="1351">
        <f ca="1">ROUND(IF('数据-取费表'!B22&lt;=1,C20*F22*'数据-取费表'!B23/2,C20*(POWER((1+F22),'数据-取费表'!B23/2)-1)),0)</f>
        <v>20</v>
      </c>
      <c r="D25" s="282"/>
      <c r="E25" s="285"/>
      <c r="F25" s="283"/>
      <c r="G25" s="286" t="s">
        <v>110</v>
      </c>
    </row>
    <row r="26" spans="1:7" s="258" customFormat="1">
      <c r="A26" s="947" t="s">
        <v>795</v>
      </c>
      <c r="B26" s="259" t="s">
        <v>1060</v>
      </c>
      <c r="C26" s="282">
        <f ca="1">ROUND(IF('数据-取费表'!B22&lt;=1,F21*F22*'数据-取费表'!B23/2,F21*(POWER((1+F22),'数据-取费表'!B23/2)-1)),4)</f>
        <v>1.4E-3</v>
      </c>
      <c r="D26" s="282"/>
      <c r="E26" s="285"/>
      <c r="F26" s="283"/>
      <c r="G26" s="287"/>
    </row>
    <row r="27" spans="1:7" s="258" customFormat="1" ht="24.75">
      <c r="A27" s="944" t="s">
        <v>787</v>
      </c>
      <c r="B27" s="288" t="s">
        <v>112</v>
      </c>
      <c r="C27" s="289">
        <f>C28</f>
        <v>3189</v>
      </c>
      <c r="D27" s="279">
        <f>C29</f>
        <v>4.4999999999999997E-3</v>
      </c>
      <c r="E27" s="280" t="s">
        <v>126</v>
      </c>
      <c r="F27" s="290">
        <f>'数据-取费表'!Q16</f>
        <v>0.15</v>
      </c>
      <c r="G27" s="291" t="s">
        <v>1069</v>
      </c>
    </row>
    <row r="28" spans="1:7" s="258" customFormat="1" ht="13.5" customHeight="1">
      <c r="A28" s="947" t="s">
        <v>794</v>
      </c>
      <c r="B28" s="292" t="s">
        <v>1062</v>
      </c>
      <c r="C28" s="293">
        <f>ROUND((C5+C19+C20)*F27*'数据-取费表'!B21/'数据-取费表'!B20,0)</f>
        <v>3189</v>
      </c>
      <c r="D28" s="279"/>
      <c r="E28" s="280"/>
      <c r="F28" s="290"/>
      <c r="G28" s="291"/>
    </row>
    <row r="29" spans="1:7" s="258" customFormat="1" ht="13.5" customHeight="1">
      <c r="A29" s="947" t="s">
        <v>792</v>
      </c>
      <c r="B29" s="292" t="s">
        <v>1063</v>
      </c>
      <c r="C29" s="282">
        <f>ROUND(C21*F27*'数据-取费表'!B21/'数据-取费表'!B20,4)</f>
        <v>4.4999999999999997E-3</v>
      </c>
      <c r="D29" s="279"/>
      <c r="E29" s="280"/>
      <c r="F29" s="290"/>
      <c r="G29" s="291"/>
    </row>
    <row r="30" spans="1:7" s="258" customFormat="1" ht="13.5" customHeight="1">
      <c r="A30" s="944"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29092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3775</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3389</v>
      </c>
      <c r="D34" s="261"/>
      <c r="E34" s="264"/>
      <c r="F34" s="301">
        <f>IF('数据-取费表'!B24=0,1,'数据-取费表'!N16)</f>
        <v>1</v>
      </c>
      <c r="G34" s="263" t="s">
        <v>116</v>
      </c>
    </row>
    <row r="35" spans="1:7" ht="13.5" customHeight="1">
      <c r="A35" s="947" t="s">
        <v>796</v>
      </c>
      <c r="B35" s="259" t="s">
        <v>60</v>
      </c>
      <c r="C35" s="264">
        <f>ROUND(C34*F35,0)</f>
        <v>102</v>
      </c>
      <c r="D35" s="264"/>
      <c r="E35" s="264"/>
      <c r="F35" s="303">
        <f>'数据-取费表'!B33</f>
        <v>0.03</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798</v>
      </c>
      <c r="B37" s="259" t="s">
        <v>118</v>
      </c>
      <c r="C37" s="293">
        <f>ROUND(E37*D37*F34/10000,0)</f>
        <v>233</v>
      </c>
      <c r="D37" s="261">
        <f>'数据-汇总表'!E3</f>
        <v>11628.210000000001</v>
      </c>
      <c r="E37" s="293">
        <f>'数据-取费表'!B35</f>
        <v>200</v>
      </c>
      <c r="F37" s="303"/>
      <c r="G37" s="305" t="s">
        <v>119</v>
      </c>
    </row>
    <row r="38" spans="1:7" ht="13.5" customHeight="1">
      <c r="A38" s="947" t="s">
        <v>799</v>
      </c>
      <c r="B38" s="259" t="s">
        <v>63</v>
      </c>
      <c r="C38" s="264">
        <f>ROUND(C34*F38,0)</f>
        <v>51</v>
      </c>
      <c r="D38" s="264"/>
      <c r="E38" s="264"/>
      <c r="F38" s="303">
        <f>'数据-取费表'!B36</f>
        <v>1.4999999999999999E-2</v>
      </c>
      <c r="G38" s="263" t="s">
        <v>117</v>
      </c>
    </row>
    <row r="39" spans="1:7" s="258" customFormat="1" ht="13.5" customHeight="1">
      <c r="A39" s="944" t="s">
        <v>783</v>
      </c>
      <c r="B39" s="254" t="s">
        <v>104</v>
      </c>
      <c r="C39" s="276">
        <f>ROUND(C33*F20,0)</f>
        <v>76</v>
      </c>
      <c r="D39" s="276"/>
      <c r="E39" s="276"/>
      <c r="F39" s="277"/>
      <c r="G39" s="1285" t="s">
        <v>1071</v>
      </c>
    </row>
    <row r="40" spans="1:7" s="258" customFormat="1" ht="13.5" customHeight="1">
      <c r="A40" s="944" t="s">
        <v>784</v>
      </c>
      <c r="B40" s="254" t="s">
        <v>105</v>
      </c>
      <c r="C40" s="306">
        <f>F21</f>
        <v>0.03</v>
      </c>
      <c r="D40" s="280" t="s">
        <v>129</v>
      </c>
      <c r="E40" s="276"/>
      <c r="F40" s="277"/>
      <c r="G40" s="278" t="s">
        <v>120</v>
      </c>
    </row>
    <row r="41" spans="1:7" s="258" customFormat="1" ht="13.5" customHeight="1">
      <c r="A41" s="944" t="s">
        <v>785</v>
      </c>
      <c r="B41" s="254" t="s">
        <v>107</v>
      </c>
      <c r="C41" s="276">
        <f ca="1">ROUND(SUM(C42:C43),0)</f>
        <v>183</v>
      </c>
      <c r="D41" s="279">
        <f ca="1">C44</f>
        <v>1.4E-3</v>
      </c>
      <c r="E41" s="280" t="s">
        <v>129</v>
      </c>
      <c r="F41" s="281"/>
      <c r="G41" s="1285" t="str">
        <f>IF('数据-取费表'!B22&lt;=1,"单利计息","复利计息")</f>
        <v>复利计息</v>
      </c>
    </row>
    <row r="42" spans="1:7" ht="13.5" customHeight="1">
      <c r="A42" s="947" t="s">
        <v>794</v>
      </c>
      <c r="B42" s="259" t="s">
        <v>1061</v>
      </c>
      <c r="C42" s="282">
        <f ca="1">ROUND(IF('数据-取费表'!B22&lt;=1,C33*F22*'数据-取费表'!B21/2,C33*(POWER((1+F22),'数据-取费表'!B21/2)-1)),0)</f>
        <v>179</v>
      </c>
      <c r="D42" s="282"/>
      <c r="E42" s="282"/>
      <c r="F42" s="283"/>
      <c r="G42" s="3261" t="s">
        <v>121</v>
      </c>
    </row>
    <row r="43" spans="1:7" ht="13.5" customHeight="1">
      <c r="A43" s="947" t="s">
        <v>792</v>
      </c>
      <c r="B43" s="259" t="s">
        <v>1064</v>
      </c>
      <c r="C43" s="282">
        <f ca="1">ROUND(IF('数据-取费表'!B22&lt;=1,C39*F22*'数据-取费表'!B21/2,C39*(POWER((1+F22),'数据-取费表'!B21/2)-1)),0)</f>
        <v>4</v>
      </c>
      <c r="D43" s="282"/>
      <c r="E43" s="282"/>
      <c r="F43" s="283"/>
      <c r="G43" s="3262"/>
    </row>
    <row r="44" spans="1:7" ht="13.5" customHeight="1">
      <c r="A44" s="947" t="s">
        <v>793</v>
      </c>
      <c r="B44" s="259" t="s">
        <v>1066</v>
      </c>
      <c r="C44" s="282">
        <f ca="1">ROUND(IF('数据-取费表'!B22&lt;=1,C40*F22*'数据-取费表'!B21/2,C40*(POWER((1+F22),'数据-取费表'!B21/2)-1)),4)</f>
        <v>1.4E-3</v>
      </c>
      <c r="D44" s="282"/>
      <c r="E44" s="282"/>
      <c r="F44" s="283"/>
      <c r="G44" s="3263"/>
    </row>
    <row r="45" spans="1:7" s="258" customFormat="1" ht="13.5" customHeight="1">
      <c r="A45" s="944" t="s">
        <v>786</v>
      </c>
      <c r="B45" s="288" t="s">
        <v>112</v>
      </c>
      <c r="C45" s="289">
        <f>C46</f>
        <v>578</v>
      </c>
      <c r="D45" s="279">
        <f>C47</f>
        <v>4.4999999999999997E-3</v>
      </c>
      <c r="E45" s="280" t="s">
        <v>129</v>
      </c>
      <c r="F45" s="290"/>
      <c r="G45" s="291" t="s">
        <v>1072</v>
      </c>
    </row>
    <row r="46" spans="1:7" s="258" customFormat="1" ht="13.5" customHeight="1">
      <c r="A46" s="947" t="s">
        <v>794</v>
      </c>
      <c r="B46" s="292" t="s">
        <v>1065</v>
      </c>
      <c r="C46" s="293">
        <f>ROUND((C33+C39)*F27,0)</f>
        <v>578</v>
      </c>
      <c r="D46" s="307"/>
      <c r="E46" s="280"/>
      <c r="F46" s="290"/>
      <c r="G46" s="291"/>
    </row>
    <row r="47" spans="1:7" s="258" customFormat="1" ht="13.5" customHeight="1">
      <c r="A47" s="947" t="s">
        <v>792</v>
      </c>
      <c r="B47" s="292" t="s">
        <v>1067</v>
      </c>
      <c r="C47" s="282">
        <f>ROUND(C40*F27,4)</f>
        <v>4.4999999999999997E-3</v>
      </c>
      <c r="D47" s="307"/>
      <c r="E47" s="280"/>
      <c r="F47" s="290"/>
      <c r="G47" s="291"/>
    </row>
    <row r="48" spans="1:7" s="258" customFormat="1" ht="13.5" customHeight="1">
      <c r="A48" s="944" t="s">
        <v>787</v>
      </c>
      <c r="B48" s="254" t="s">
        <v>122</v>
      </c>
      <c r="C48" s="306">
        <f>F30</f>
        <v>5.6000000000000001E-2</v>
      </c>
      <c r="D48" s="280" t="s">
        <v>130</v>
      </c>
      <c r="E48" s="276"/>
      <c r="F48" s="281"/>
      <c r="G48" s="278" t="s">
        <v>123</v>
      </c>
    </row>
    <row r="49" spans="1:7" ht="16.5" customHeight="1">
      <c r="A49" s="944" t="s">
        <v>788</v>
      </c>
      <c r="B49" s="254" t="s">
        <v>131</v>
      </c>
      <c r="C49" s="276">
        <f ca="1">ROUND((C33+C39+C41+C45)/(1-C40-D41-D45-C48/(1+'数据-取费表'!B42)),0)</f>
        <v>5064</v>
      </c>
      <c r="D49" s="276"/>
      <c r="E49" s="276"/>
      <c r="F49" s="308"/>
      <c r="G49" s="278" t="s">
        <v>1073</v>
      </c>
    </row>
    <row r="50" spans="1:7" s="302" customFormat="1" ht="24">
      <c r="A50" s="944" t="s">
        <v>789</v>
      </c>
      <c r="B50" s="254" t="s">
        <v>124</v>
      </c>
      <c r="C50" s="276"/>
      <c r="D50" s="276"/>
      <c r="E50" s="276"/>
      <c r="F50" s="308">
        <f>IF('数据-取费表'!B24=0,'数据-取费表'!N16,1)</f>
        <v>0.9</v>
      </c>
      <c r="G50" s="291" t="s">
        <v>125</v>
      </c>
    </row>
    <row r="51" spans="1:7" ht="16.5" customHeight="1">
      <c r="A51" s="944" t="s">
        <v>790</v>
      </c>
      <c r="B51" s="254" t="s">
        <v>132</v>
      </c>
      <c r="C51" s="276">
        <f ca="1">ROUND(C49*F50,0)</f>
        <v>4558</v>
      </c>
      <c r="D51" s="276"/>
      <c r="E51" s="276"/>
      <c r="F51" s="308"/>
      <c r="G51" s="278" t="s">
        <v>64</v>
      </c>
    </row>
    <row r="52" spans="1:7" s="252" customFormat="1" ht="16.5" thickBot="1">
      <c r="A52" s="309" t="s">
        <v>65</v>
      </c>
      <c r="B52" s="310"/>
      <c r="C52" s="311">
        <f ca="1">C31+C51</f>
        <v>33650</v>
      </c>
      <c r="D52" s="310"/>
      <c r="E52" s="310"/>
      <c r="F52" s="310"/>
      <c r="G52" s="312"/>
    </row>
    <row r="55" spans="1:7" ht="15">
      <c r="B55" s="314" t="s">
        <v>66</v>
      </c>
      <c r="C55" s="315"/>
    </row>
    <row r="56" spans="1:7">
      <c r="B56" s="317" t="s">
        <v>67</v>
      </c>
      <c r="C56" s="318">
        <f ca="1">ROUND(C51/C52,3)</f>
        <v>0.13500000000000001</v>
      </c>
    </row>
    <row r="57" spans="1:7">
      <c r="B57" s="317" t="s">
        <v>68</v>
      </c>
      <c r="C57" s="319">
        <f ca="1">1-C56</f>
        <v>0.86499999999999999</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848" customWidth="1"/>
    <col min="2" max="5" width="10.125" style="806" customWidth="1"/>
    <col min="6" max="6" width="8.875" style="806"/>
    <col min="7" max="8" width="8.875" style="821"/>
    <col min="9" max="16384" width="8.875" style="806"/>
  </cols>
  <sheetData>
    <row r="1" spans="1:19">
      <c r="A1" s="3404" t="s">
        <v>156</v>
      </c>
      <c r="B1" s="3404"/>
      <c r="C1" s="3404"/>
      <c r="D1" s="3404"/>
      <c r="E1" s="3404"/>
      <c r="F1" s="3404"/>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405" t="s">
        <v>169</v>
      </c>
      <c r="B2" s="3405"/>
      <c r="C2" s="3405"/>
      <c r="D2" s="3405"/>
      <c r="E2" s="3405"/>
      <c r="F2" s="3405"/>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406"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407"/>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2"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48" customWidth="1"/>
    <col min="2" max="2" width="10.125" style="806" customWidth="1"/>
  </cols>
  <sheetData>
    <row r="1" spans="1:6">
      <c r="A1" s="3404" t="s">
        <v>871</v>
      </c>
      <c r="B1" s="3404"/>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24.75" thickBot="1">
      <c r="A72" s="833" t="s">
        <v>137</v>
      </c>
      <c r="B72" s="827" t="s">
        <v>885</v>
      </c>
      <c r="C72" s="1073"/>
      <c r="D72" s="1073"/>
      <c r="E72" s="1073"/>
      <c r="F72" s="1061">
        <v>0.05</v>
      </c>
    </row>
    <row r="73" spans="1:6" ht="24.75" thickBot="1">
      <c r="A73" s="833" t="s">
        <v>137</v>
      </c>
      <c r="B73" s="827" t="s">
        <v>886</v>
      </c>
      <c r="C73" s="1073"/>
      <c r="D73" s="1073"/>
      <c r="E73" s="1073"/>
      <c r="F73" s="1061">
        <v>0.05</v>
      </c>
    </row>
    <row r="74" spans="1:6" ht="24.75" thickBot="1">
      <c r="A74" s="833" t="s">
        <v>137</v>
      </c>
      <c r="B74" s="827" t="s">
        <v>887</v>
      </c>
      <c r="C74" s="1073"/>
      <c r="D74" s="1073"/>
      <c r="E74" s="1073"/>
      <c r="F74" s="1061">
        <v>0.05</v>
      </c>
    </row>
    <row r="75" spans="1:6" ht="24.7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24.7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24.7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100" type="noConversion"/>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defaultColWidth="8.875" defaultRowHeight="14.25"/>
  <cols>
    <col min="1" max="1" width="27.625" style="1941" customWidth="1"/>
    <col min="2" max="9" width="12.125" style="1941" customWidth="1"/>
    <col min="10" max="16384" width="8.875" style="1941"/>
  </cols>
  <sheetData>
    <row r="1" spans="1:9" ht="18.75" thickBot="1">
      <c r="A1" s="3082" t="str">
        <f>IF(项目基本情况!B9="房地产市场价值","估价结果一览表","结果表-2")</f>
        <v>结果表-2</v>
      </c>
      <c r="B1" s="3082"/>
      <c r="C1" s="3082"/>
      <c r="D1" s="3082"/>
      <c r="E1" s="3082"/>
      <c r="F1" s="3082"/>
      <c r="G1" s="3082"/>
      <c r="H1" s="3082"/>
      <c r="I1" s="3082"/>
    </row>
    <row r="2" spans="1:9" ht="30" customHeight="1" thickTop="1">
      <c r="A2" s="3083" t="s">
        <v>1642</v>
      </c>
      <c r="B2" s="3083" t="s">
        <v>1643</v>
      </c>
      <c r="C2" s="3083" t="s">
        <v>1644</v>
      </c>
      <c r="D2" s="3083" t="str">
        <f>结果表!D116</f>
        <v>出让国有建设用地使用权价值</v>
      </c>
      <c r="E2" s="3083"/>
      <c r="F2" s="3083" t="str">
        <f>结果表!F116</f>
        <v>建筑物价值</v>
      </c>
      <c r="G2" s="3083"/>
      <c r="H2" s="3083" t="str">
        <f>IF(项目基本情况!B9="房地产市场价值","房地产市场价值","房地产价值")</f>
        <v>房地产价值</v>
      </c>
      <c r="I2" s="3083"/>
    </row>
    <row r="3" spans="1:9" ht="15">
      <c r="A3" s="3077"/>
      <c r="B3" s="3077"/>
      <c r="C3" s="3077"/>
      <c r="D3" s="1040" t="s">
        <v>1639</v>
      </c>
      <c r="E3" s="1040" t="s">
        <v>1645</v>
      </c>
      <c r="F3" s="1040" t="s">
        <v>1639</v>
      </c>
      <c r="G3" s="1040" t="s">
        <v>1640</v>
      </c>
      <c r="H3" s="1040" t="s">
        <v>1639</v>
      </c>
      <c r="I3" s="1040" t="s">
        <v>1640</v>
      </c>
    </row>
    <row r="4" spans="1:9" ht="30">
      <c r="A4" s="1969" t="str">
        <f>项目基本情况!S2</f>
        <v>北京市海淀区西四环北路160号房地产</v>
      </c>
      <c r="B4" s="1040">
        <f>项目基本情况!C17</f>
        <v>11628.210000000001</v>
      </c>
      <c r="C4" s="1040">
        <f>项目基本情况!C18</f>
        <v>966.97</v>
      </c>
      <c r="D4" s="1040">
        <f ca="1">结果表!D118</f>
        <v>37508</v>
      </c>
      <c r="E4" s="1040">
        <f ca="1">结果表!E118</f>
        <v>43960</v>
      </c>
      <c r="F4" s="1040">
        <f ca="1">结果表!F118</f>
        <v>0</v>
      </c>
      <c r="G4" s="1040">
        <f ca="1">结果表!G118</f>
        <v>0</v>
      </c>
      <c r="H4" s="1040">
        <f ca="1">结果表!H118</f>
        <v>37508</v>
      </c>
      <c r="I4" s="1040">
        <f ca="1">结果表!I118</f>
        <v>43960</v>
      </c>
    </row>
    <row r="5" spans="1:9" ht="30" customHeight="1">
      <c r="A5" s="3077" t="s">
        <v>1641</v>
      </c>
      <c r="B5" s="3077"/>
      <c r="C5" s="3077"/>
      <c r="D5" s="3078" t="str">
        <f ca="1">结果表!D119</f>
        <v>叁亿柒仟伍佰零捌万元整</v>
      </c>
      <c r="E5" s="3078"/>
      <c r="F5" s="3078" t="str">
        <f ca="1">结果表!F119</f>
        <v>零元整</v>
      </c>
      <c r="G5" s="3078"/>
      <c r="H5" s="3078" t="str">
        <f ca="1">结果表!H119</f>
        <v>叁亿柒仟伍佰零捌万元整</v>
      </c>
      <c r="I5" s="3078"/>
    </row>
    <row r="6" spans="1:9" ht="15.75">
      <c r="A6" s="3076" t="str">
        <f>结果表!A120</f>
        <v>估价师知悉的法定优先受偿款</v>
      </c>
      <c r="B6" s="3076"/>
      <c r="C6" s="3076"/>
      <c r="D6" s="3076">
        <f>结果表!D120</f>
        <v>0</v>
      </c>
      <c r="E6" s="3076"/>
      <c r="F6" s="3076"/>
      <c r="G6" s="3076"/>
      <c r="H6" s="3076"/>
      <c r="I6" s="3076"/>
    </row>
    <row r="7" spans="1:9" ht="15">
      <c r="A7" s="3077" t="s">
        <v>1641</v>
      </c>
      <c r="B7" s="3077"/>
      <c r="C7" s="3077"/>
      <c r="D7" s="3079" t="str">
        <f>结果表!D121</f>
        <v>零元整</v>
      </c>
      <c r="E7" s="3080"/>
      <c r="F7" s="3080"/>
      <c r="G7" s="3080"/>
      <c r="H7" s="3080"/>
      <c r="I7" s="3081"/>
    </row>
    <row r="8" spans="1:9" ht="15.75">
      <c r="A8" s="3076" t="str">
        <f>结果表!A122</f>
        <v>房地产抵押价值</v>
      </c>
      <c r="B8" s="3076"/>
      <c r="C8" s="3076"/>
      <c r="D8" s="3076">
        <f ca="1">结果表!D122</f>
        <v>37508</v>
      </c>
      <c r="E8" s="3076"/>
      <c r="F8" s="3076"/>
      <c r="G8" s="3076"/>
      <c r="H8" s="3076"/>
      <c r="I8" s="3076"/>
    </row>
    <row r="9" spans="1:9" ht="15">
      <c r="A9" s="3077" t="s">
        <v>1641</v>
      </c>
      <c r="B9" s="3077"/>
      <c r="C9" s="3077"/>
      <c r="D9" s="3078" t="str">
        <f ca="1">结果表!D123</f>
        <v>叁亿柒仟伍佰零捌万元整</v>
      </c>
      <c r="E9" s="3078"/>
      <c r="F9" s="3078"/>
      <c r="G9" s="3078"/>
      <c r="H9" s="3078"/>
      <c r="I9" s="3078"/>
    </row>
    <row r="10" spans="1:9" ht="15.75">
      <c r="A10" s="3076" t="str">
        <f>结果表!A124</f>
        <v/>
      </c>
      <c r="B10" s="3076"/>
      <c r="C10" s="3076"/>
      <c r="D10" s="3076" t="str">
        <f>结果表!D124</f>
        <v>——</v>
      </c>
      <c r="E10" s="3076"/>
      <c r="F10" s="3076"/>
      <c r="G10" s="3076"/>
      <c r="H10" s="3076"/>
      <c r="I10" s="3076"/>
    </row>
    <row r="11" spans="1:9" ht="15">
      <c r="A11" s="3077" t="s">
        <v>1641</v>
      </c>
      <c r="B11" s="3077"/>
      <c r="C11" s="3077"/>
      <c r="D11" s="3078" t="e">
        <f>结果表!D125</f>
        <v>#VALUE!</v>
      </c>
      <c r="E11" s="3078"/>
      <c r="F11" s="3078"/>
      <c r="G11" s="3078"/>
      <c r="H11" s="3078"/>
      <c r="I11" s="3078"/>
    </row>
    <row r="12" spans="1:9" ht="15.75">
      <c r="A12" s="3076" t="str">
        <f>结果表!A126</f>
        <v/>
      </c>
      <c r="B12" s="3076"/>
      <c r="C12" s="3076"/>
      <c r="D12" s="3076" t="str">
        <f>结果表!D126</f>
        <v>——</v>
      </c>
      <c r="E12" s="3076"/>
      <c r="F12" s="3076"/>
      <c r="G12" s="3076"/>
      <c r="H12" s="3076"/>
      <c r="I12" s="3076"/>
    </row>
    <row r="13" spans="1:9" ht="15.75" thickBot="1">
      <c r="A13" s="3073" t="s">
        <v>1641</v>
      </c>
      <c r="B13" s="3073"/>
      <c r="C13" s="3073"/>
      <c r="D13" s="3074" t="e">
        <f>结果表!D127</f>
        <v>#VALUE!</v>
      </c>
      <c r="E13" s="3074"/>
      <c r="F13" s="3074"/>
      <c r="G13" s="3074"/>
      <c r="H13" s="3074"/>
      <c r="I13" s="3074"/>
    </row>
    <row r="14" spans="1:9" ht="15" thickTop="1">
      <c r="A14" s="3075" t="s">
        <v>1646</v>
      </c>
      <c r="B14" s="3075"/>
      <c r="C14" s="3075"/>
      <c r="D14" s="3075"/>
      <c r="E14" s="3075"/>
      <c r="F14" s="3075"/>
      <c r="G14" s="3075"/>
      <c r="H14" s="3075"/>
      <c r="I14" s="3075"/>
    </row>
    <row r="16" spans="1:9" ht="18.75">
      <c r="A16" s="1970" t="s">
        <v>1629</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4" customWidth="1"/>
    <col min="2" max="2" width="13.125" style="1640" customWidth="1"/>
    <col min="3" max="3" width="15.625" style="1640" customWidth="1"/>
    <col min="4" max="4" width="9.375" style="1640" bestFit="1" customWidth="1"/>
    <col min="5" max="5" width="13.5" style="1640" customWidth="1"/>
    <col min="6" max="6" width="8.875" style="1640"/>
    <col min="7" max="7" width="9.375" style="1640" bestFit="1" customWidth="1"/>
    <col min="8" max="8" width="12.125" style="1640" customWidth="1"/>
    <col min="9" max="9" width="8.875" style="1640"/>
    <col min="10" max="10" width="9.375" style="1640" bestFit="1" customWidth="1"/>
    <col min="11" max="11" width="4" style="1634" customWidth="1"/>
    <col min="12" max="12" width="5.125" style="1640" customWidth="1"/>
    <col min="13" max="13" width="13.625" style="1640" customWidth="1"/>
    <col min="14" max="256" width="8.875" style="1640"/>
    <col min="257" max="257" width="4.875" style="1631" customWidth="1"/>
    <col min="258" max="258" width="13.125" style="1631" customWidth="1"/>
    <col min="259" max="259" width="15.625" style="1631" customWidth="1"/>
    <col min="260" max="260" width="9.375" style="1631" bestFit="1" customWidth="1"/>
    <col min="261" max="261" width="13.5" style="1631" customWidth="1"/>
    <col min="262" max="262" width="8.875" style="1631"/>
    <col min="263" max="263" width="9.375" style="1631" bestFit="1" customWidth="1"/>
    <col min="264" max="265" width="8.875" style="1631"/>
    <col min="266" max="266" width="9.375" style="1631" bestFit="1" customWidth="1"/>
    <col min="267" max="267" width="4" style="1631" customWidth="1"/>
    <col min="268" max="268" width="5.125" style="1631" customWidth="1"/>
    <col min="269" max="269" width="13.625" style="1631" customWidth="1"/>
    <col min="270" max="512" width="8.875" style="1631"/>
    <col min="513" max="513" width="4.875" style="1631" customWidth="1"/>
    <col min="514" max="514" width="13.125" style="1631" customWidth="1"/>
    <col min="515" max="515" width="15.625" style="1631" customWidth="1"/>
    <col min="516" max="516" width="9.375" style="1631" bestFit="1" customWidth="1"/>
    <col min="517" max="517" width="13.5" style="1631" customWidth="1"/>
    <col min="518" max="518" width="8.875" style="1631"/>
    <col min="519" max="519" width="9.375" style="1631" bestFit="1" customWidth="1"/>
    <col min="520" max="521" width="8.875" style="1631"/>
    <col min="522" max="522" width="9.375" style="1631" bestFit="1" customWidth="1"/>
    <col min="523" max="523" width="4" style="1631" customWidth="1"/>
    <col min="524" max="524" width="5.125" style="1631" customWidth="1"/>
    <col min="525" max="525" width="13.625" style="1631" customWidth="1"/>
    <col min="526" max="768" width="8.875" style="1631"/>
    <col min="769" max="769" width="4.875" style="1631" customWidth="1"/>
    <col min="770" max="770" width="13.125" style="1631" customWidth="1"/>
    <col min="771" max="771" width="15.625" style="1631" customWidth="1"/>
    <col min="772" max="772" width="9.375" style="1631" bestFit="1" customWidth="1"/>
    <col min="773" max="773" width="13.5" style="1631" customWidth="1"/>
    <col min="774" max="774" width="8.875" style="1631"/>
    <col min="775" max="775" width="9.375" style="1631" bestFit="1" customWidth="1"/>
    <col min="776" max="777" width="8.875" style="1631"/>
    <col min="778" max="778" width="9.375" style="1631" bestFit="1" customWidth="1"/>
    <col min="779" max="779" width="4" style="1631" customWidth="1"/>
    <col min="780" max="780" width="5.125" style="1631" customWidth="1"/>
    <col min="781" max="781" width="13.625" style="1631" customWidth="1"/>
    <col min="782" max="1024" width="8.875" style="1631"/>
    <col min="1025" max="1025" width="4.875" style="1631" customWidth="1"/>
    <col min="1026" max="1026" width="13.125" style="1631" customWidth="1"/>
    <col min="1027" max="1027" width="15.625" style="1631" customWidth="1"/>
    <col min="1028" max="1028" width="9.375" style="1631" bestFit="1" customWidth="1"/>
    <col min="1029" max="1029" width="13.5" style="1631" customWidth="1"/>
    <col min="1030" max="1030" width="8.875" style="1631"/>
    <col min="1031" max="1031" width="9.375" style="1631" bestFit="1" customWidth="1"/>
    <col min="1032" max="1033" width="8.875" style="1631"/>
    <col min="1034" max="1034" width="9.375" style="1631" bestFit="1" customWidth="1"/>
    <col min="1035" max="1035" width="4" style="1631" customWidth="1"/>
    <col min="1036" max="1036" width="5.125" style="1631" customWidth="1"/>
    <col min="1037" max="1037" width="13.625" style="1631" customWidth="1"/>
    <col min="1038" max="1280" width="8.875" style="1631"/>
    <col min="1281" max="1281" width="4.875" style="1631" customWidth="1"/>
    <col min="1282" max="1282" width="13.125" style="1631" customWidth="1"/>
    <col min="1283" max="1283" width="15.625" style="1631" customWidth="1"/>
    <col min="1284" max="1284" width="9.375" style="1631" bestFit="1" customWidth="1"/>
    <col min="1285" max="1285" width="13.5" style="1631" customWidth="1"/>
    <col min="1286" max="1286" width="8.875" style="1631"/>
    <col min="1287" max="1287" width="9.375" style="1631" bestFit="1" customWidth="1"/>
    <col min="1288" max="1289" width="8.875" style="1631"/>
    <col min="1290" max="1290" width="9.375" style="1631" bestFit="1" customWidth="1"/>
    <col min="1291" max="1291" width="4" style="1631" customWidth="1"/>
    <col min="1292" max="1292" width="5.125" style="1631" customWidth="1"/>
    <col min="1293" max="1293" width="13.625" style="1631" customWidth="1"/>
    <col min="1294" max="1536" width="8.875" style="1631"/>
    <col min="1537" max="1537" width="4.875" style="1631" customWidth="1"/>
    <col min="1538" max="1538" width="13.125" style="1631" customWidth="1"/>
    <col min="1539" max="1539" width="15.625" style="1631" customWidth="1"/>
    <col min="1540" max="1540" width="9.375" style="1631" bestFit="1" customWidth="1"/>
    <col min="1541" max="1541" width="13.5" style="1631" customWidth="1"/>
    <col min="1542" max="1542" width="8.875" style="1631"/>
    <col min="1543" max="1543" width="9.375" style="1631" bestFit="1" customWidth="1"/>
    <col min="1544" max="1545" width="8.875" style="1631"/>
    <col min="1546" max="1546" width="9.375" style="1631" bestFit="1" customWidth="1"/>
    <col min="1547" max="1547" width="4" style="1631" customWidth="1"/>
    <col min="1548" max="1548" width="5.125" style="1631" customWidth="1"/>
    <col min="1549" max="1549" width="13.625" style="1631" customWidth="1"/>
    <col min="1550" max="1792" width="8.875" style="1631"/>
    <col min="1793" max="1793" width="4.875" style="1631" customWidth="1"/>
    <col min="1794" max="1794" width="13.125" style="1631" customWidth="1"/>
    <col min="1795" max="1795" width="15.625" style="1631" customWidth="1"/>
    <col min="1796" max="1796" width="9.375" style="1631" bestFit="1" customWidth="1"/>
    <col min="1797" max="1797" width="13.5" style="1631" customWidth="1"/>
    <col min="1798" max="1798" width="8.875" style="1631"/>
    <col min="1799" max="1799" width="9.375" style="1631" bestFit="1" customWidth="1"/>
    <col min="1800" max="1801" width="8.875" style="1631"/>
    <col min="1802" max="1802" width="9.375" style="1631" bestFit="1" customWidth="1"/>
    <col min="1803" max="1803" width="4" style="1631" customWidth="1"/>
    <col min="1804" max="1804" width="5.125" style="1631" customWidth="1"/>
    <col min="1805" max="1805" width="13.625" style="1631" customWidth="1"/>
    <col min="1806" max="2048" width="8.875" style="1631"/>
    <col min="2049" max="2049" width="4.875" style="1631" customWidth="1"/>
    <col min="2050" max="2050" width="13.125" style="1631" customWidth="1"/>
    <col min="2051" max="2051" width="15.625" style="1631" customWidth="1"/>
    <col min="2052" max="2052" width="9.375" style="1631" bestFit="1" customWidth="1"/>
    <col min="2053" max="2053" width="13.5" style="1631" customWidth="1"/>
    <col min="2054" max="2054" width="8.875" style="1631"/>
    <col min="2055" max="2055" width="9.375" style="1631" bestFit="1" customWidth="1"/>
    <col min="2056" max="2057" width="8.875" style="1631"/>
    <col min="2058" max="2058" width="9.375" style="1631" bestFit="1" customWidth="1"/>
    <col min="2059" max="2059" width="4" style="1631" customWidth="1"/>
    <col min="2060" max="2060" width="5.125" style="1631" customWidth="1"/>
    <col min="2061" max="2061" width="13.625" style="1631" customWidth="1"/>
    <col min="2062" max="2304" width="8.875" style="1631"/>
    <col min="2305" max="2305" width="4.875" style="1631" customWidth="1"/>
    <col min="2306" max="2306" width="13.125" style="1631" customWidth="1"/>
    <col min="2307" max="2307" width="15.625" style="1631" customWidth="1"/>
    <col min="2308" max="2308" width="9.375" style="1631" bestFit="1" customWidth="1"/>
    <col min="2309" max="2309" width="13.5" style="1631" customWidth="1"/>
    <col min="2310" max="2310" width="8.875" style="1631"/>
    <col min="2311" max="2311" width="9.375" style="1631" bestFit="1" customWidth="1"/>
    <col min="2312" max="2313" width="8.875" style="1631"/>
    <col min="2314" max="2314" width="9.375" style="1631" bestFit="1" customWidth="1"/>
    <col min="2315" max="2315" width="4" style="1631" customWidth="1"/>
    <col min="2316" max="2316" width="5.125" style="1631" customWidth="1"/>
    <col min="2317" max="2317" width="13.625" style="1631" customWidth="1"/>
    <col min="2318" max="2560" width="8.875" style="1631"/>
    <col min="2561" max="2561" width="4.875" style="1631" customWidth="1"/>
    <col min="2562" max="2562" width="13.125" style="1631" customWidth="1"/>
    <col min="2563" max="2563" width="15.625" style="1631" customWidth="1"/>
    <col min="2564" max="2564" width="9.375" style="1631" bestFit="1" customWidth="1"/>
    <col min="2565" max="2565" width="13.5" style="1631" customWidth="1"/>
    <col min="2566" max="2566" width="8.875" style="1631"/>
    <col min="2567" max="2567" width="9.375" style="1631" bestFit="1" customWidth="1"/>
    <col min="2568" max="2569" width="8.875" style="1631"/>
    <col min="2570" max="2570" width="9.375" style="1631" bestFit="1" customWidth="1"/>
    <col min="2571" max="2571" width="4" style="1631" customWidth="1"/>
    <col min="2572" max="2572" width="5.125" style="1631" customWidth="1"/>
    <col min="2573" max="2573" width="13.625" style="1631" customWidth="1"/>
    <col min="2574" max="2816" width="8.875" style="1631"/>
    <col min="2817" max="2817" width="4.875" style="1631" customWidth="1"/>
    <col min="2818" max="2818" width="13.125" style="1631" customWidth="1"/>
    <col min="2819" max="2819" width="15.625" style="1631" customWidth="1"/>
    <col min="2820" max="2820" width="9.375" style="1631" bestFit="1" customWidth="1"/>
    <col min="2821" max="2821" width="13.5" style="1631" customWidth="1"/>
    <col min="2822" max="2822" width="8.875" style="1631"/>
    <col min="2823" max="2823" width="9.375" style="1631" bestFit="1" customWidth="1"/>
    <col min="2824" max="2825" width="8.875" style="1631"/>
    <col min="2826" max="2826" width="9.375" style="1631" bestFit="1" customWidth="1"/>
    <col min="2827" max="2827" width="4" style="1631" customWidth="1"/>
    <col min="2828" max="2828" width="5.125" style="1631" customWidth="1"/>
    <col min="2829" max="2829" width="13.625" style="1631" customWidth="1"/>
    <col min="2830" max="3072" width="8.875" style="1631"/>
    <col min="3073" max="3073" width="4.875" style="1631" customWidth="1"/>
    <col min="3074" max="3074" width="13.125" style="1631" customWidth="1"/>
    <col min="3075" max="3075" width="15.625" style="1631" customWidth="1"/>
    <col min="3076" max="3076" width="9.375" style="1631" bestFit="1" customWidth="1"/>
    <col min="3077" max="3077" width="13.5" style="1631" customWidth="1"/>
    <col min="3078" max="3078" width="8.875" style="1631"/>
    <col min="3079" max="3079" width="9.375" style="1631" bestFit="1" customWidth="1"/>
    <col min="3080" max="3081" width="8.875" style="1631"/>
    <col min="3082" max="3082" width="9.375" style="1631" bestFit="1" customWidth="1"/>
    <col min="3083" max="3083" width="4" style="1631" customWidth="1"/>
    <col min="3084" max="3084" width="5.125" style="1631" customWidth="1"/>
    <col min="3085" max="3085" width="13.625" style="1631" customWidth="1"/>
    <col min="3086" max="3328" width="8.875" style="1631"/>
    <col min="3329" max="3329" width="4.875" style="1631" customWidth="1"/>
    <col min="3330" max="3330" width="13.125" style="1631" customWidth="1"/>
    <col min="3331" max="3331" width="15.625" style="1631" customWidth="1"/>
    <col min="3332" max="3332" width="9.375" style="1631" bestFit="1" customWidth="1"/>
    <col min="3333" max="3333" width="13.5" style="1631" customWidth="1"/>
    <col min="3334" max="3334" width="8.875" style="1631"/>
    <col min="3335" max="3335" width="9.375" style="1631" bestFit="1" customWidth="1"/>
    <col min="3336" max="3337" width="8.875" style="1631"/>
    <col min="3338" max="3338" width="9.375" style="1631" bestFit="1" customWidth="1"/>
    <col min="3339" max="3339" width="4" style="1631" customWidth="1"/>
    <col min="3340" max="3340" width="5.125" style="1631" customWidth="1"/>
    <col min="3341" max="3341" width="13.625" style="1631" customWidth="1"/>
    <col min="3342" max="3584" width="8.875" style="1631"/>
    <col min="3585" max="3585" width="4.875" style="1631" customWidth="1"/>
    <col min="3586" max="3586" width="13.125" style="1631" customWidth="1"/>
    <col min="3587" max="3587" width="15.625" style="1631" customWidth="1"/>
    <col min="3588" max="3588" width="9.375" style="1631" bestFit="1" customWidth="1"/>
    <col min="3589" max="3589" width="13.5" style="1631" customWidth="1"/>
    <col min="3590" max="3590" width="8.875" style="1631"/>
    <col min="3591" max="3591" width="9.375" style="1631" bestFit="1" customWidth="1"/>
    <col min="3592" max="3593" width="8.875" style="1631"/>
    <col min="3594" max="3594" width="9.375" style="1631" bestFit="1" customWidth="1"/>
    <col min="3595" max="3595" width="4" style="1631" customWidth="1"/>
    <col min="3596" max="3596" width="5.125" style="1631" customWidth="1"/>
    <col min="3597" max="3597" width="13.625" style="1631" customWidth="1"/>
    <col min="3598" max="3840" width="8.875" style="1631"/>
    <col min="3841" max="3841" width="4.875" style="1631" customWidth="1"/>
    <col min="3842" max="3842" width="13.125" style="1631" customWidth="1"/>
    <col min="3843" max="3843" width="15.625" style="1631" customWidth="1"/>
    <col min="3844" max="3844" width="9.375" style="1631" bestFit="1" customWidth="1"/>
    <col min="3845" max="3845" width="13.5" style="1631" customWidth="1"/>
    <col min="3846" max="3846" width="8.875" style="1631"/>
    <col min="3847" max="3847" width="9.375" style="1631" bestFit="1" customWidth="1"/>
    <col min="3848" max="3849" width="8.875" style="1631"/>
    <col min="3850" max="3850" width="9.375" style="1631" bestFit="1" customWidth="1"/>
    <col min="3851" max="3851" width="4" style="1631" customWidth="1"/>
    <col min="3852" max="3852" width="5.125" style="1631" customWidth="1"/>
    <col min="3853" max="3853" width="13.625" style="1631" customWidth="1"/>
    <col min="3854" max="4096" width="8.875" style="1631"/>
    <col min="4097" max="4097" width="4.875" style="1631" customWidth="1"/>
    <col min="4098" max="4098" width="13.125" style="1631" customWidth="1"/>
    <col min="4099" max="4099" width="15.625" style="1631" customWidth="1"/>
    <col min="4100" max="4100" width="9.375" style="1631" bestFit="1" customWidth="1"/>
    <col min="4101" max="4101" width="13.5" style="1631" customWidth="1"/>
    <col min="4102" max="4102" width="8.875" style="1631"/>
    <col min="4103" max="4103" width="9.375" style="1631" bestFit="1" customWidth="1"/>
    <col min="4104" max="4105" width="8.875" style="1631"/>
    <col min="4106" max="4106" width="9.375" style="1631" bestFit="1" customWidth="1"/>
    <col min="4107" max="4107" width="4" style="1631" customWidth="1"/>
    <col min="4108" max="4108" width="5.125" style="1631" customWidth="1"/>
    <col min="4109" max="4109" width="13.625" style="1631" customWidth="1"/>
    <col min="4110" max="4352" width="8.875" style="1631"/>
    <col min="4353" max="4353" width="4.875" style="1631" customWidth="1"/>
    <col min="4354" max="4354" width="13.125" style="1631" customWidth="1"/>
    <col min="4355" max="4355" width="15.625" style="1631" customWidth="1"/>
    <col min="4356" max="4356" width="9.375" style="1631" bestFit="1" customWidth="1"/>
    <col min="4357" max="4357" width="13.5" style="1631" customWidth="1"/>
    <col min="4358" max="4358" width="8.875" style="1631"/>
    <col min="4359" max="4359" width="9.375" style="1631" bestFit="1" customWidth="1"/>
    <col min="4360" max="4361" width="8.875" style="1631"/>
    <col min="4362" max="4362" width="9.375" style="1631" bestFit="1" customWidth="1"/>
    <col min="4363" max="4363" width="4" style="1631" customWidth="1"/>
    <col min="4364" max="4364" width="5.125" style="1631" customWidth="1"/>
    <col min="4365" max="4365" width="13.625" style="1631" customWidth="1"/>
    <col min="4366" max="4608" width="8.875" style="1631"/>
    <col min="4609" max="4609" width="4.875" style="1631" customWidth="1"/>
    <col min="4610" max="4610" width="13.125" style="1631" customWidth="1"/>
    <col min="4611" max="4611" width="15.625" style="1631" customWidth="1"/>
    <col min="4612" max="4612" width="9.375" style="1631" bestFit="1" customWidth="1"/>
    <col min="4613" max="4613" width="13.5" style="1631" customWidth="1"/>
    <col min="4614" max="4614" width="8.875" style="1631"/>
    <col min="4615" max="4615" width="9.375" style="1631" bestFit="1" customWidth="1"/>
    <col min="4616" max="4617" width="8.875" style="1631"/>
    <col min="4618" max="4618" width="9.375" style="1631" bestFit="1" customWidth="1"/>
    <col min="4619" max="4619" width="4" style="1631" customWidth="1"/>
    <col min="4620" max="4620" width="5.125" style="1631" customWidth="1"/>
    <col min="4621" max="4621" width="13.625" style="1631" customWidth="1"/>
    <col min="4622" max="4864" width="8.875" style="1631"/>
    <col min="4865" max="4865" width="4.875" style="1631" customWidth="1"/>
    <col min="4866" max="4866" width="13.125" style="1631" customWidth="1"/>
    <col min="4867" max="4867" width="15.625" style="1631" customWidth="1"/>
    <col min="4868" max="4868" width="9.375" style="1631" bestFit="1" customWidth="1"/>
    <col min="4869" max="4869" width="13.5" style="1631" customWidth="1"/>
    <col min="4870" max="4870" width="8.875" style="1631"/>
    <col min="4871" max="4871" width="9.375" style="1631" bestFit="1" customWidth="1"/>
    <col min="4872" max="4873" width="8.875" style="1631"/>
    <col min="4874" max="4874" width="9.375" style="1631" bestFit="1" customWidth="1"/>
    <col min="4875" max="4875" width="4" style="1631" customWidth="1"/>
    <col min="4876" max="4876" width="5.125" style="1631" customWidth="1"/>
    <col min="4877" max="4877" width="13.625" style="1631" customWidth="1"/>
    <col min="4878" max="5120" width="8.875" style="1631"/>
    <col min="5121" max="5121" width="4.875" style="1631" customWidth="1"/>
    <col min="5122" max="5122" width="13.125" style="1631" customWidth="1"/>
    <col min="5123" max="5123" width="15.625" style="1631" customWidth="1"/>
    <col min="5124" max="5124" width="9.375" style="1631" bestFit="1" customWidth="1"/>
    <col min="5125" max="5125" width="13.5" style="1631" customWidth="1"/>
    <col min="5126" max="5126" width="8.875" style="1631"/>
    <col min="5127" max="5127" width="9.375" style="1631" bestFit="1" customWidth="1"/>
    <col min="5128" max="5129" width="8.875" style="1631"/>
    <col min="5130" max="5130" width="9.375" style="1631" bestFit="1" customWidth="1"/>
    <col min="5131" max="5131" width="4" style="1631" customWidth="1"/>
    <col min="5132" max="5132" width="5.125" style="1631" customWidth="1"/>
    <col min="5133" max="5133" width="13.625" style="1631" customWidth="1"/>
    <col min="5134" max="5376" width="8.875" style="1631"/>
    <col min="5377" max="5377" width="4.875" style="1631" customWidth="1"/>
    <col min="5378" max="5378" width="13.125" style="1631" customWidth="1"/>
    <col min="5379" max="5379" width="15.625" style="1631" customWidth="1"/>
    <col min="5380" max="5380" width="9.375" style="1631" bestFit="1" customWidth="1"/>
    <col min="5381" max="5381" width="13.5" style="1631" customWidth="1"/>
    <col min="5382" max="5382" width="8.875" style="1631"/>
    <col min="5383" max="5383" width="9.375" style="1631" bestFit="1" customWidth="1"/>
    <col min="5384" max="5385" width="8.875" style="1631"/>
    <col min="5386" max="5386" width="9.375" style="1631" bestFit="1" customWidth="1"/>
    <col min="5387" max="5387" width="4" style="1631" customWidth="1"/>
    <col min="5388" max="5388" width="5.125" style="1631" customWidth="1"/>
    <col min="5389" max="5389" width="13.625" style="1631" customWidth="1"/>
    <col min="5390" max="5632" width="8.875" style="1631"/>
    <col min="5633" max="5633" width="4.875" style="1631" customWidth="1"/>
    <col min="5634" max="5634" width="13.125" style="1631" customWidth="1"/>
    <col min="5635" max="5635" width="15.625" style="1631" customWidth="1"/>
    <col min="5636" max="5636" width="9.375" style="1631" bestFit="1" customWidth="1"/>
    <col min="5637" max="5637" width="13.5" style="1631" customWidth="1"/>
    <col min="5638" max="5638" width="8.875" style="1631"/>
    <col min="5639" max="5639" width="9.375" style="1631" bestFit="1" customWidth="1"/>
    <col min="5640" max="5641" width="8.875" style="1631"/>
    <col min="5642" max="5642" width="9.375" style="1631" bestFit="1" customWidth="1"/>
    <col min="5643" max="5643" width="4" style="1631" customWidth="1"/>
    <col min="5644" max="5644" width="5.125" style="1631" customWidth="1"/>
    <col min="5645" max="5645" width="13.625" style="1631" customWidth="1"/>
    <col min="5646" max="5888" width="8.875" style="1631"/>
    <col min="5889" max="5889" width="4.875" style="1631" customWidth="1"/>
    <col min="5890" max="5890" width="13.125" style="1631" customWidth="1"/>
    <col min="5891" max="5891" width="15.625" style="1631" customWidth="1"/>
    <col min="5892" max="5892" width="9.375" style="1631" bestFit="1" customWidth="1"/>
    <col min="5893" max="5893" width="13.5" style="1631" customWidth="1"/>
    <col min="5894" max="5894" width="8.875" style="1631"/>
    <col min="5895" max="5895" width="9.375" style="1631" bestFit="1" customWidth="1"/>
    <col min="5896" max="5897" width="8.875" style="1631"/>
    <col min="5898" max="5898" width="9.375" style="1631" bestFit="1" customWidth="1"/>
    <col min="5899" max="5899" width="4" style="1631" customWidth="1"/>
    <col min="5900" max="5900" width="5.125" style="1631" customWidth="1"/>
    <col min="5901" max="5901" width="13.625" style="1631" customWidth="1"/>
    <col min="5902" max="6144" width="8.875" style="1631"/>
    <col min="6145" max="6145" width="4.875" style="1631" customWidth="1"/>
    <col min="6146" max="6146" width="13.125" style="1631" customWidth="1"/>
    <col min="6147" max="6147" width="15.625" style="1631" customWidth="1"/>
    <col min="6148" max="6148" width="9.375" style="1631" bestFit="1" customWidth="1"/>
    <col min="6149" max="6149" width="13.5" style="1631" customWidth="1"/>
    <col min="6150" max="6150" width="8.875" style="1631"/>
    <col min="6151" max="6151" width="9.375" style="1631" bestFit="1" customWidth="1"/>
    <col min="6152" max="6153" width="8.875" style="1631"/>
    <col min="6154" max="6154" width="9.375" style="1631" bestFit="1" customWidth="1"/>
    <col min="6155" max="6155" width="4" style="1631" customWidth="1"/>
    <col min="6156" max="6156" width="5.125" style="1631" customWidth="1"/>
    <col min="6157" max="6157" width="13.625" style="1631" customWidth="1"/>
    <col min="6158" max="6400" width="8.875" style="1631"/>
    <col min="6401" max="6401" width="4.875" style="1631" customWidth="1"/>
    <col min="6402" max="6402" width="13.125" style="1631" customWidth="1"/>
    <col min="6403" max="6403" width="15.625" style="1631" customWidth="1"/>
    <col min="6404" max="6404" width="9.375" style="1631" bestFit="1" customWidth="1"/>
    <col min="6405" max="6405" width="13.5" style="1631" customWidth="1"/>
    <col min="6406" max="6406" width="8.875" style="1631"/>
    <col min="6407" max="6407" width="9.375" style="1631" bestFit="1" customWidth="1"/>
    <col min="6408" max="6409" width="8.875" style="1631"/>
    <col min="6410" max="6410" width="9.375" style="1631" bestFit="1" customWidth="1"/>
    <col min="6411" max="6411" width="4" style="1631" customWidth="1"/>
    <col min="6412" max="6412" width="5.125" style="1631" customWidth="1"/>
    <col min="6413" max="6413" width="13.625" style="1631" customWidth="1"/>
    <col min="6414" max="6656" width="8.875" style="1631"/>
    <col min="6657" max="6657" width="4.875" style="1631" customWidth="1"/>
    <col min="6658" max="6658" width="13.125" style="1631" customWidth="1"/>
    <col min="6659" max="6659" width="15.625" style="1631" customWidth="1"/>
    <col min="6660" max="6660" width="9.375" style="1631" bestFit="1" customWidth="1"/>
    <col min="6661" max="6661" width="13.5" style="1631" customWidth="1"/>
    <col min="6662" max="6662" width="8.875" style="1631"/>
    <col min="6663" max="6663" width="9.375" style="1631" bestFit="1" customWidth="1"/>
    <col min="6664" max="6665" width="8.875" style="1631"/>
    <col min="6666" max="6666" width="9.375" style="1631" bestFit="1" customWidth="1"/>
    <col min="6667" max="6667" width="4" style="1631" customWidth="1"/>
    <col min="6668" max="6668" width="5.125" style="1631" customWidth="1"/>
    <col min="6669" max="6669" width="13.625" style="1631" customWidth="1"/>
    <col min="6670" max="6912" width="8.875" style="1631"/>
    <col min="6913" max="6913" width="4.875" style="1631" customWidth="1"/>
    <col min="6914" max="6914" width="13.125" style="1631" customWidth="1"/>
    <col min="6915" max="6915" width="15.625" style="1631" customWidth="1"/>
    <col min="6916" max="6916" width="9.375" style="1631" bestFit="1" customWidth="1"/>
    <col min="6917" max="6917" width="13.5" style="1631" customWidth="1"/>
    <col min="6918" max="6918" width="8.875" style="1631"/>
    <col min="6919" max="6919" width="9.375" style="1631" bestFit="1" customWidth="1"/>
    <col min="6920" max="6921" width="8.875" style="1631"/>
    <col min="6922" max="6922" width="9.375" style="1631" bestFit="1" customWidth="1"/>
    <col min="6923" max="6923" width="4" style="1631" customWidth="1"/>
    <col min="6924" max="6924" width="5.125" style="1631" customWidth="1"/>
    <col min="6925" max="6925" width="13.625" style="1631" customWidth="1"/>
    <col min="6926" max="7168" width="8.875" style="1631"/>
    <col min="7169" max="7169" width="4.875" style="1631" customWidth="1"/>
    <col min="7170" max="7170" width="13.125" style="1631" customWidth="1"/>
    <col min="7171" max="7171" width="15.625" style="1631" customWidth="1"/>
    <col min="7172" max="7172" width="9.375" style="1631" bestFit="1" customWidth="1"/>
    <col min="7173" max="7173" width="13.5" style="1631" customWidth="1"/>
    <col min="7174" max="7174" width="8.875" style="1631"/>
    <col min="7175" max="7175" width="9.375" style="1631" bestFit="1" customWidth="1"/>
    <col min="7176" max="7177" width="8.875" style="1631"/>
    <col min="7178" max="7178" width="9.375" style="1631" bestFit="1" customWidth="1"/>
    <col min="7179" max="7179" width="4" style="1631" customWidth="1"/>
    <col min="7180" max="7180" width="5.125" style="1631" customWidth="1"/>
    <col min="7181" max="7181" width="13.625" style="1631" customWidth="1"/>
    <col min="7182" max="7424" width="8.875" style="1631"/>
    <col min="7425" max="7425" width="4.875" style="1631" customWidth="1"/>
    <col min="7426" max="7426" width="13.125" style="1631" customWidth="1"/>
    <col min="7427" max="7427" width="15.625" style="1631" customWidth="1"/>
    <col min="7428" max="7428" width="9.375" style="1631" bestFit="1" customWidth="1"/>
    <col min="7429" max="7429" width="13.5" style="1631" customWidth="1"/>
    <col min="7430" max="7430" width="8.875" style="1631"/>
    <col min="7431" max="7431" width="9.375" style="1631" bestFit="1" customWidth="1"/>
    <col min="7432" max="7433" width="8.875" style="1631"/>
    <col min="7434" max="7434" width="9.375" style="1631" bestFit="1" customWidth="1"/>
    <col min="7435" max="7435" width="4" style="1631" customWidth="1"/>
    <col min="7436" max="7436" width="5.125" style="1631" customWidth="1"/>
    <col min="7437" max="7437" width="13.625" style="1631" customWidth="1"/>
    <col min="7438" max="7680" width="8.875" style="1631"/>
    <col min="7681" max="7681" width="4.875" style="1631" customWidth="1"/>
    <col min="7682" max="7682" width="13.125" style="1631" customWidth="1"/>
    <col min="7683" max="7683" width="15.625" style="1631" customWidth="1"/>
    <col min="7684" max="7684" width="9.375" style="1631" bestFit="1" customWidth="1"/>
    <col min="7685" max="7685" width="13.5" style="1631" customWidth="1"/>
    <col min="7686" max="7686" width="8.875" style="1631"/>
    <col min="7687" max="7687" width="9.375" style="1631" bestFit="1" customWidth="1"/>
    <col min="7688" max="7689" width="8.875" style="1631"/>
    <col min="7690" max="7690" width="9.375" style="1631" bestFit="1" customWidth="1"/>
    <col min="7691" max="7691" width="4" style="1631" customWidth="1"/>
    <col min="7692" max="7692" width="5.125" style="1631" customWidth="1"/>
    <col min="7693" max="7693" width="13.625" style="1631" customWidth="1"/>
    <col min="7694" max="7936" width="8.875" style="1631"/>
    <col min="7937" max="7937" width="4.875" style="1631" customWidth="1"/>
    <col min="7938" max="7938" width="13.125" style="1631" customWidth="1"/>
    <col min="7939" max="7939" width="15.625" style="1631" customWidth="1"/>
    <col min="7940" max="7940" width="9.375" style="1631" bestFit="1" customWidth="1"/>
    <col min="7941" max="7941" width="13.5" style="1631" customWidth="1"/>
    <col min="7942" max="7942" width="8.875" style="1631"/>
    <col min="7943" max="7943" width="9.375" style="1631" bestFit="1" customWidth="1"/>
    <col min="7944" max="7945" width="8.875" style="1631"/>
    <col min="7946" max="7946" width="9.375" style="1631" bestFit="1" customWidth="1"/>
    <col min="7947" max="7947" width="4" style="1631" customWidth="1"/>
    <col min="7948" max="7948" width="5.125" style="1631" customWidth="1"/>
    <col min="7949" max="7949" width="13.625" style="1631" customWidth="1"/>
    <col min="7950" max="8192" width="8.875" style="1631"/>
    <col min="8193" max="8193" width="4.875" style="1631" customWidth="1"/>
    <col min="8194" max="8194" width="13.125" style="1631" customWidth="1"/>
    <col min="8195" max="8195" width="15.625" style="1631" customWidth="1"/>
    <col min="8196" max="8196" width="9.375" style="1631" bestFit="1" customWidth="1"/>
    <col min="8197" max="8197" width="13.5" style="1631" customWidth="1"/>
    <col min="8198" max="8198" width="8.875" style="1631"/>
    <col min="8199" max="8199" width="9.375" style="1631" bestFit="1" customWidth="1"/>
    <col min="8200" max="8201" width="8.875" style="1631"/>
    <col min="8202" max="8202" width="9.375" style="1631" bestFit="1" customWidth="1"/>
    <col min="8203" max="8203" width="4" style="1631" customWidth="1"/>
    <col min="8204" max="8204" width="5.125" style="1631" customWidth="1"/>
    <col min="8205" max="8205" width="13.625" style="1631" customWidth="1"/>
    <col min="8206" max="8448" width="8.875" style="1631"/>
    <col min="8449" max="8449" width="4.875" style="1631" customWidth="1"/>
    <col min="8450" max="8450" width="13.125" style="1631" customWidth="1"/>
    <col min="8451" max="8451" width="15.625" style="1631" customWidth="1"/>
    <col min="8452" max="8452" width="9.375" style="1631" bestFit="1" customWidth="1"/>
    <col min="8453" max="8453" width="13.5" style="1631" customWidth="1"/>
    <col min="8454" max="8454" width="8.875" style="1631"/>
    <col min="8455" max="8455" width="9.375" style="1631" bestFit="1" customWidth="1"/>
    <col min="8456" max="8457" width="8.875" style="1631"/>
    <col min="8458" max="8458" width="9.375" style="1631" bestFit="1" customWidth="1"/>
    <col min="8459" max="8459" width="4" style="1631" customWidth="1"/>
    <col min="8460" max="8460" width="5.125" style="1631" customWidth="1"/>
    <col min="8461" max="8461" width="13.625" style="1631" customWidth="1"/>
    <col min="8462" max="8704" width="8.875" style="1631"/>
    <col min="8705" max="8705" width="4.875" style="1631" customWidth="1"/>
    <col min="8706" max="8706" width="13.125" style="1631" customWidth="1"/>
    <col min="8707" max="8707" width="15.625" style="1631" customWidth="1"/>
    <col min="8708" max="8708" width="9.375" style="1631" bestFit="1" customWidth="1"/>
    <col min="8709" max="8709" width="13.5" style="1631" customWidth="1"/>
    <col min="8710" max="8710" width="8.875" style="1631"/>
    <col min="8711" max="8711" width="9.375" style="1631" bestFit="1" customWidth="1"/>
    <col min="8712" max="8713" width="8.875" style="1631"/>
    <col min="8714" max="8714" width="9.375" style="1631" bestFit="1" customWidth="1"/>
    <col min="8715" max="8715" width="4" style="1631" customWidth="1"/>
    <col min="8716" max="8716" width="5.125" style="1631" customWidth="1"/>
    <col min="8717" max="8717" width="13.625" style="1631" customWidth="1"/>
    <col min="8718" max="8960" width="8.875" style="1631"/>
    <col min="8961" max="8961" width="4.875" style="1631" customWidth="1"/>
    <col min="8962" max="8962" width="13.125" style="1631" customWidth="1"/>
    <col min="8963" max="8963" width="15.625" style="1631" customWidth="1"/>
    <col min="8964" max="8964" width="9.375" style="1631" bestFit="1" customWidth="1"/>
    <col min="8965" max="8965" width="13.5" style="1631" customWidth="1"/>
    <col min="8966" max="8966" width="8.875" style="1631"/>
    <col min="8967" max="8967" width="9.375" style="1631" bestFit="1" customWidth="1"/>
    <col min="8968" max="8969" width="8.875" style="1631"/>
    <col min="8970" max="8970" width="9.375" style="1631" bestFit="1" customWidth="1"/>
    <col min="8971" max="8971" width="4" style="1631" customWidth="1"/>
    <col min="8972" max="8972" width="5.125" style="1631" customWidth="1"/>
    <col min="8973" max="8973" width="13.625" style="1631" customWidth="1"/>
    <col min="8974" max="9216" width="8.875" style="1631"/>
    <col min="9217" max="9217" width="4.875" style="1631" customWidth="1"/>
    <col min="9218" max="9218" width="13.125" style="1631" customWidth="1"/>
    <col min="9219" max="9219" width="15.625" style="1631" customWidth="1"/>
    <col min="9220" max="9220" width="9.375" style="1631" bestFit="1" customWidth="1"/>
    <col min="9221" max="9221" width="13.5" style="1631" customWidth="1"/>
    <col min="9222" max="9222" width="8.875" style="1631"/>
    <col min="9223" max="9223" width="9.375" style="1631" bestFit="1" customWidth="1"/>
    <col min="9224" max="9225" width="8.875" style="1631"/>
    <col min="9226" max="9226" width="9.375" style="1631" bestFit="1" customWidth="1"/>
    <col min="9227" max="9227" width="4" style="1631" customWidth="1"/>
    <col min="9228" max="9228" width="5.125" style="1631" customWidth="1"/>
    <col min="9229" max="9229" width="13.625" style="1631" customWidth="1"/>
    <col min="9230" max="9472" width="8.875" style="1631"/>
    <col min="9473" max="9473" width="4.875" style="1631" customWidth="1"/>
    <col min="9474" max="9474" width="13.125" style="1631" customWidth="1"/>
    <col min="9475" max="9475" width="15.625" style="1631" customWidth="1"/>
    <col min="9476" max="9476" width="9.375" style="1631" bestFit="1" customWidth="1"/>
    <col min="9477" max="9477" width="13.5" style="1631" customWidth="1"/>
    <col min="9478" max="9478" width="8.875" style="1631"/>
    <col min="9479" max="9479" width="9.375" style="1631" bestFit="1" customWidth="1"/>
    <col min="9480" max="9481" width="8.875" style="1631"/>
    <col min="9482" max="9482" width="9.375" style="1631" bestFit="1" customWidth="1"/>
    <col min="9483" max="9483" width="4" style="1631" customWidth="1"/>
    <col min="9484" max="9484" width="5.125" style="1631" customWidth="1"/>
    <col min="9485" max="9485" width="13.625" style="1631" customWidth="1"/>
    <col min="9486" max="9728" width="8.875" style="1631"/>
    <col min="9729" max="9729" width="4.875" style="1631" customWidth="1"/>
    <col min="9730" max="9730" width="13.125" style="1631" customWidth="1"/>
    <col min="9731" max="9731" width="15.625" style="1631" customWidth="1"/>
    <col min="9732" max="9732" width="9.375" style="1631" bestFit="1" customWidth="1"/>
    <col min="9733" max="9733" width="13.5" style="1631" customWidth="1"/>
    <col min="9734" max="9734" width="8.875" style="1631"/>
    <col min="9735" max="9735" width="9.375" style="1631" bestFit="1" customWidth="1"/>
    <col min="9736" max="9737" width="8.875" style="1631"/>
    <col min="9738" max="9738" width="9.375" style="1631" bestFit="1" customWidth="1"/>
    <col min="9739" max="9739" width="4" style="1631" customWidth="1"/>
    <col min="9740" max="9740" width="5.125" style="1631" customWidth="1"/>
    <col min="9741" max="9741" width="13.625" style="1631" customWidth="1"/>
    <col min="9742" max="9984" width="8.875" style="1631"/>
    <col min="9985" max="9985" width="4.875" style="1631" customWidth="1"/>
    <col min="9986" max="9986" width="13.125" style="1631" customWidth="1"/>
    <col min="9987" max="9987" width="15.625" style="1631" customWidth="1"/>
    <col min="9988" max="9988" width="9.375" style="1631" bestFit="1" customWidth="1"/>
    <col min="9989" max="9989" width="13.5" style="1631" customWidth="1"/>
    <col min="9990" max="9990" width="8.875" style="1631"/>
    <col min="9991" max="9991" width="9.375" style="1631" bestFit="1" customWidth="1"/>
    <col min="9992" max="9993" width="8.875" style="1631"/>
    <col min="9994" max="9994" width="9.375" style="1631" bestFit="1" customWidth="1"/>
    <col min="9995" max="9995" width="4" style="1631" customWidth="1"/>
    <col min="9996" max="9996" width="5.125" style="1631" customWidth="1"/>
    <col min="9997" max="9997" width="13.625" style="1631" customWidth="1"/>
    <col min="9998" max="10240" width="8.875" style="1631"/>
    <col min="10241" max="10241" width="4.875" style="1631" customWidth="1"/>
    <col min="10242" max="10242" width="13.125" style="1631" customWidth="1"/>
    <col min="10243" max="10243" width="15.625" style="1631" customWidth="1"/>
    <col min="10244" max="10244" width="9.375" style="1631" bestFit="1" customWidth="1"/>
    <col min="10245" max="10245" width="13.5" style="1631" customWidth="1"/>
    <col min="10246" max="10246" width="8.875" style="1631"/>
    <col min="10247" max="10247" width="9.375" style="1631" bestFit="1" customWidth="1"/>
    <col min="10248" max="10249" width="8.875" style="1631"/>
    <col min="10250" max="10250" width="9.375" style="1631" bestFit="1" customWidth="1"/>
    <col min="10251" max="10251" width="4" style="1631" customWidth="1"/>
    <col min="10252" max="10252" width="5.125" style="1631" customWidth="1"/>
    <col min="10253" max="10253" width="13.625" style="1631" customWidth="1"/>
    <col min="10254" max="10496" width="8.875" style="1631"/>
    <col min="10497" max="10497" width="4.875" style="1631" customWidth="1"/>
    <col min="10498" max="10498" width="13.125" style="1631" customWidth="1"/>
    <col min="10499" max="10499" width="15.625" style="1631" customWidth="1"/>
    <col min="10500" max="10500" width="9.375" style="1631" bestFit="1" customWidth="1"/>
    <col min="10501" max="10501" width="13.5" style="1631" customWidth="1"/>
    <col min="10502" max="10502" width="8.875" style="1631"/>
    <col min="10503" max="10503" width="9.375" style="1631" bestFit="1" customWidth="1"/>
    <col min="10504" max="10505" width="8.875" style="1631"/>
    <col min="10506" max="10506" width="9.375" style="1631" bestFit="1" customWidth="1"/>
    <col min="10507" max="10507" width="4" style="1631" customWidth="1"/>
    <col min="10508" max="10508" width="5.125" style="1631" customWidth="1"/>
    <col min="10509" max="10509" width="13.625" style="1631" customWidth="1"/>
    <col min="10510" max="10752" width="8.875" style="1631"/>
    <col min="10753" max="10753" width="4.875" style="1631" customWidth="1"/>
    <col min="10754" max="10754" width="13.125" style="1631" customWidth="1"/>
    <col min="10755" max="10755" width="15.625" style="1631" customWidth="1"/>
    <col min="10756" max="10756" width="9.375" style="1631" bestFit="1" customWidth="1"/>
    <col min="10757" max="10757" width="13.5" style="1631" customWidth="1"/>
    <col min="10758" max="10758" width="8.875" style="1631"/>
    <col min="10759" max="10759" width="9.375" style="1631" bestFit="1" customWidth="1"/>
    <col min="10760" max="10761" width="8.875" style="1631"/>
    <col min="10762" max="10762" width="9.375" style="1631" bestFit="1" customWidth="1"/>
    <col min="10763" max="10763" width="4" style="1631" customWidth="1"/>
    <col min="10764" max="10764" width="5.125" style="1631" customWidth="1"/>
    <col min="10765" max="10765" width="13.625" style="1631" customWidth="1"/>
    <col min="10766" max="11008" width="8.875" style="1631"/>
    <col min="11009" max="11009" width="4.875" style="1631" customWidth="1"/>
    <col min="11010" max="11010" width="13.125" style="1631" customWidth="1"/>
    <col min="11011" max="11011" width="15.625" style="1631" customWidth="1"/>
    <col min="11012" max="11012" width="9.375" style="1631" bestFit="1" customWidth="1"/>
    <col min="11013" max="11013" width="13.5" style="1631" customWidth="1"/>
    <col min="11014" max="11014" width="8.875" style="1631"/>
    <col min="11015" max="11015" width="9.375" style="1631" bestFit="1" customWidth="1"/>
    <col min="11016" max="11017" width="8.875" style="1631"/>
    <col min="11018" max="11018" width="9.375" style="1631" bestFit="1" customWidth="1"/>
    <col min="11019" max="11019" width="4" style="1631" customWidth="1"/>
    <col min="11020" max="11020" width="5.125" style="1631" customWidth="1"/>
    <col min="11021" max="11021" width="13.625" style="1631" customWidth="1"/>
    <col min="11022" max="11264" width="8.875" style="1631"/>
    <col min="11265" max="11265" width="4.875" style="1631" customWidth="1"/>
    <col min="11266" max="11266" width="13.125" style="1631" customWidth="1"/>
    <col min="11267" max="11267" width="15.625" style="1631" customWidth="1"/>
    <col min="11268" max="11268" width="9.375" style="1631" bestFit="1" customWidth="1"/>
    <col min="11269" max="11269" width="13.5" style="1631" customWidth="1"/>
    <col min="11270" max="11270" width="8.875" style="1631"/>
    <col min="11271" max="11271" width="9.375" style="1631" bestFit="1" customWidth="1"/>
    <col min="11272" max="11273" width="8.875" style="1631"/>
    <col min="11274" max="11274" width="9.375" style="1631" bestFit="1" customWidth="1"/>
    <col min="11275" max="11275" width="4" style="1631" customWidth="1"/>
    <col min="11276" max="11276" width="5.125" style="1631" customWidth="1"/>
    <col min="11277" max="11277" width="13.625" style="1631" customWidth="1"/>
    <col min="11278" max="11520" width="8.875" style="1631"/>
    <col min="11521" max="11521" width="4.875" style="1631" customWidth="1"/>
    <col min="11522" max="11522" width="13.125" style="1631" customWidth="1"/>
    <col min="11523" max="11523" width="15.625" style="1631" customWidth="1"/>
    <col min="11524" max="11524" width="9.375" style="1631" bestFit="1" customWidth="1"/>
    <col min="11525" max="11525" width="13.5" style="1631" customWidth="1"/>
    <col min="11526" max="11526" width="8.875" style="1631"/>
    <col min="11527" max="11527" width="9.375" style="1631" bestFit="1" customWidth="1"/>
    <col min="11528" max="11529" width="8.875" style="1631"/>
    <col min="11530" max="11530" width="9.375" style="1631" bestFit="1" customWidth="1"/>
    <col min="11531" max="11531" width="4" style="1631" customWidth="1"/>
    <col min="11532" max="11532" width="5.125" style="1631" customWidth="1"/>
    <col min="11533" max="11533" width="13.625" style="1631" customWidth="1"/>
    <col min="11534" max="11776" width="8.875" style="1631"/>
    <col min="11777" max="11777" width="4.875" style="1631" customWidth="1"/>
    <col min="11778" max="11778" width="13.125" style="1631" customWidth="1"/>
    <col min="11779" max="11779" width="15.625" style="1631" customWidth="1"/>
    <col min="11780" max="11780" width="9.375" style="1631" bestFit="1" customWidth="1"/>
    <col min="11781" max="11781" width="13.5" style="1631" customWidth="1"/>
    <col min="11782" max="11782" width="8.875" style="1631"/>
    <col min="11783" max="11783" width="9.375" style="1631" bestFit="1" customWidth="1"/>
    <col min="11784" max="11785" width="8.875" style="1631"/>
    <col min="11786" max="11786" width="9.375" style="1631" bestFit="1" customWidth="1"/>
    <col min="11787" max="11787" width="4" style="1631" customWidth="1"/>
    <col min="11788" max="11788" width="5.125" style="1631" customWidth="1"/>
    <col min="11789" max="11789" width="13.625" style="1631" customWidth="1"/>
    <col min="11790" max="12032" width="8.875" style="1631"/>
    <col min="12033" max="12033" width="4.875" style="1631" customWidth="1"/>
    <col min="12034" max="12034" width="13.125" style="1631" customWidth="1"/>
    <col min="12035" max="12035" width="15.625" style="1631" customWidth="1"/>
    <col min="12036" max="12036" width="9.375" style="1631" bestFit="1" customWidth="1"/>
    <col min="12037" max="12037" width="13.5" style="1631" customWidth="1"/>
    <col min="12038" max="12038" width="8.875" style="1631"/>
    <col min="12039" max="12039" width="9.375" style="1631" bestFit="1" customWidth="1"/>
    <col min="12040" max="12041" width="8.875" style="1631"/>
    <col min="12042" max="12042" width="9.375" style="1631" bestFit="1" customWidth="1"/>
    <col min="12043" max="12043" width="4" style="1631" customWidth="1"/>
    <col min="12044" max="12044" width="5.125" style="1631" customWidth="1"/>
    <col min="12045" max="12045" width="13.625" style="1631" customWidth="1"/>
    <col min="12046" max="12288" width="8.875" style="1631"/>
    <col min="12289" max="12289" width="4.875" style="1631" customWidth="1"/>
    <col min="12290" max="12290" width="13.125" style="1631" customWidth="1"/>
    <col min="12291" max="12291" width="15.625" style="1631" customWidth="1"/>
    <col min="12292" max="12292" width="9.375" style="1631" bestFit="1" customWidth="1"/>
    <col min="12293" max="12293" width="13.5" style="1631" customWidth="1"/>
    <col min="12294" max="12294" width="8.875" style="1631"/>
    <col min="12295" max="12295" width="9.375" style="1631" bestFit="1" customWidth="1"/>
    <col min="12296" max="12297" width="8.875" style="1631"/>
    <col min="12298" max="12298" width="9.375" style="1631" bestFit="1" customWidth="1"/>
    <col min="12299" max="12299" width="4" style="1631" customWidth="1"/>
    <col min="12300" max="12300" width="5.125" style="1631" customWidth="1"/>
    <col min="12301" max="12301" width="13.625" style="1631" customWidth="1"/>
    <col min="12302" max="12544" width="8.875" style="1631"/>
    <col min="12545" max="12545" width="4.875" style="1631" customWidth="1"/>
    <col min="12546" max="12546" width="13.125" style="1631" customWidth="1"/>
    <col min="12547" max="12547" width="15.625" style="1631" customWidth="1"/>
    <col min="12548" max="12548" width="9.375" style="1631" bestFit="1" customWidth="1"/>
    <col min="12549" max="12549" width="13.5" style="1631" customWidth="1"/>
    <col min="12550" max="12550" width="8.875" style="1631"/>
    <col min="12551" max="12551" width="9.375" style="1631" bestFit="1" customWidth="1"/>
    <col min="12552" max="12553" width="8.875" style="1631"/>
    <col min="12554" max="12554" width="9.375" style="1631" bestFit="1" customWidth="1"/>
    <col min="12555" max="12555" width="4" style="1631" customWidth="1"/>
    <col min="12556" max="12556" width="5.125" style="1631" customWidth="1"/>
    <col min="12557" max="12557" width="13.625" style="1631" customWidth="1"/>
    <col min="12558" max="12800" width="8.875" style="1631"/>
    <col min="12801" max="12801" width="4.875" style="1631" customWidth="1"/>
    <col min="12802" max="12802" width="13.125" style="1631" customWidth="1"/>
    <col min="12803" max="12803" width="15.625" style="1631" customWidth="1"/>
    <col min="12804" max="12804" width="9.375" style="1631" bestFit="1" customWidth="1"/>
    <col min="12805" max="12805" width="13.5" style="1631" customWidth="1"/>
    <col min="12806" max="12806" width="8.875" style="1631"/>
    <col min="12807" max="12807" width="9.375" style="1631" bestFit="1" customWidth="1"/>
    <col min="12808" max="12809" width="8.875" style="1631"/>
    <col min="12810" max="12810" width="9.375" style="1631" bestFit="1" customWidth="1"/>
    <col min="12811" max="12811" width="4" style="1631" customWidth="1"/>
    <col min="12812" max="12812" width="5.125" style="1631" customWidth="1"/>
    <col min="12813" max="12813" width="13.625" style="1631" customWidth="1"/>
    <col min="12814" max="13056" width="8.875" style="1631"/>
    <col min="13057" max="13057" width="4.875" style="1631" customWidth="1"/>
    <col min="13058" max="13058" width="13.125" style="1631" customWidth="1"/>
    <col min="13059" max="13059" width="15.625" style="1631" customWidth="1"/>
    <col min="13060" max="13060" width="9.375" style="1631" bestFit="1" customWidth="1"/>
    <col min="13061" max="13061" width="13.5" style="1631" customWidth="1"/>
    <col min="13062" max="13062" width="8.875" style="1631"/>
    <col min="13063" max="13063" width="9.375" style="1631" bestFit="1" customWidth="1"/>
    <col min="13064" max="13065" width="8.875" style="1631"/>
    <col min="13066" max="13066" width="9.375" style="1631" bestFit="1" customWidth="1"/>
    <col min="13067" max="13067" width="4" style="1631" customWidth="1"/>
    <col min="13068" max="13068" width="5.125" style="1631" customWidth="1"/>
    <col min="13069" max="13069" width="13.625" style="1631" customWidth="1"/>
    <col min="13070" max="13312" width="8.875" style="1631"/>
    <col min="13313" max="13313" width="4.875" style="1631" customWidth="1"/>
    <col min="13314" max="13314" width="13.125" style="1631" customWidth="1"/>
    <col min="13315" max="13315" width="15.625" style="1631" customWidth="1"/>
    <col min="13316" max="13316" width="9.375" style="1631" bestFit="1" customWidth="1"/>
    <col min="13317" max="13317" width="13.5" style="1631" customWidth="1"/>
    <col min="13318" max="13318" width="8.875" style="1631"/>
    <col min="13319" max="13319" width="9.375" style="1631" bestFit="1" customWidth="1"/>
    <col min="13320" max="13321" width="8.875" style="1631"/>
    <col min="13322" max="13322" width="9.375" style="1631" bestFit="1" customWidth="1"/>
    <col min="13323" max="13323" width="4" style="1631" customWidth="1"/>
    <col min="13324" max="13324" width="5.125" style="1631" customWidth="1"/>
    <col min="13325" max="13325" width="13.625" style="1631" customWidth="1"/>
    <col min="13326" max="13568" width="8.875" style="1631"/>
    <col min="13569" max="13569" width="4.875" style="1631" customWidth="1"/>
    <col min="13570" max="13570" width="13.125" style="1631" customWidth="1"/>
    <col min="13571" max="13571" width="15.625" style="1631" customWidth="1"/>
    <col min="13572" max="13572" width="9.375" style="1631" bestFit="1" customWidth="1"/>
    <col min="13573" max="13573" width="13.5" style="1631" customWidth="1"/>
    <col min="13574" max="13574" width="8.875" style="1631"/>
    <col min="13575" max="13575" width="9.375" style="1631" bestFit="1" customWidth="1"/>
    <col min="13576" max="13577" width="8.875" style="1631"/>
    <col min="13578" max="13578" width="9.375" style="1631" bestFit="1" customWidth="1"/>
    <col min="13579" max="13579" width="4" style="1631" customWidth="1"/>
    <col min="13580" max="13580" width="5.125" style="1631" customWidth="1"/>
    <col min="13581" max="13581" width="13.625" style="1631" customWidth="1"/>
    <col min="13582" max="13824" width="8.875" style="1631"/>
    <col min="13825" max="13825" width="4.875" style="1631" customWidth="1"/>
    <col min="13826" max="13826" width="13.125" style="1631" customWidth="1"/>
    <col min="13827" max="13827" width="15.625" style="1631" customWidth="1"/>
    <col min="13828" max="13828" width="9.375" style="1631" bestFit="1" customWidth="1"/>
    <col min="13829" max="13829" width="13.5" style="1631" customWidth="1"/>
    <col min="13830" max="13830" width="8.875" style="1631"/>
    <col min="13831" max="13831" width="9.375" style="1631" bestFit="1" customWidth="1"/>
    <col min="13832" max="13833" width="8.875" style="1631"/>
    <col min="13834" max="13834" width="9.375" style="1631" bestFit="1" customWidth="1"/>
    <col min="13835" max="13835" width="4" style="1631" customWidth="1"/>
    <col min="13836" max="13836" width="5.125" style="1631" customWidth="1"/>
    <col min="13837" max="13837" width="13.625" style="1631" customWidth="1"/>
    <col min="13838" max="14080" width="8.875" style="1631"/>
    <col min="14081" max="14081" width="4.875" style="1631" customWidth="1"/>
    <col min="14082" max="14082" width="13.125" style="1631" customWidth="1"/>
    <col min="14083" max="14083" width="15.625" style="1631" customWidth="1"/>
    <col min="14084" max="14084" width="9.375" style="1631" bestFit="1" customWidth="1"/>
    <col min="14085" max="14085" width="13.5" style="1631" customWidth="1"/>
    <col min="14086" max="14086" width="8.875" style="1631"/>
    <col min="14087" max="14087" width="9.375" style="1631" bestFit="1" customWidth="1"/>
    <col min="14088" max="14089" width="8.875" style="1631"/>
    <col min="14090" max="14090" width="9.375" style="1631" bestFit="1" customWidth="1"/>
    <col min="14091" max="14091" width="4" style="1631" customWidth="1"/>
    <col min="14092" max="14092" width="5.125" style="1631" customWidth="1"/>
    <col min="14093" max="14093" width="13.625" style="1631" customWidth="1"/>
    <col min="14094" max="14336" width="8.875" style="1631"/>
    <col min="14337" max="14337" width="4.875" style="1631" customWidth="1"/>
    <col min="14338" max="14338" width="13.125" style="1631" customWidth="1"/>
    <col min="14339" max="14339" width="15.625" style="1631" customWidth="1"/>
    <col min="14340" max="14340" width="9.375" style="1631" bestFit="1" customWidth="1"/>
    <col min="14341" max="14341" width="13.5" style="1631" customWidth="1"/>
    <col min="14342" max="14342" width="8.875" style="1631"/>
    <col min="14343" max="14343" width="9.375" style="1631" bestFit="1" customWidth="1"/>
    <col min="14344" max="14345" width="8.875" style="1631"/>
    <col min="14346" max="14346" width="9.375" style="1631" bestFit="1" customWidth="1"/>
    <col min="14347" max="14347" width="4" style="1631" customWidth="1"/>
    <col min="14348" max="14348" width="5.125" style="1631" customWidth="1"/>
    <col min="14349" max="14349" width="13.625" style="1631" customWidth="1"/>
    <col min="14350" max="14592" width="8.875" style="1631"/>
    <col min="14593" max="14593" width="4.875" style="1631" customWidth="1"/>
    <col min="14594" max="14594" width="13.125" style="1631" customWidth="1"/>
    <col min="14595" max="14595" width="15.625" style="1631" customWidth="1"/>
    <col min="14596" max="14596" width="9.375" style="1631" bestFit="1" customWidth="1"/>
    <col min="14597" max="14597" width="13.5" style="1631" customWidth="1"/>
    <col min="14598" max="14598" width="8.875" style="1631"/>
    <col min="14599" max="14599" width="9.375" style="1631" bestFit="1" customWidth="1"/>
    <col min="14600" max="14601" width="8.875" style="1631"/>
    <col min="14602" max="14602" width="9.375" style="1631" bestFit="1" customWidth="1"/>
    <col min="14603" max="14603" width="4" style="1631" customWidth="1"/>
    <col min="14604" max="14604" width="5.125" style="1631" customWidth="1"/>
    <col min="14605" max="14605" width="13.625" style="1631" customWidth="1"/>
    <col min="14606" max="14848" width="8.875" style="1631"/>
    <col min="14849" max="14849" width="4.875" style="1631" customWidth="1"/>
    <col min="14850" max="14850" width="13.125" style="1631" customWidth="1"/>
    <col min="14851" max="14851" width="15.625" style="1631" customWidth="1"/>
    <col min="14852" max="14852" width="9.375" style="1631" bestFit="1" customWidth="1"/>
    <col min="14853" max="14853" width="13.5" style="1631" customWidth="1"/>
    <col min="14854" max="14854" width="8.875" style="1631"/>
    <col min="14855" max="14855" width="9.375" style="1631" bestFit="1" customWidth="1"/>
    <col min="14856" max="14857" width="8.875" style="1631"/>
    <col min="14858" max="14858" width="9.375" style="1631" bestFit="1" customWidth="1"/>
    <col min="14859" max="14859" width="4" style="1631" customWidth="1"/>
    <col min="14860" max="14860" width="5.125" style="1631" customWidth="1"/>
    <col min="14861" max="14861" width="13.625" style="1631" customWidth="1"/>
    <col min="14862" max="15104" width="8.875" style="1631"/>
    <col min="15105" max="15105" width="4.875" style="1631" customWidth="1"/>
    <col min="15106" max="15106" width="13.125" style="1631" customWidth="1"/>
    <col min="15107" max="15107" width="15.625" style="1631" customWidth="1"/>
    <col min="15108" max="15108" width="9.375" style="1631" bestFit="1" customWidth="1"/>
    <col min="15109" max="15109" width="13.5" style="1631" customWidth="1"/>
    <col min="15110" max="15110" width="8.875" style="1631"/>
    <col min="15111" max="15111" width="9.375" style="1631" bestFit="1" customWidth="1"/>
    <col min="15112" max="15113" width="8.875" style="1631"/>
    <col min="15114" max="15114" width="9.375" style="1631" bestFit="1" customWidth="1"/>
    <col min="15115" max="15115" width="4" style="1631" customWidth="1"/>
    <col min="15116" max="15116" width="5.125" style="1631" customWidth="1"/>
    <col min="15117" max="15117" width="13.625" style="1631" customWidth="1"/>
    <col min="15118" max="15360" width="8.875" style="1631"/>
    <col min="15361" max="15361" width="4.875" style="1631" customWidth="1"/>
    <col min="15362" max="15362" width="13.125" style="1631" customWidth="1"/>
    <col min="15363" max="15363" width="15.625" style="1631" customWidth="1"/>
    <col min="15364" max="15364" width="9.375" style="1631" bestFit="1" customWidth="1"/>
    <col min="15365" max="15365" width="13.5" style="1631" customWidth="1"/>
    <col min="15366" max="15366" width="8.875" style="1631"/>
    <col min="15367" max="15367" width="9.375" style="1631" bestFit="1" customWidth="1"/>
    <col min="15368" max="15369" width="8.875" style="1631"/>
    <col min="15370" max="15370" width="9.375" style="1631" bestFit="1" customWidth="1"/>
    <col min="15371" max="15371" width="4" style="1631" customWidth="1"/>
    <col min="15372" max="15372" width="5.125" style="1631" customWidth="1"/>
    <col min="15373" max="15373" width="13.625" style="1631" customWidth="1"/>
    <col min="15374" max="15616" width="8.875" style="1631"/>
    <col min="15617" max="15617" width="4.875" style="1631" customWidth="1"/>
    <col min="15618" max="15618" width="13.125" style="1631" customWidth="1"/>
    <col min="15619" max="15619" width="15.625" style="1631" customWidth="1"/>
    <col min="15620" max="15620" width="9.375" style="1631" bestFit="1" customWidth="1"/>
    <col min="15621" max="15621" width="13.5" style="1631" customWidth="1"/>
    <col min="15622" max="15622" width="8.875" style="1631"/>
    <col min="15623" max="15623" width="9.375" style="1631" bestFit="1" customWidth="1"/>
    <col min="15624" max="15625" width="8.875" style="1631"/>
    <col min="15626" max="15626" width="9.375" style="1631" bestFit="1" customWidth="1"/>
    <col min="15627" max="15627" width="4" style="1631" customWidth="1"/>
    <col min="15628" max="15628" width="5.125" style="1631" customWidth="1"/>
    <col min="15629" max="15629" width="13.625" style="1631" customWidth="1"/>
    <col min="15630" max="15872" width="8.875" style="1631"/>
    <col min="15873" max="15873" width="4.875" style="1631" customWidth="1"/>
    <col min="15874" max="15874" width="13.125" style="1631" customWidth="1"/>
    <col min="15875" max="15875" width="15.625" style="1631" customWidth="1"/>
    <col min="15876" max="15876" width="9.375" style="1631" bestFit="1" customWidth="1"/>
    <col min="15877" max="15877" width="13.5" style="1631" customWidth="1"/>
    <col min="15878" max="15878" width="8.875" style="1631"/>
    <col min="15879" max="15879" width="9.375" style="1631" bestFit="1" customWidth="1"/>
    <col min="15880" max="15881" width="8.875" style="1631"/>
    <col min="15882" max="15882" width="9.375" style="1631" bestFit="1" customWidth="1"/>
    <col min="15883" max="15883" width="4" style="1631" customWidth="1"/>
    <col min="15884" max="15884" width="5.125" style="1631" customWidth="1"/>
    <col min="15885" max="15885" width="13.625" style="1631" customWidth="1"/>
    <col min="15886" max="16128" width="8.875" style="1631"/>
    <col min="16129" max="16129" width="4.875" style="1631" customWidth="1"/>
    <col min="16130" max="16130" width="13.125" style="1631" customWidth="1"/>
    <col min="16131" max="16131" width="15.625" style="1631" customWidth="1"/>
    <col min="16132" max="16132" width="9.375" style="1631" bestFit="1" customWidth="1"/>
    <col min="16133" max="16133" width="13.5" style="1631" customWidth="1"/>
    <col min="16134" max="16134" width="8.875" style="1631"/>
    <col min="16135" max="16135" width="9.375" style="1631" bestFit="1" customWidth="1"/>
    <col min="16136" max="16137" width="8.875" style="1631"/>
    <col min="16138" max="16138" width="9.375" style="1631" bestFit="1" customWidth="1"/>
    <col min="16139" max="16139" width="4" style="1631" customWidth="1"/>
    <col min="16140" max="16140" width="5.125" style="1631" customWidth="1"/>
    <col min="16141" max="16141" width="13.625" style="1631" customWidth="1"/>
    <col min="16142" max="16384" width="8.875" style="1631"/>
  </cols>
  <sheetData>
    <row r="1" spans="1:257" s="1695" customFormat="1" ht="14.25" thickBot="1">
      <c r="A1" s="1689"/>
      <c r="B1" s="1696" t="s">
        <v>1300</v>
      </c>
      <c r="C1" s="1690">
        <f>项目基本情况!D3</f>
        <v>43185</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W81"/>
  <sheetViews>
    <sheetView view="pageBreakPreview" zoomScaleSheetLayoutView="100" workbookViewId="0">
      <pane xSplit="2" ySplit="4" topLeftCell="C28" activePane="bottomRight" state="frozen"/>
      <selection pane="topRight" activeCell="C1" sqref="C1"/>
      <selection pane="bottomLeft" activeCell="A5" sqref="A5"/>
      <selection pane="bottomRight" activeCell="D81" sqref="D81"/>
    </sheetView>
  </sheetViews>
  <sheetFormatPr defaultColWidth="9" defaultRowHeight="13.5" outlineLevelRow="1"/>
  <cols>
    <col min="1" max="1" width="28.5" style="2959" customWidth="1"/>
    <col min="2" max="2" width="13.5" style="2992" customWidth="1"/>
    <col min="3" max="18" width="13" style="2959" customWidth="1"/>
    <col min="19" max="23" width="13.5" style="2959" hidden="1" customWidth="1"/>
    <col min="24" max="16384" width="9" style="2959"/>
  </cols>
  <sheetData>
    <row r="1" spans="1:23" ht="42.75">
      <c r="A1" s="2956" t="s">
        <v>3116</v>
      </c>
      <c r="B1" s="2957"/>
      <c r="C1" s="2958"/>
      <c r="D1" s="2958"/>
      <c r="E1" s="2958"/>
      <c r="F1" s="2958"/>
      <c r="G1" s="2958"/>
      <c r="H1" s="2958"/>
      <c r="I1" s="2958"/>
      <c r="J1" s="2958"/>
      <c r="K1" s="2958"/>
      <c r="L1" s="2958"/>
      <c r="M1" s="2958"/>
      <c r="N1" s="2958"/>
      <c r="O1" s="2958"/>
      <c r="P1" s="2958"/>
      <c r="Q1" s="2958"/>
      <c r="R1" s="2958"/>
    </row>
    <row r="2" spans="1:23">
      <c r="A2" s="2960"/>
      <c r="B2" s="2961"/>
      <c r="C2" s="2962"/>
      <c r="D2" s="2962"/>
      <c r="E2" s="2962"/>
      <c r="F2" s="2962">
        <f>21333333.33/1.12</f>
        <v>19047619.044642854</v>
      </c>
      <c r="G2" s="2962"/>
      <c r="H2" s="2962"/>
      <c r="I2" s="2962"/>
      <c r="J2" s="2962"/>
      <c r="K2" s="2962"/>
      <c r="L2" s="2962"/>
      <c r="M2" s="2962"/>
      <c r="N2" s="2962"/>
      <c r="O2" s="2962"/>
      <c r="P2" s="2962"/>
      <c r="Q2" s="2962"/>
      <c r="R2" s="2962"/>
    </row>
    <row r="3" spans="1:23" ht="14.25">
      <c r="A3" s="2960"/>
      <c r="B3" s="2963" t="s">
        <v>3117</v>
      </c>
      <c r="C3" s="2964" t="s">
        <v>3118</v>
      </c>
      <c r="D3" s="2964" t="s">
        <v>3119</v>
      </c>
      <c r="E3" s="2964" t="s">
        <v>3120</v>
      </c>
      <c r="F3" s="2964" t="s">
        <v>3121</v>
      </c>
      <c r="G3" s="2964" t="s">
        <v>3122</v>
      </c>
      <c r="H3" s="2964" t="s">
        <v>3123</v>
      </c>
      <c r="I3" s="2964" t="s">
        <v>3124</v>
      </c>
      <c r="J3" s="2964" t="s">
        <v>3125</v>
      </c>
      <c r="K3" s="2964" t="s">
        <v>3126</v>
      </c>
      <c r="L3" s="2964" t="s">
        <v>3127</v>
      </c>
      <c r="M3" s="2964" t="s">
        <v>3128</v>
      </c>
      <c r="N3" s="2964" t="s">
        <v>3129</v>
      </c>
      <c r="O3" s="2964" t="s">
        <v>3130</v>
      </c>
      <c r="P3" s="2964" t="s">
        <v>3131</v>
      </c>
      <c r="Q3" s="2964" t="s">
        <v>3132</v>
      </c>
      <c r="R3" s="2964" t="s">
        <v>3133</v>
      </c>
    </row>
    <row r="4" spans="1:23" ht="14.25">
      <c r="A4" s="2965" t="s">
        <v>3134</v>
      </c>
      <c r="B4" s="2963" t="s">
        <v>3135</v>
      </c>
      <c r="C4" s="2966" t="s">
        <v>3136</v>
      </c>
      <c r="D4" s="2966" t="s">
        <v>3136</v>
      </c>
      <c r="E4" s="2966" t="s">
        <v>3137</v>
      </c>
      <c r="F4" s="2966" t="s">
        <v>3138</v>
      </c>
      <c r="G4" s="2966" t="s">
        <v>3136</v>
      </c>
      <c r="H4" s="2966" t="s">
        <v>3139</v>
      </c>
      <c r="I4" s="2966" t="s">
        <v>3138</v>
      </c>
      <c r="J4" s="2966" t="s">
        <v>3136</v>
      </c>
      <c r="K4" s="2966" t="s">
        <v>3139</v>
      </c>
      <c r="L4" s="2966" t="s">
        <v>3138</v>
      </c>
      <c r="M4" s="2966" t="s">
        <v>3136</v>
      </c>
      <c r="N4" s="2966" t="s">
        <v>3139</v>
      </c>
      <c r="O4" s="2966" t="s">
        <v>3140</v>
      </c>
      <c r="P4" s="2966" t="s">
        <v>3136</v>
      </c>
      <c r="Q4" s="2966" t="s">
        <v>3140</v>
      </c>
      <c r="R4" s="2966" t="s">
        <v>3140</v>
      </c>
    </row>
    <row r="5" spans="1:23" ht="14.25">
      <c r="A5" s="2967" t="s">
        <v>3141</v>
      </c>
      <c r="B5" s="2968"/>
      <c r="C5" s="2963" t="s">
        <v>3142</v>
      </c>
      <c r="D5" s="2963" t="s">
        <v>3143</v>
      </c>
      <c r="E5" s="2963" t="s">
        <v>3144</v>
      </c>
      <c r="F5" s="2963" t="s">
        <v>3145</v>
      </c>
      <c r="G5" s="2963" t="s">
        <v>3142</v>
      </c>
      <c r="H5" s="2963" t="s">
        <v>3146</v>
      </c>
      <c r="I5" s="2963" t="s">
        <v>3147</v>
      </c>
      <c r="J5" s="2963" t="s">
        <v>3142</v>
      </c>
      <c r="K5" s="2963" t="s">
        <v>3148</v>
      </c>
      <c r="L5" s="2963" t="s">
        <v>3149</v>
      </c>
      <c r="M5" s="2963" t="s">
        <v>3150</v>
      </c>
      <c r="N5" s="2963" t="s">
        <v>3151</v>
      </c>
      <c r="O5" s="2963" t="s">
        <v>3151</v>
      </c>
      <c r="P5" s="2963" t="s">
        <v>3151</v>
      </c>
      <c r="Q5" s="2963" t="s">
        <v>3151</v>
      </c>
      <c r="R5" s="2963" t="s">
        <v>3151</v>
      </c>
    </row>
    <row r="6" spans="1:23" ht="14.25">
      <c r="A6" s="2969" t="s">
        <v>3152</v>
      </c>
      <c r="B6" s="2970"/>
      <c r="C6" s="2971">
        <f>SUM(C7,C23,C28,C57)</f>
        <v>23442268.905000001</v>
      </c>
      <c r="D6" s="2971">
        <f t="shared" ref="D6:R6" si="0">SUM(D7,D23,D28,D57)</f>
        <v>26397700.88711974</v>
      </c>
      <c r="E6" s="2971">
        <f t="shared" si="0"/>
        <v>27965036.668647375</v>
      </c>
      <c r="F6" s="2971">
        <f t="shared" si="0"/>
        <v>29820141.633737646</v>
      </c>
      <c r="G6" s="2971">
        <f t="shared" si="0"/>
        <v>31178282.656600181</v>
      </c>
      <c r="H6" s="2971">
        <f t="shared" si="0"/>
        <v>32506469.272854269</v>
      </c>
      <c r="I6" s="2971">
        <f>SUM(I7,I23,I28,I57)</f>
        <v>34083108.698117711</v>
      </c>
      <c r="J6" s="2971">
        <f t="shared" ref="J6:L6" si="1">SUM(J7,J23,J28,J57)</f>
        <v>35831694.445716813</v>
      </c>
      <c r="K6" s="2971">
        <f t="shared" si="1"/>
        <v>37125466.698344544</v>
      </c>
      <c r="L6" s="2971">
        <f t="shared" si="1"/>
        <v>38569925.366278321</v>
      </c>
      <c r="M6" s="2971">
        <f t="shared" si="0"/>
        <v>39696603.127266675</v>
      </c>
      <c r="N6" s="2971">
        <f>SUM(N7,N23,N28,N57)</f>
        <v>40958910.249974221</v>
      </c>
      <c r="O6" s="2971">
        <f t="shared" ref="O6" si="2">SUM(O7,O23,O28,O57)</f>
        <v>42052373.657717213</v>
      </c>
      <c r="P6" s="2971">
        <f t="shared" si="0"/>
        <v>43283524.867448732</v>
      </c>
      <c r="Q6" s="2971">
        <f t="shared" si="0"/>
        <v>44551610.613472208</v>
      </c>
      <c r="R6" s="2971">
        <f t="shared" si="0"/>
        <v>45972348.401005298</v>
      </c>
      <c r="S6" s="2972">
        <v>40958910.249974221</v>
      </c>
      <c r="T6" s="2972">
        <v>42052373.657717213</v>
      </c>
      <c r="U6" s="2972">
        <v>43283524.867448732</v>
      </c>
      <c r="V6" s="2972">
        <v>44551610.613472208</v>
      </c>
      <c r="W6" s="2972">
        <v>45972348.401005298</v>
      </c>
    </row>
    <row r="7" spans="1:23" ht="14.25">
      <c r="A7" s="2973" t="s">
        <v>3153</v>
      </c>
      <c r="B7" s="2970"/>
      <c r="C7" s="2974">
        <v>15905359.405000001</v>
      </c>
      <c r="D7" s="2974">
        <v>18493291.38711974</v>
      </c>
      <c r="E7" s="2974">
        <v>19976716.628222242</v>
      </c>
      <c r="F7" s="2974">
        <v>21394360.560144871</v>
      </c>
      <c r="G7" s="2974">
        <v>22403109.414579876</v>
      </c>
      <c r="H7" s="2974">
        <v>23350960.676704876</v>
      </c>
      <c r="I7" s="2974">
        <v>24505103.409621224</v>
      </c>
      <c r="J7" s="2974">
        <v>25800852.713198461</v>
      </c>
      <c r="K7" s="2974">
        <v>26759572.923306383</v>
      </c>
      <c r="L7" s="2974">
        <v>27829955.840238631</v>
      </c>
      <c r="M7" s="2974">
        <v>28664854.515445791</v>
      </c>
      <c r="N7" s="2974">
        <v>29598359.916592754</v>
      </c>
      <c r="O7" s="2974">
        <v>30410544.155436441</v>
      </c>
      <c r="P7" s="2974">
        <v>31322860.480099536</v>
      </c>
      <c r="Q7" s="2974">
        <v>32262546.294502527</v>
      </c>
      <c r="R7" s="2974">
        <v>33313214.847676013</v>
      </c>
    </row>
    <row r="8" spans="1:23" ht="14.25" hidden="1" outlineLevel="1">
      <c r="A8" s="2975" t="s">
        <v>3154</v>
      </c>
      <c r="B8" s="2970"/>
      <c r="C8" s="2974">
        <v>5352435.92</v>
      </c>
      <c r="D8" s="2974">
        <v>5466422.2483543744</v>
      </c>
      <c r="E8" s="2974">
        <v>6324658.6892550699</v>
      </c>
      <c r="F8" s="2974">
        <v>6659085.8473444488</v>
      </c>
      <c r="G8" s="2974">
        <v>6972936.2049037144</v>
      </c>
      <c r="H8" s="2974">
        <v>7321583.0151489004</v>
      </c>
      <c r="I8" s="2974">
        <v>7687662.1659063464</v>
      </c>
      <c r="J8" s="2974">
        <v>8094160.4667337239</v>
      </c>
      <c r="K8" s="2974">
        <v>8394927.0851697326</v>
      </c>
      <c r="L8" s="2974">
        <v>8730724.1685765181</v>
      </c>
      <c r="M8" s="2974">
        <v>8992645.8936338164</v>
      </c>
      <c r="N8" s="2974">
        <v>9287801.7780330852</v>
      </c>
      <c r="O8" s="2974">
        <v>9540298.0285561159</v>
      </c>
      <c r="P8" s="2974">
        <v>9826506.9694127999</v>
      </c>
      <c r="Q8" s="2974">
        <v>10121302.178495184</v>
      </c>
      <c r="R8" s="2974">
        <v>10453502.726709902</v>
      </c>
    </row>
    <row r="9" spans="1:23" ht="14.25" hidden="1" outlineLevel="1">
      <c r="A9" s="2975" t="s">
        <v>3155</v>
      </c>
      <c r="B9" s="2970"/>
      <c r="C9" s="2974">
        <v>1836903.38</v>
      </c>
      <c r="D9" s="2974">
        <v>1876022.367122398</v>
      </c>
      <c r="E9" s="2974">
        <v>2170560.6750428891</v>
      </c>
      <c r="F9" s="2974">
        <v>2285332.7874492668</v>
      </c>
      <c r="G9" s="2974">
        <v>2393043.1442347853</v>
      </c>
      <c r="H9" s="2974">
        <v>2512695.3014465249</v>
      </c>
      <c r="I9" s="2974">
        <v>2638330.0665188511</v>
      </c>
      <c r="J9" s="2974">
        <v>2777836.2864745059</v>
      </c>
      <c r="K9" s="2974">
        <v>2881056.432638586</v>
      </c>
      <c r="L9" s="2974">
        <v>2996298.6899441285</v>
      </c>
      <c r="M9" s="2974">
        <v>3086187.6506424532</v>
      </c>
      <c r="N9" s="2974">
        <v>3187482.2480525807</v>
      </c>
      <c r="O9" s="2974">
        <v>3274136.4785665786</v>
      </c>
      <c r="P9" s="2974">
        <v>3372360.572923576</v>
      </c>
      <c r="Q9" s="2974">
        <v>3473531.3901112834</v>
      </c>
      <c r="R9" s="2974">
        <v>3587539.351901785</v>
      </c>
    </row>
    <row r="10" spans="1:23" ht="14.25" hidden="1" outlineLevel="1">
      <c r="A10" s="2975" t="s">
        <v>3156</v>
      </c>
      <c r="B10" s="2970"/>
      <c r="C10" s="2974">
        <v>1746748.38</v>
      </c>
      <c r="D10" s="2974">
        <v>1783947.4118746594</v>
      </c>
      <c r="E10" s="2974">
        <v>2064029.8145800533</v>
      </c>
      <c r="F10" s="2974">
        <v>2173168.9253236013</v>
      </c>
      <c r="G10" s="2974">
        <v>2275592.8705745088</v>
      </c>
      <c r="H10" s="2974">
        <v>2389372.5141032343</v>
      </c>
      <c r="I10" s="2974">
        <v>2508841.1398083963</v>
      </c>
      <c r="J10" s="2974">
        <v>2641500.4110366213</v>
      </c>
      <c r="K10" s="2974">
        <v>2739654.524670769</v>
      </c>
      <c r="L10" s="2974">
        <v>2849240.705657599</v>
      </c>
      <c r="M10" s="2974">
        <v>2934717.9268273278</v>
      </c>
      <c r="N10" s="2974">
        <v>3031040.9974119617</v>
      </c>
      <c r="O10" s="2974">
        <v>3113442.2485711123</v>
      </c>
      <c r="P10" s="2974">
        <v>3206845.5160282454</v>
      </c>
      <c r="Q10" s="2974">
        <v>3303050.8815090926</v>
      </c>
      <c r="R10" s="2974">
        <v>3411463.3460583501</v>
      </c>
    </row>
    <row r="11" spans="1:23" ht="14.25" hidden="1" outlineLevel="1">
      <c r="A11" s="2975" t="s">
        <v>3157</v>
      </c>
      <c r="B11" s="2970"/>
      <c r="C11" s="2974">
        <v>1768784.16</v>
      </c>
      <c r="D11" s="2974">
        <v>1806452.4693573173</v>
      </c>
      <c r="E11" s="2974">
        <v>2090068.1996321275</v>
      </c>
      <c r="F11" s="2974">
        <v>2200584.1345715798</v>
      </c>
      <c r="G11" s="2974">
        <v>2304300.1900944207</v>
      </c>
      <c r="H11" s="2974">
        <v>2419515.1995991417</v>
      </c>
      <c r="I11" s="2974">
        <v>2540490.959579099</v>
      </c>
      <c r="J11" s="2974">
        <v>2674823.7692225967</v>
      </c>
      <c r="K11" s="2974">
        <v>2774216.1278603766</v>
      </c>
      <c r="L11" s="2974">
        <v>2885184.772974791</v>
      </c>
      <c r="M11" s="2974">
        <v>2971740.3161640354</v>
      </c>
      <c r="N11" s="2974">
        <v>3069278.5325685423</v>
      </c>
      <c r="O11" s="2974">
        <v>3152719.301418425</v>
      </c>
      <c r="P11" s="2974">
        <v>3247300.880460978</v>
      </c>
      <c r="Q11" s="2974">
        <v>3344719.9068748071</v>
      </c>
      <c r="R11" s="2974">
        <v>3454500.0287497668</v>
      </c>
    </row>
    <row r="12" spans="1:23" ht="14.25" hidden="1" outlineLevel="1">
      <c r="A12" s="2975"/>
      <c r="B12" s="2970"/>
      <c r="C12" s="2974"/>
      <c r="D12" s="2974"/>
      <c r="E12" s="2974"/>
      <c r="F12" s="2974"/>
      <c r="G12" s="2974"/>
      <c r="H12" s="2974"/>
      <c r="I12" s="2974"/>
      <c r="J12" s="2974"/>
      <c r="K12" s="2974"/>
      <c r="L12" s="2974"/>
      <c r="M12" s="2974"/>
      <c r="N12" s="2974"/>
      <c r="O12" s="2974"/>
      <c r="P12" s="2974"/>
      <c r="Q12" s="2974"/>
      <c r="R12" s="2974"/>
    </row>
    <row r="13" spans="1:23" ht="14.25" hidden="1" outlineLevel="1">
      <c r="A13" s="2975" t="s">
        <v>3158</v>
      </c>
      <c r="B13" s="2970"/>
      <c r="C13" s="2974">
        <v>6224692.8449999997</v>
      </c>
      <c r="D13" s="2974">
        <v>6224692.8449999997</v>
      </c>
      <c r="E13" s="2974">
        <v>6256580.5234958269</v>
      </c>
      <c r="F13" s="2974">
        <v>6949138.4877692256</v>
      </c>
      <c r="G13" s="2974">
        <v>7276659.3591190064</v>
      </c>
      <c r="H13" s="2974">
        <v>7640492.3270749561</v>
      </c>
      <c r="I13" s="2974">
        <v>8022516.9434287045</v>
      </c>
      <c r="J13" s="2974">
        <v>8446721.2639990449</v>
      </c>
      <c r="K13" s="2974">
        <v>8760588.5022241455</v>
      </c>
      <c r="L13" s="2974">
        <v>9111012.0423131119</v>
      </c>
      <c r="M13" s="2974">
        <v>9384342.4035825022</v>
      </c>
      <c r="N13" s="2974">
        <v>9692354.518637076</v>
      </c>
      <c r="O13" s="2974">
        <v>9955848.8559606783</v>
      </c>
      <c r="P13" s="2974">
        <v>10254524.321639497</v>
      </c>
      <c r="Q13" s="2974">
        <v>10562160.051288685</v>
      </c>
      <c r="R13" s="2974">
        <v>10908830.400369337</v>
      </c>
    </row>
    <row r="14" spans="1:23" ht="14.25" hidden="1" outlineLevel="1">
      <c r="A14" s="2975" t="s">
        <v>3159</v>
      </c>
      <c r="B14" s="2970"/>
      <c r="C14" s="2974">
        <v>2074897.615</v>
      </c>
      <c r="D14" s="2974">
        <v>2074897.615</v>
      </c>
      <c r="E14" s="2974">
        <v>2085526.8411652755</v>
      </c>
      <c r="F14" s="2974">
        <v>2316379.4959230754</v>
      </c>
      <c r="G14" s="2974">
        <v>2425553.1197063355</v>
      </c>
      <c r="H14" s="2974">
        <v>2546830.7756916522</v>
      </c>
      <c r="I14" s="2974">
        <v>2674172.3144762348</v>
      </c>
      <c r="J14" s="2974">
        <v>2815573.754666348</v>
      </c>
      <c r="K14" s="2974">
        <v>2920196.1674080486</v>
      </c>
      <c r="L14" s="2974">
        <v>3037004.0141043705</v>
      </c>
      <c r="M14" s="2974">
        <v>3128114.1345275007</v>
      </c>
      <c r="N14" s="2974">
        <v>3230784.8395456919</v>
      </c>
      <c r="O14" s="2974">
        <v>3318616.2853202261</v>
      </c>
      <c r="P14" s="2974">
        <v>3418174.7738798321</v>
      </c>
      <c r="Q14" s="2974">
        <v>3520720.0170962284</v>
      </c>
      <c r="R14" s="2974">
        <v>3636276.8001231123</v>
      </c>
    </row>
    <row r="15" spans="1:23" ht="14.25" hidden="1" outlineLevel="1">
      <c r="A15" s="2975" t="s">
        <v>3160</v>
      </c>
      <c r="B15" s="2970"/>
      <c r="C15" s="2974">
        <v>2074897.615</v>
      </c>
      <c r="D15" s="2974">
        <v>2074897.615</v>
      </c>
      <c r="E15" s="2974">
        <v>2085526.8411652755</v>
      </c>
      <c r="F15" s="2974">
        <v>2316379.4959230754</v>
      </c>
      <c r="G15" s="2974">
        <v>2425553.1197063355</v>
      </c>
      <c r="H15" s="2974">
        <v>2546830.7756916522</v>
      </c>
      <c r="I15" s="2974">
        <v>2674172.3144762348</v>
      </c>
      <c r="J15" s="2974">
        <v>2815573.754666348</v>
      </c>
      <c r="K15" s="2974">
        <v>2920196.1674080486</v>
      </c>
      <c r="L15" s="2974">
        <v>3037004.0141043705</v>
      </c>
      <c r="M15" s="2974">
        <v>3128114.1345275007</v>
      </c>
      <c r="N15" s="2974">
        <v>3230784.8395456919</v>
      </c>
      <c r="O15" s="2974">
        <v>3318616.2853202261</v>
      </c>
      <c r="P15" s="2974">
        <v>3418174.7738798321</v>
      </c>
      <c r="Q15" s="2974">
        <v>3520720.0170962284</v>
      </c>
      <c r="R15" s="2974">
        <v>3636276.8001231123</v>
      </c>
    </row>
    <row r="16" spans="1:23" ht="14.25" hidden="1" outlineLevel="1">
      <c r="A16" s="2975" t="s">
        <v>3161</v>
      </c>
      <c r="B16" s="2970"/>
      <c r="C16" s="2974">
        <v>2074897.615</v>
      </c>
      <c r="D16" s="2974">
        <v>2074897.615</v>
      </c>
      <c r="E16" s="2974">
        <v>2085526.8411652755</v>
      </c>
      <c r="F16" s="2974">
        <v>2316379.4959230754</v>
      </c>
      <c r="G16" s="2974">
        <v>2425553.1197063355</v>
      </c>
      <c r="H16" s="2974">
        <v>2546830.7756916522</v>
      </c>
      <c r="I16" s="2974">
        <v>2674172.3144762348</v>
      </c>
      <c r="J16" s="2974">
        <v>2815573.754666348</v>
      </c>
      <c r="K16" s="2974">
        <v>2920196.1674080486</v>
      </c>
      <c r="L16" s="2974">
        <v>3037004.0141043705</v>
      </c>
      <c r="M16" s="2974">
        <v>3128114.1345275007</v>
      </c>
      <c r="N16" s="2974">
        <v>3230784.8395456919</v>
      </c>
      <c r="O16" s="2974">
        <v>3318616.2853202261</v>
      </c>
      <c r="P16" s="2974">
        <v>3418174.7738798321</v>
      </c>
      <c r="Q16" s="2974">
        <v>3520720.0170962284</v>
      </c>
      <c r="R16" s="2974">
        <v>3636276.8001231123</v>
      </c>
    </row>
    <row r="17" spans="1:18" ht="14.25" hidden="1" outlineLevel="1">
      <c r="A17" s="2975"/>
      <c r="B17" s="2970"/>
      <c r="C17" s="2974"/>
      <c r="D17" s="2974"/>
      <c r="E17" s="2974"/>
      <c r="F17" s="2974"/>
      <c r="G17" s="2974"/>
      <c r="H17" s="2974"/>
      <c r="I17" s="2974"/>
      <c r="J17" s="2974"/>
      <c r="K17" s="2974"/>
      <c r="L17" s="2974"/>
      <c r="M17" s="2974"/>
      <c r="N17" s="2974"/>
      <c r="O17" s="2974"/>
      <c r="P17" s="2974"/>
      <c r="Q17" s="2974"/>
      <c r="R17" s="2974"/>
    </row>
    <row r="18" spans="1:18" ht="14.25" hidden="1" outlineLevel="1">
      <c r="A18" s="2975" t="s">
        <v>3162</v>
      </c>
      <c r="B18" s="2970"/>
      <c r="C18" s="2974">
        <v>4328230.6399999997</v>
      </c>
      <c r="D18" s="2974">
        <v>6802176.2937653679</v>
      </c>
      <c r="E18" s="2974">
        <v>7395477.4154713443</v>
      </c>
      <c r="F18" s="2974">
        <v>7786136.2250311989</v>
      </c>
      <c r="G18" s="2974">
        <v>8153513.8505571578</v>
      </c>
      <c r="H18" s="2974">
        <v>8388885.3344810195</v>
      </c>
      <c r="I18" s="2974">
        <v>8794924.3002861738</v>
      </c>
      <c r="J18" s="2974">
        <v>9259970.98246569</v>
      </c>
      <c r="K18" s="2974">
        <v>9604057.3359125014</v>
      </c>
      <c r="L18" s="2974">
        <v>9988219.6293490008</v>
      </c>
      <c r="M18" s="2974">
        <v>10287866.218229473</v>
      </c>
      <c r="N18" s="2974">
        <v>10618203.619922591</v>
      </c>
      <c r="O18" s="2974">
        <v>10914397.270919647</v>
      </c>
      <c r="P18" s="2974">
        <v>11241829.189047238</v>
      </c>
      <c r="Q18" s="2974">
        <v>11579084.064718656</v>
      </c>
      <c r="R18" s="2974">
        <v>11950881.720596772</v>
      </c>
    </row>
    <row r="19" spans="1:18" ht="14.25" hidden="1" outlineLevel="1">
      <c r="A19" s="2975" t="s">
        <v>3163</v>
      </c>
      <c r="B19" s="2970"/>
      <c r="C19" s="2974">
        <v>1747756.64</v>
      </c>
      <c r="D19" s="2974">
        <v>1963787.5437653672</v>
      </c>
      <c r="E19" s="2974">
        <v>2315169.2279713424</v>
      </c>
      <c r="F19" s="2974">
        <v>2437587.7652311968</v>
      </c>
      <c r="G19" s="2974">
        <v>2552474.0738384048</v>
      </c>
      <c r="H19" s="2974">
        <v>2680097.7775303251</v>
      </c>
      <c r="I19" s="2974">
        <v>2814102.6664068415</v>
      </c>
      <c r="J19" s="2974">
        <v>2962903.1635620529</v>
      </c>
      <c r="K19" s="2974">
        <v>3073000.1117162709</v>
      </c>
      <c r="L19" s="2974">
        <v>3195920.116184921</v>
      </c>
      <c r="M19" s="2974">
        <v>3291797.7196704689</v>
      </c>
      <c r="N19" s="2974">
        <v>3399840.833866776</v>
      </c>
      <c r="O19" s="2974">
        <v>3492268.2007984007</v>
      </c>
      <c r="P19" s="2974">
        <v>3597036.2468223535</v>
      </c>
      <c r="Q19" s="2974">
        <v>3704947.3342270241</v>
      </c>
      <c r="R19" s="2974">
        <v>3826550.8111148039</v>
      </c>
    </row>
    <row r="20" spans="1:18" ht="14.25" hidden="1" outlineLevel="1">
      <c r="A20" s="2975" t="s">
        <v>3164</v>
      </c>
      <c r="B20" s="2970"/>
      <c r="C20" s="2974">
        <v>1287975</v>
      </c>
      <c r="D20" s="2974">
        <v>2414953.125</v>
      </c>
      <c r="E20" s="2974">
        <v>2535700.7812500009</v>
      </c>
      <c r="F20" s="2974">
        <v>2669585.7825000011</v>
      </c>
      <c r="G20" s="2974">
        <v>2795610.1113281264</v>
      </c>
      <c r="H20" s="2974">
        <v>2849389.5515566403</v>
      </c>
      <c r="I20" s="2974">
        <v>2985168.1295357873</v>
      </c>
      <c r="J20" s="2974">
        <v>3143014.0059742555</v>
      </c>
      <c r="K20" s="2974">
        <v>3259803.5974530801</v>
      </c>
      <c r="L20" s="2974">
        <v>3390195.741351204</v>
      </c>
      <c r="M20" s="2974">
        <v>3491901.6135917404</v>
      </c>
      <c r="N20" s="2974">
        <v>3602166.1811657036</v>
      </c>
      <c r="O20" s="2974">
        <v>3704558.4218594776</v>
      </c>
      <c r="P20" s="2974">
        <v>3815695.1745152622</v>
      </c>
      <c r="Q20" s="2974">
        <v>3930166.0297507197</v>
      </c>
      <c r="R20" s="2974">
        <v>4054269.7719860561</v>
      </c>
    </row>
    <row r="21" spans="1:18" ht="14.25" hidden="1" outlineLevel="1">
      <c r="A21" s="2975" t="s">
        <v>3165</v>
      </c>
      <c r="B21" s="2970"/>
      <c r="C21" s="2974">
        <v>1292499.0000000005</v>
      </c>
      <c r="D21" s="2974">
        <v>2423435.6250000009</v>
      </c>
      <c r="E21" s="2974">
        <v>2544607.4062500009</v>
      </c>
      <c r="F21" s="2974">
        <v>2678962.6773000015</v>
      </c>
      <c r="G21" s="2974">
        <v>2805429.6653906265</v>
      </c>
      <c r="H21" s="2974">
        <v>2859398.0053940541</v>
      </c>
      <c r="I21" s="2974">
        <v>2995653.5043435441</v>
      </c>
      <c r="J21" s="2974">
        <v>3154053.8129293812</v>
      </c>
      <c r="K21" s="2974">
        <v>3271253.6267431499</v>
      </c>
      <c r="L21" s="2974">
        <v>3402103.7718128767</v>
      </c>
      <c r="M21" s="2974">
        <v>3504166.8849672638</v>
      </c>
      <c r="N21" s="2974">
        <v>3616196.6048901118</v>
      </c>
      <c r="O21" s="2974">
        <v>3717570.6482617701</v>
      </c>
      <c r="P21" s="2974">
        <v>3829097.7677096236</v>
      </c>
      <c r="Q21" s="2974">
        <v>3943970.7007409111</v>
      </c>
      <c r="R21" s="2974">
        <v>4070061.1374959107</v>
      </c>
    </row>
    <row r="22" spans="1:18" ht="14.25" hidden="1" outlineLevel="1">
      <c r="A22" s="2975"/>
      <c r="B22" s="2970"/>
      <c r="C22" s="2974"/>
      <c r="D22" s="2974"/>
      <c r="E22" s="2974"/>
      <c r="F22" s="2974"/>
      <c r="G22" s="2974"/>
      <c r="H22" s="2974"/>
      <c r="I22" s="2974"/>
      <c r="J22" s="2974"/>
      <c r="K22" s="2974"/>
      <c r="L22" s="2974"/>
      <c r="M22" s="2974"/>
      <c r="N22" s="2974"/>
      <c r="O22" s="2974"/>
      <c r="P22" s="2974"/>
      <c r="Q22" s="2974"/>
      <c r="R22" s="2974"/>
    </row>
    <row r="23" spans="1:18" ht="14.25" collapsed="1">
      <c r="A23" s="2973" t="s">
        <v>3166</v>
      </c>
      <c r="B23" s="2970"/>
      <c r="C23" s="2974">
        <v>264000</v>
      </c>
      <c r="D23" s="2974">
        <v>264000</v>
      </c>
      <c r="E23" s="2974">
        <v>264000</v>
      </c>
      <c r="F23" s="2974">
        <v>264000</v>
      </c>
      <c r="G23" s="2974">
        <v>264000</v>
      </c>
      <c r="H23" s="2974">
        <v>264000</v>
      </c>
      <c r="I23" s="2974">
        <v>264000</v>
      </c>
      <c r="J23" s="2974">
        <v>264000</v>
      </c>
      <c r="K23" s="2974">
        <v>264000</v>
      </c>
      <c r="L23" s="2974">
        <v>264000</v>
      </c>
      <c r="M23" s="2974">
        <v>264000</v>
      </c>
      <c r="N23" s="2974">
        <v>264000</v>
      </c>
      <c r="O23" s="2974">
        <v>264000</v>
      </c>
      <c r="P23" s="2974">
        <v>264000</v>
      </c>
      <c r="Q23" s="2974">
        <v>264000</v>
      </c>
      <c r="R23" s="2974">
        <v>264000</v>
      </c>
    </row>
    <row r="24" spans="1:18" ht="14.25" hidden="1" outlineLevel="1">
      <c r="A24" s="2973" t="s">
        <v>3167</v>
      </c>
      <c r="B24" s="2970"/>
      <c r="C24" s="2974">
        <v>0</v>
      </c>
      <c r="D24" s="2974">
        <v>0</v>
      </c>
      <c r="E24" s="2974">
        <v>0</v>
      </c>
      <c r="F24" s="2974">
        <v>0</v>
      </c>
      <c r="G24" s="2974">
        <v>0</v>
      </c>
      <c r="H24" s="2974">
        <v>0</v>
      </c>
      <c r="I24" s="2974">
        <v>0</v>
      </c>
      <c r="J24" s="2974">
        <v>0</v>
      </c>
      <c r="K24" s="2974">
        <v>0</v>
      </c>
      <c r="L24" s="2974">
        <v>0</v>
      </c>
      <c r="M24" s="2974">
        <v>0</v>
      </c>
      <c r="N24" s="2974">
        <v>0</v>
      </c>
      <c r="O24" s="2974">
        <v>0</v>
      </c>
      <c r="P24" s="2974">
        <v>0</v>
      </c>
      <c r="Q24" s="2974">
        <v>0</v>
      </c>
      <c r="R24" s="2974">
        <v>0</v>
      </c>
    </row>
    <row r="25" spans="1:18" ht="14.25" hidden="1" outlineLevel="1">
      <c r="A25" s="2976" t="s">
        <v>3168</v>
      </c>
      <c r="B25" s="2970"/>
      <c r="C25" s="2974">
        <v>0</v>
      </c>
      <c r="D25" s="2974">
        <v>0</v>
      </c>
      <c r="E25" s="2974">
        <v>0</v>
      </c>
      <c r="F25" s="2974">
        <v>0</v>
      </c>
      <c r="G25" s="2974">
        <v>0</v>
      </c>
      <c r="H25" s="2974">
        <v>0</v>
      </c>
      <c r="I25" s="2974">
        <v>0</v>
      </c>
      <c r="J25" s="2974">
        <v>0</v>
      </c>
      <c r="K25" s="2974">
        <v>0</v>
      </c>
      <c r="L25" s="2974">
        <v>0</v>
      </c>
      <c r="M25" s="2974">
        <v>0</v>
      </c>
      <c r="N25" s="2974">
        <v>0</v>
      </c>
      <c r="O25" s="2974">
        <v>0</v>
      </c>
      <c r="P25" s="2974">
        <v>0</v>
      </c>
      <c r="Q25" s="2974">
        <v>0</v>
      </c>
      <c r="R25" s="2974">
        <v>0</v>
      </c>
    </row>
    <row r="26" spans="1:18" ht="14.25" hidden="1" outlineLevel="1">
      <c r="A26" s="2976" t="s">
        <v>3169</v>
      </c>
      <c r="B26" s="2970"/>
      <c r="C26" s="2974">
        <v>0</v>
      </c>
      <c r="D26" s="2974">
        <v>0</v>
      </c>
      <c r="E26" s="2974">
        <v>0</v>
      </c>
      <c r="F26" s="2974">
        <v>0</v>
      </c>
      <c r="G26" s="2974">
        <v>0</v>
      </c>
      <c r="H26" s="2974">
        <v>0</v>
      </c>
      <c r="I26" s="2974">
        <v>0</v>
      </c>
      <c r="J26" s="2974">
        <v>0</v>
      </c>
      <c r="K26" s="2974">
        <v>0</v>
      </c>
      <c r="L26" s="2974">
        <v>0</v>
      </c>
      <c r="M26" s="2974">
        <v>0</v>
      </c>
      <c r="N26" s="2974">
        <v>0</v>
      </c>
      <c r="O26" s="2974">
        <v>0</v>
      </c>
      <c r="P26" s="2974">
        <v>0</v>
      </c>
      <c r="Q26" s="2974">
        <v>0</v>
      </c>
      <c r="R26" s="2974">
        <v>0</v>
      </c>
    </row>
    <row r="27" spans="1:18" ht="14.25" hidden="1" outlineLevel="1">
      <c r="A27" s="2976" t="s">
        <v>3170</v>
      </c>
      <c r="B27" s="2970"/>
      <c r="C27" s="2974">
        <v>0</v>
      </c>
      <c r="D27" s="2974">
        <v>0</v>
      </c>
      <c r="E27" s="2974">
        <v>0</v>
      </c>
      <c r="F27" s="2974">
        <v>0</v>
      </c>
      <c r="G27" s="2974">
        <v>0</v>
      </c>
      <c r="H27" s="2974">
        <v>0</v>
      </c>
      <c r="I27" s="2974">
        <v>0</v>
      </c>
      <c r="J27" s="2974">
        <v>0</v>
      </c>
      <c r="K27" s="2974">
        <v>0</v>
      </c>
      <c r="L27" s="2974">
        <v>0</v>
      </c>
      <c r="M27" s="2974">
        <v>0</v>
      </c>
      <c r="N27" s="2974">
        <v>0</v>
      </c>
      <c r="O27" s="2974">
        <v>0</v>
      </c>
      <c r="P27" s="2974">
        <v>0</v>
      </c>
      <c r="Q27" s="2974">
        <v>0</v>
      </c>
      <c r="R27" s="2974">
        <v>0</v>
      </c>
    </row>
    <row r="28" spans="1:18" ht="14.25" collapsed="1">
      <c r="A28" s="2973" t="s">
        <v>3171</v>
      </c>
      <c r="B28" s="2970"/>
      <c r="C28" s="2974">
        <v>6522909.5</v>
      </c>
      <c r="D28" s="2974">
        <v>6890409.5</v>
      </c>
      <c r="E28" s="2974">
        <v>6974320.0404251339</v>
      </c>
      <c r="F28" s="2974">
        <v>7411781.0735927764</v>
      </c>
      <c r="G28" s="2974">
        <v>7761173.2420203043</v>
      </c>
      <c r="H28" s="2974">
        <v>8141508.5961493906</v>
      </c>
      <c r="I28" s="2974">
        <v>8564005.2884964868</v>
      </c>
      <c r="J28" s="2974">
        <v>9016841.7325183563</v>
      </c>
      <c r="K28" s="2974">
        <v>9351893.7750381641</v>
      </c>
      <c r="L28" s="2974">
        <v>9725969.5260396916</v>
      </c>
      <c r="M28" s="2974">
        <v>10017748.611820884</v>
      </c>
      <c r="N28" s="2974">
        <v>10346550.33338147</v>
      </c>
      <c r="O28" s="2974">
        <v>10627829.502280775</v>
      </c>
      <c r="P28" s="2974">
        <v>10946664.3873492</v>
      </c>
      <c r="Q28" s="2974">
        <v>11275064.318969678</v>
      </c>
      <c r="R28" s="2974">
        <v>11645133.553329285</v>
      </c>
    </row>
    <row r="29" spans="1:18" ht="14.25" hidden="1" outlineLevel="1">
      <c r="A29" s="2976" t="s">
        <v>3172</v>
      </c>
      <c r="B29" s="2970"/>
      <c r="C29" s="2974">
        <v>0</v>
      </c>
      <c r="D29" s="2974">
        <v>0</v>
      </c>
      <c r="E29" s="2974">
        <v>0</v>
      </c>
      <c r="F29" s="2974">
        <v>0</v>
      </c>
      <c r="G29" s="2974">
        <v>0</v>
      </c>
      <c r="H29" s="2974">
        <v>0</v>
      </c>
      <c r="I29" s="2974">
        <v>0</v>
      </c>
      <c r="J29" s="2974">
        <v>0</v>
      </c>
      <c r="K29" s="2974">
        <v>0</v>
      </c>
      <c r="L29" s="2974">
        <v>0</v>
      </c>
      <c r="M29" s="2974">
        <v>0</v>
      </c>
      <c r="N29" s="2974">
        <v>0</v>
      </c>
      <c r="O29" s="2974">
        <v>0</v>
      </c>
      <c r="P29" s="2974">
        <v>0</v>
      </c>
      <c r="Q29" s="2974">
        <v>0</v>
      </c>
      <c r="R29" s="2974">
        <v>0</v>
      </c>
    </row>
    <row r="30" spans="1:18" ht="14.25" hidden="1" outlineLevel="1">
      <c r="A30" s="2976" t="s">
        <v>3173</v>
      </c>
      <c r="B30" s="2970"/>
      <c r="C30" s="2974">
        <v>0</v>
      </c>
      <c r="D30" s="2974">
        <v>0</v>
      </c>
      <c r="E30" s="2974">
        <v>0</v>
      </c>
      <c r="F30" s="2974">
        <v>0</v>
      </c>
      <c r="G30" s="2974">
        <v>0</v>
      </c>
      <c r="H30" s="2974">
        <v>0</v>
      </c>
      <c r="I30" s="2974">
        <v>0</v>
      </c>
      <c r="J30" s="2974">
        <v>0</v>
      </c>
      <c r="K30" s="2974">
        <v>0</v>
      </c>
      <c r="L30" s="2974">
        <v>0</v>
      </c>
      <c r="M30" s="2974">
        <v>0</v>
      </c>
      <c r="N30" s="2974">
        <v>0</v>
      </c>
      <c r="O30" s="2974">
        <v>0</v>
      </c>
      <c r="P30" s="2974">
        <v>0</v>
      </c>
      <c r="Q30" s="2974">
        <v>0</v>
      </c>
      <c r="R30" s="2974">
        <v>0</v>
      </c>
    </row>
    <row r="31" spans="1:18" ht="14.25" hidden="1" outlineLevel="1">
      <c r="A31" s="2976" t="s">
        <v>3174</v>
      </c>
      <c r="B31" s="2970"/>
      <c r="C31" s="2974">
        <v>0</v>
      </c>
      <c r="D31" s="2974">
        <v>0</v>
      </c>
      <c r="E31" s="2974">
        <v>0</v>
      </c>
      <c r="F31" s="2974">
        <v>0</v>
      </c>
      <c r="G31" s="2974">
        <v>0</v>
      </c>
      <c r="H31" s="2974">
        <v>0</v>
      </c>
      <c r="I31" s="2974">
        <v>0</v>
      </c>
      <c r="J31" s="2974">
        <v>0</v>
      </c>
      <c r="K31" s="2974">
        <v>0</v>
      </c>
      <c r="L31" s="2974">
        <v>0</v>
      </c>
      <c r="M31" s="2974">
        <v>0</v>
      </c>
      <c r="N31" s="2974">
        <v>0</v>
      </c>
      <c r="O31" s="2974">
        <v>0</v>
      </c>
      <c r="P31" s="2974">
        <v>0</v>
      </c>
      <c r="Q31" s="2974">
        <v>0</v>
      </c>
      <c r="R31" s="2974">
        <v>0</v>
      </c>
    </row>
    <row r="32" spans="1:18" ht="14.25" hidden="1" outlineLevel="1">
      <c r="A32" s="2976" t="s">
        <v>3175</v>
      </c>
      <c r="B32" s="2970"/>
      <c r="C32" s="2974">
        <v>0</v>
      </c>
      <c r="D32" s="2974">
        <v>0</v>
      </c>
      <c r="E32" s="2974">
        <v>0</v>
      </c>
      <c r="F32" s="2974">
        <v>0</v>
      </c>
      <c r="G32" s="2974">
        <v>0</v>
      </c>
      <c r="H32" s="2974">
        <v>0</v>
      </c>
      <c r="I32" s="2974">
        <v>0</v>
      </c>
      <c r="J32" s="2974">
        <v>0</v>
      </c>
      <c r="K32" s="2974">
        <v>0</v>
      </c>
      <c r="L32" s="2974">
        <v>0</v>
      </c>
      <c r="M32" s="2974">
        <v>0</v>
      </c>
      <c r="N32" s="2974">
        <v>0</v>
      </c>
      <c r="O32" s="2974">
        <v>0</v>
      </c>
      <c r="P32" s="2974">
        <v>0</v>
      </c>
      <c r="Q32" s="2974">
        <v>0</v>
      </c>
      <c r="R32" s="2974">
        <v>0</v>
      </c>
    </row>
    <row r="33" spans="1:18" ht="14.25" hidden="1" outlineLevel="1">
      <c r="A33" s="2976" t="s">
        <v>3176</v>
      </c>
      <c r="B33" s="2970"/>
      <c r="C33" s="2974">
        <v>2676430</v>
      </c>
      <c r="D33" s="2974">
        <v>3043930</v>
      </c>
      <c r="E33" s="2974">
        <v>3125646.2230113074</v>
      </c>
      <c r="F33" s="2974">
        <v>3334709.9261045954</v>
      </c>
      <c r="G33" s="2974">
        <v>3491945.0527447704</v>
      </c>
      <c r="H33" s="2974">
        <v>3658818.997410079</v>
      </c>
      <c r="I33" s="2974">
        <v>3857181.2098202109</v>
      </c>
      <c r="J33" s="2974">
        <v>4061136.2710517989</v>
      </c>
      <c r="K33" s="2974">
        <v>4212041.8811236694</v>
      </c>
      <c r="L33" s="2974">
        <v>4380523.5563686173</v>
      </c>
      <c r="M33" s="2974">
        <v>4511939.2630596757</v>
      </c>
      <c r="N33" s="2974">
        <v>4660029.7627074979</v>
      </c>
      <c r="O33" s="2974">
        <v>4786716.3641800098</v>
      </c>
      <c r="P33" s="2974">
        <v>4930317.8551054113</v>
      </c>
      <c r="Q33" s="2974">
        <v>5078227.390758574</v>
      </c>
      <c r="R33" s="2974">
        <v>5244904.5527894991</v>
      </c>
    </row>
    <row r="34" spans="1:18" ht="14.25" hidden="1" outlineLevel="1">
      <c r="A34" s="2976" t="s">
        <v>3177</v>
      </c>
      <c r="B34" s="2970"/>
      <c r="C34" s="2974">
        <v>3846479.5</v>
      </c>
      <c r="D34" s="2974">
        <v>3846479.5</v>
      </c>
      <c r="E34" s="2974">
        <v>3848673.8174138265</v>
      </c>
      <c r="F34" s="2974">
        <v>4077071.1474881815</v>
      </c>
      <c r="G34" s="2974">
        <v>4269228.1892755339</v>
      </c>
      <c r="H34" s="2974">
        <v>4482689.5987393111</v>
      </c>
      <c r="I34" s="2974">
        <v>4706824.0786762768</v>
      </c>
      <c r="J34" s="2974">
        <v>4955705.4614665573</v>
      </c>
      <c r="K34" s="2974">
        <v>5139851.8939144947</v>
      </c>
      <c r="L34" s="2974">
        <v>5345445.9696710743</v>
      </c>
      <c r="M34" s="2974">
        <v>5505809.3487612084</v>
      </c>
      <c r="N34" s="2974">
        <v>5686520.5706739733</v>
      </c>
      <c r="O34" s="2974">
        <v>5841113.1381007647</v>
      </c>
      <c r="P34" s="2974">
        <v>6016346.5322437892</v>
      </c>
      <c r="Q34" s="2974">
        <v>6196836.9282111032</v>
      </c>
      <c r="R34" s="2974">
        <v>6400229.0005397853</v>
      </c>
    </row>
    <row r="35" spans="1:18" ht="14.25" hidden="1" outlineLevel="1">
      <c r="A35" s="2976" t="s">
        <v>3178</v>
      </c>
      <c r="B35" s="2970"/>
      <c r="C35" s="2974">
        <v>0</v>
      </c>
      <c r="D35" s="2974">
        <v>0</v>
      </c>
      <c r="E35" s="2974">
        <v>0</v>
      </c>
      <c r="F35" s="2974">
        <v>0</v>
      </c>
      <c r="G35" s="2974">
        <v>0</v>
      </c>
      <c r="H35" s="2974">
        <v>0</v>
      </c>
      <c r="I35" s="2974">
        <v>0</v>
      </c>
      <c r="J35" s="2974">
        <v>0</v>
      </c>
      <c r="K35" s="2974">
        <v>0</v>
      </c>
      <c r="L35" s="2974">
        <v>0</v>
      </c>
      <c r="M35" s="2974">
        <v>0</v>
      </c>
      <c r="N35" s="2974">
        <v>0</v>
      </c>
      <c r="O35" s="2974">
        <v>0</v>
      </c>
      <c r="P35" s="2974">
        <v>0</v>
      </c>
      <c r="Q35" s="2974">
        <v>0</v>
      </c>
      <c r="R35" s="2974">
        <v>0</v>
      </c>
    </row>
    <row r="36" spans="1:18" ht="14.25" hidden="1" outlineLevel="1">
      <c r="A36" s="2976" t="s">
        <v>3179</v>
      </c>
      <c r="B36" s="2970"/>
      <c r="C36" s="2974">
        <v>0</v>
      </c>
      <c r="D36" s="2974">
        <v>0</v>
      </c>
      <c r="E36" s="2974">
        <v>0</v>
      </c>
      <c r="F36" s="2974">
        <v>0</v>
      </c>
      <c r="G36" s="2974">
        <v>0</v>
      </c>
      <c r="H36" s="2974">
        <v>0</v>
      </c>
      <c r="I36" s="2974">
        <v>0</v>
      </c>
      <c r="J36" s="2974">
        <v>0</v>
      </c>
      <c r="K36" s="2974">
        <v>0</v>
      </c>
      <c r="L36" s="2974">
        <v>0</v>
      </c>
      <c r="M36" s="2974">
        <v>0</v>
      </c>
      <c r="N36" s="2974">
        <v>0</v>
      </c>
      <c r="O36" s="2974">
        <v>0</v>
      </c>
      <c r="P36" s="2974">
        <v>0</v>
      </c>
      <c r="Q36" s="2974">
        <v>0</v>
      </c>
      <c r="R36" s="2974">
        <v>0</v>
      </c>
    </row>
    <row r="37" spans="1:18" ht="14.25" hidden="1" outlineLevel="1">
      <c r="A37" s="2976" t="s">
        <v>3180</v>
      </c>
      <c r="B37" s="2970"/>
      <c r="C37" s="2974">
        <v>0</v>
      </c>
      <c r="D37" s="2974">
        <v>0</v>
      </c>
      <c r="E37" s="2974">
        <v>0</v>
      </c>
      <c r="F37" s="2974">
        <v>0</v>
      </c>
      <c r="G37" s="2974">
        <v>0</v>
      </c>
      <c r="H37" s="2974">
        <v>0</v>
      </c>
      <c r="I37" s="2974">
        <v>0</v>
      </c>
      <c r="J37" s="2974">
        <v>0</v>
      </c>
      <c r="K37" s="2974">
        <v>0</v>
      </c>
      <c r="L37" s="2974">
        <v>0</v>
      </c>
      <c r="M37" s="2974">
        <v>0</v>
      </c>
      <c r="N37" s="2974">
        <v>0</v>
      </c>
      <c r="O37" s="2974">
        <v>0</v>
      </c>
      <c r="P37" s="2974">
        <v>0</v>
      </c>
      <c r="Q37" s="2974">
        <v>0</v>
      </c>
      <c r="R37" s="2974">
        <v>0</v>
      </c>
    </row>
    <row r="38" spans="1:18" ht="14.25" hidden="1" outlineLevel="1">
      <c r="A38" s="2976" t="s">
        <v>3181</v>
      </c>
      <c r="B38" s="2970"/>
      <c r="C38" s="2974">
        <v>0</v>
      </c>
      <c r="D38" s="2974">
        <v>0</v>
      </c>
      <c r="E38" s="2974">
        <v>0</v>
      </c>
      <c r="F38" s="2974">
        <v>0</v>
      </c>
      <c r="G38" s="2974">
        <v>0</v>
      </c>
      <c r="H38" s="2974">
        <v>0</v>
      </c>
      <c r="I38" s="2974">
        <v>0</v>
      </c>
      <c r="J38" s="2974">
        <v>0</v>
      </c>
      <c r="K38" s="2974">
        <v>0</v>
      </c>
      <c r="L38" s="2974">
        <v>0</v>
      </c>
      <c r="M38" s="2974">
        <v>0</v>
      </c>
      <c r="N38" s="2974">
        <v>0</v>
      </c>
      <c r="O38" s="2974">
        <v>0</v>
      </c>
      <c r="P38" s="2974">
        <v>0</v>
      </c>
      <c r="Q38" s="2974">
        <v>0</v>
      </c>
      <c r="R38" s="2974">
        <v>0</v>
      </c>
    </row>
    <row r="39" spans="1:18" ht="14.25" hidden="1" outlineLevel="1">
      <c r="A39" s="2976" t="s">
        <v>3182</v>
      </c>
      <c r="B39" s="2970"/>
      <c r="C39" s="2974">
        <v>0</v>
      </c>
      <c r="D39" s="2974">
        <v>0</v>
      </c>
      <c r="E39" s="2974">
        <v>0</v>
      </c>
      <c r="F39" s="2974">
        <v>0</v>
      </c>
      <c r="G39" s="2974">
        <v>0</v>
      </c>
      <c r="H39" s="2974">
        <v>0</v>
      </c>
      <c r="I39" s="2974">
        <v>0</v>
      </c>
      <c r="J39" s="2974">
        <v>0</v>
      </c>
      <c r="K39" s="2974">
        <v>0</v>
      </c>
      <c r="L39" s="2974">
        <v>0</v>
      </c>
      <c r="M39" s="2974">
        <v>0</v>
      </c>
      <c r="N39" s="2974">
        <v>0</v>
      </c>
      <c r="O39" s="2974">
        <v>0</v>
      </c>
      <c r="P39" s="2974">
        <v>0</v>
      </c>
      <c r="Q39" s="2974">
        <v>0</v>
      </c>
      <c r="R39" s="2974">
        <v>0</v>
      </c>
    </row>
    <row r="40" spans="1:18" ht="14.25" hidden="1" outlineLevel="1">
      <c r="A40" s="2976" t="s">
        <v>3183</v>
      </c>
      <c r="B40" s="2970"/>
      <c r="C40" s="2974">
        <v>0</v>
      </c>
      <c r="D40" s="2974">
        <v>0</v>
      </c>
      <c r="E40" s="2974">
        <v>0</v>
      </c>
      <c r="F40" s="2974">
        <v>0</v>
      </c>
      <c r="G40" s="2974">
        <v>0</v>
      </c>
      <c r="H40" s="2974">
        <v>0</v>
      </c>
      <c r="I40" s="2974">
        <v>0</v>
      </c>
      <c r="J40" s="2974">
        <v>0</v>
      </c>
      <c r="K40" s="2974">
        <v>0</v>
      </c>
      <c r="L40" s="2974">
        <v>0</v>
      </c>
      <c r="M40" s="2974">
        <v>0</v>
      </c>
      <c r="N40" s="2974">
        <v>0</v>
      </c>
      <c r="O40" s="2974">
        <v>0</v>
      </c>
      <c r="P40" s="2974">
        <v>0</v>
      </c>
      <c r="Q40" s="2974">
        <v>0</v>
      </c>
      <c r="R40" s="2974">
        <v>0</v>
      </c>
    </row>
    <row r="41" spans="1:18" ht="14.25" hidden="1" outlineLevel="1">
      <c r="A41" s="2975" t="s">
        <v>3184</v>
      </c>
      <c r="B41" s="2970"/>
      <c r="C41" s="2977">
        <v>0.95</v>
      </c>
      <c r="D41" s="2977">
        <v>0.95</v>
      </c>
      <c r="E41" s="2977">
        <v>0.95</v>
      </c>
      <c r="F41" s="2977">
        <v>0.95</v>
      </c>
      <c r="G41" s="2977">
        <v>0.95</v>
      </c>
      <c r="H41" s="2977">
        <v>0.95</v>
      </c>
      <c r="I41" s="2977">
        <v>0.95</v>
      </c>
      <c r="J41" s="2977">
        <v>0.95</v>
      </c>
      <c r="K41" s="2977">
        <v>0.95</v>
      </c>
      <c r="L41" s="2977">
        <v>0.95</v>
      </c>
      <c r="M41" s="2977">
        <v>0.95</v>
      </c>
      <c r="N41" s="2977">
        <v>0.95</v>
      </c>
      <c r="O41" s="2977">
        <v>0.95</v>
      </c>
      <c r="P41" s="2977">
        <v>0.95</v>
      </c>
      <c r="Q41" s="2977">
        <v>0.95</v>
      </c>
      <c r="R41" s="2977">
        <v>0.95</v>
      </c>
    </row>
    <row r="42" spans="1:18" ht="14.25" hidden="1" outlineLevel="1">
      <c r="A42" s="2978"/>
      <c r="B42" s="2970"/>
      <c r="C42" s="2974"/>
      <c r="D42" s="2974"/>
      <c r="E42" s="2974"/>
      <c r="F42" s="2974"/>
      <c r="G42" s="2974"/>
      <c r="H42" s="2974"/>
      <c r="I42" s="2974"/>
      <c r="J42" s="2974"/>
      <c r="K42" s="2974"/>
      <c r="L42" s="2974"/>
      <c r="M42" s="2974"/>
      <c r="N42" s="2974"/>
      <c r="O42" s="2974"/>
      <c r="P42" s="2974"/>
      <c r="Q42" s="2974"/>
      <c r="R42" s="2974"/>
    </row>
    <row r="43" spans="1:18" ht="14.25" hidden="1" outlineLevel="1">
      <c r="A43" s="2973" t="s">
        <v>3185</v>
      </c>
      <c r="B43" s="2970"/>
      <c r="C43" s="2974">
        <v>0</v>
      </c>
      <c r="D43" s="2974">
        <v>0</v>
      </c>
      <c r="E43" s="2974">
        <v>0</v>
      </c>
      <c r="F43" s="2974">
        <v>0</v>
      </c>
      <c r="G43" s="2974">
        <v>0</v>
      </c>
      <c r="H43" s="2974">
        <v>0</v>
      </c>
      <c r="I43" s="2974">
        <v>0</v>
      </c>
      <c r="J43" s="2974">
        <v>0</v>
      </c>
      <c r="K43" s="2974">
        <v>0</v>
      </c>
      <c r="L43" s="2974">
        <v>0</v>
      </c>
      <c r="M43" s="2974">
        <v>0</v>
      </c>
      <c r="N43" s="2974">
        <v>0</v>
      </c>
      <c r="O43" s="2974">
        <v>0</v>
      </c>
      <c r="P43" s="2974">
        <v>0</v>
      </c>
      <c r="Q43" s="2974">
        <v>0</v>
      </c>
      <c r="R43" s="2974">
        <v>0</v>
      </c>
    </row>
    <row r="44" spans="1:18" ht="14.25" hidden="1" outlineLevel="1">
      <c r="A44" s="2975" t="s">
        <v>3154</v>
      </c>
      <c r="B44" s="2970"/>
      <c r="C44" s="2974">
        <v>0</v>
      </c>
      <c r="D44" s="2974">
        <v>0</v>
      </c>
      <c r="E44" s="2974">
        <v>0</v>
      </c>
      <c r="F44" s="2974">
        <v>0</v>
      </c>
      <c r="G44" s="2974">
        <v>0</v>
      </c>
      <c r="H44" s="2974">
        <v>0</v>
      </c>
      <c r="I44" s="2974">
        <v>0</v>
      </c>
      <c r="J44" s="2974">
        <v>0</v>
      </c>
      <c r="K44" s="2974">
        <v>0</v>
      </c>
      <c r="L44" s="2974">
        <v>0</v>
      </c>
      <c r="M44" s="2974">
        <v>0</v>
      </c>
      <c r="N44" s="2974">
        <v>0</v>
      </c>
      <c r="O44" s="2974">
        <v>0</v>
      </c>
      <c r="P44" s="2974">
        <v>0</v>
      </c>
      <c r="Q44" s="2974">
        <v>0</v>
      </c>
      <c r="R44" s="2974">
        <v>0</v>
      </c>
    </row>
    <row r="45" spans="1:18" ht="14.25" hidden="1" outlineLevel="1">
      <c r="A45" s="2975" t="s">
        <v>3186</v>
      </c>
      <c r="B45" s="2970"/>
      <c r="C45" s="2974">
        <v>0</v>
      </c>
      <c r="D45" s="2974">
        <v>0</v>
      </c>
      <c r="E45" s="2974">
        <v>0</v>
      </c>
      <c r="F45" s="2974">
        <v>0</v>
      </c>
      <c r="G45" s="2974">
        <v>0</v>
      </c>
      <c r="H45" s="2974">
        <v>0</v>
      </c>
      <c r="I45" s="2974">
        <v>0</v>
      </c>
      <c r="J45" s="2974">
        <v>0</v>
      </c>
      <c r="K45" s="2974">
        <v>0</v>
      </c>
      <c r="L45" s="2974">
        <v>0</v>
      </c>
      <c r="M45" s="2974">
        <v>0</v>
      </c>
      <c r="N45" s="2974">
        <v>0</v>
      </c>
      <c r="O45" s="2974">
        <v>0</v>
      </c>
      <c r="P45" s="2974">
        <v>0</v>
      </c>
      <c r="Q45" s="2974">
        <v>0</v>
      </c>
      <c r="R45" s="2974">
        <v>0</v>
      </c>
    </row>
    <row r="46" spans="1:18" ht="14.25" hidden="1" outlineLevel="1">
      <c r="A46" s="2975" t="s">
        <v>3162</v>
      </c>
      <c r="B46" s="2970"/>
      <c r="C46" s="2974">
        <v>0</v>
      </c>
      <c r="D46" s="2974">
        <v>0</v>
      </c>
      <c r="E46" s="2974">
        <v>0</v>
      </c>
      <c r="F46" s="2974">
        <v>0</v>
      </c>
      <c r="G46" s="2974">
        <v>0</v>
      </c>
      <c r="H46" s="2974">
        <v>0</v>
      </c>
      <c r="I46" s="2974">
        <v>0</v>
      </c>
      <c r="J46" s="2974">
        <v>0</v>
      </c>
      <c r="K46" s="2974">
        <v>0</v>
      </c>
      <c r="L46" s="2974">
        <v>0</v>
      </c>
      <c r="M46" s="2974">
        <v>0</v>
      </c>
      <c r="N46" s="2974">
        <v>0</v>
      </c>
      <c r="O46" s="2974">
        <v>0</v>
      </c>
      <c r="P46" s="2974">
        <v>0</v>
      </c>
      <c r="Q46" s="2974">
        <v>0</v>
      </c>
      <c r="R46" s="2974">
        <v>0</v>
      </c>
    </row>
    <row r="47" spans="1:18" ht="14.25" hidden="1" outlineLevel="1">
      <c r="A47" s="2975" t="s">
        <v>3187</v>
      </c>
      <c r="B47" s="2970"/>
      <c r="C47" s="2974">
        <v>0</v>
      </c>
      <c r="D47" s="2974">
        <v>0</v>
      </c>
      <c r="E47" s="2974">
        <v>0</v>
      </c>
      <c r="F47" s="2974">
        <v>0</v>
      </c>
      <c r="G47" s="2974">
        <v>0</v>
      </c>
      <c r="H47" s="2974">
        <v>0</v>
      </c>
      <c r="I47" s="2974">
        <v>0</v>
      </c>
      <c r="J47" s="2974">
        <v>0</v>
      </c>
      <c r="K47" s="2974">
        <v>0</v>
      </c>
      <c r="L47" s="2974">
        <v>0</v>
      </c>
      <c r="M47" s="2974">
        <v>0</v>
      </c>
      <c r="N47" s="2974">
        <v>0</v>
      </c>
      <c r="O47" s="2974">
        <v>0</v>
      </c>
      <c r="P47" s="2974">
        <v>0</v>
      </c>
      <c r="Q47" s="2974">
        <v>0</v>
      </c>
      <c r="R47" s="2974">
        <v>0</v>
      </c>
    </row>
    <row r="48" spans="1:18" ht="14.25" hidden="1" outlineLevel="1">
      <c r="A48" s="2978"/>
      <c r="B48" s="2970"/>
      <c r="C48" s="2974"/>
      <c r="D48" s="2974"/>
      <c r="E48" s="2974"/>
      <c r="F48" s="2974"/>
      <c r="G48" s="2974"/>
      <c r="H48" s="2974"/>
      <c r="I48" s="2974"/>
      <c r="J48" s="2974"/>
      <c r="K48" s="2974"/>
      <c r="L48" s="2974"/>
      <c r="M48" s="2974"/>
      <c r="N48" s="2974"/>
      <c r="O48" s="2974"/>
      <c r="P48" s="2974"/>
      <c r="Q48" s="2974"/>
      <c r="R48" s="2974"/>
    </row>
    <row r="49" spans="1:21" ht="14.25" hidden="1" outlineLevel="1">
      <c r="A49" s="2973" t="s">
        <v>3188</v>
      </c>
      <c r="B49" s="2970"/>
      <c r="C49" s="2974">
        <v>0</v>
      </c>
      <c r="D49" s="2974">
        <v>0</v>
      </c>
      <c r="E49" s="2974">
        <v>0</v>
      </c>
      <c r="F49" s="2974">
        <v>0</v>
      </c>
      <c r="G49" s="2974">
        <v>0</v>
      </c>
      <c r="H49" s="2974">
        <v>0</v>
      </c>
      <c r="I49" s="2974">
        <v>0</v>
      </c>
      <c r="J49" s="2974">
        <v>0</v>
      </c>
      <c r="K49" s="2974">
        <v>0</v>
      </c>
      <c r="L49" s="2974">
        <v>0</v>
      </c>
      <c r="M49" s="2974">
        <v>0</v>
      </c>
      <c r="N49" s="2974">
        <v>0</v>
      </c>
      <c r="O49" s="2974">
        <v>0</v>
      </c>
      <c r="P49" s="2974">
        <v>0</v>
      </c>
      <c r="Q49" s="2974">
        <v>0</v>
      </c>
      <c r="R49" s="2974">
        <v>0</v>
      </c>
    </row>
    <row r="50" spans="1:21" ht="14.25" hidden="1" outlineLevel="1">
      <c r="A50" s="2978"/>
      <c r="B50" s="2970"/>
      <c r="C50" s="2974"/>
      <c r="D50" s="2974"/>
      <c r="E50" s="2974"/>
      <c r="F50" s="2974"/>
      <c r="G50" s="2974"/>
      <c r="H50" s="2974"/>
      <c r="I50" s="2974"/>
      <c r="J50" s="2974"/>
      <c r="K50" s="2974"/>
      <c r="L50" s="2974"/>
      <c r="M50" s="2974"/>
      <c r="N50" s="2974"/>
      <c r="O50" s="2974"/>
      <c r="P50" s="2974"/>
      <c r="Q50" s="2974"/>
      <c r="R50" s="2974"/>
    </row>
    <row r="51" spans="1:21" ht="14.25" hidden="1" outlineLevel="1">
      <c r="A51" s="2973" t="s">
        <v>3189</v>
      </c>
      <c r="B51" s="2970"/>
      <c r="C51" s="2974">
        <v>0</v>
      </c>
      <c r="D51" s="2974">
        <v>0</v>
      </c>
      <c r="E51" s="2974">
        <v>0</v>
      </c>
      <c r="F51" s="2974">
        <v>0</v>
      </c>
      <c r="G51" s="2974">
        <v>0</v>
      </c>
      <c r="H51" s="2974">
        <v>0</v>
      </c>
      <c r="I51" s="2974">
        <v>0</v>
      </c>
      <c r="J51" s="2974">
        <v>0</v>
      </c>
      <c r="K51" s="2974">
        <v>0</v>
      </c>
      <c r="L51" s="2974">
        <v>0</v>
      </c>
      <c r="M51" s="2974">
        <v>0</v>
      </c>
      <c r="N51" s="2974">
        <v>0</v>
      </c>
      <c r="O51" s="2974">
        <v>0</v>
      </c>
      <c r="P51" s="2974">
        <v>0</v>
      </c>
      <c r="Q51" s="2974">
        <v>0</v>
      </c>
      <c r="R51" s="2974">
        <v>0</v>
      </c>
    </row>
    <row r="52" spans="1:21" ht="14.25" hidden="1" outlineLevel="1">
      <c r="A52" s="2978"/>
      <c r="B52" s="2970"/>
      <c r="C52" s="2974"/>
      <c r="D52" s="2974"/>
      <c r="E52" s="2974"/>
      <c r="F52" s="2974"/>
      <c r="G52" s="2974"/>
      <c r="H52" s="2974"/>
      <c r="I52" s="2974"/>
      <c r="J52" s="2974"/>
      <c r="K52" s="2974"/>
      <c r="L52" s="2974"/>
      <c r="M52" s="2974"/>
      <c r="N52" s="2974"/>
      <c r="O52" s="2974"/>
      <c r="P52" s="2974"/>
      <c r="Q52" s="2974"/>
      <c r="R52" s="2974"/>
    </row>
    <row r="53" spans="1:21" ht="14.25" hidden="1" outlineLevel="1">
      <c r="A53" s="2973" t="s">
        <v>3190</v>
      </c>
      <c r="B53" s="2970"/>
      <c r="C53" s="2974">
        <v>0</v>
      </c>
      <c r="D53" s="2974">
        <v>0</v>
      </c>
      <c r="E53" s="2974">
        <v>0</v>
      </c>
      <c r="F53" s="2974">
        <v>0</v>
      </c>
      <c r="G53" s="2974">
        <v>0</v>
      </c>
      <c r="H53" s="2974">
        <v>0</v>
      </c>
      <c r="I53" s="2974">
        <v>0</v>
      </c>
      <c r="J53" s="2974">
        <v>0</v>
      </c>
      <c r="K53" s="2974">
        <v>0</v>
      </c>
      <c r="L53" s="2974">
        <v>0</v>
      </c>
      <c r="M53" s="2974">
        <v>0</v>
      </c>
      <c r="N53" s="2974">
        <v>0</v>
      </c>
      <c r="O53" s="2974">
        <v>0</v>
      </c>
      <c r="P53" s="2974">
        <v>0</v>
      </c>
      <c r="Q53" s="2974">
        <v>0</v>
      </c>
      <c r="R53" s="2974">
        <v>0</v>
      </c>
    </row>
    <row r="54" spans="1:21" ht="14.25" hidden="1" outlineLevel="1">
      <c r="A54" s="2976" t="s">
        <v>3191</v>
      </c>
      <c r="B54" s="2970"/>
      <c r="C54" s="2974">
        <v>0</v>
      </c>
      <c r="D54" s="2974">
        <v>0</v>
      </c>
      <c r="E54" s="2974">
        <v>0</v>
      </c>
      <c r="F54" s="2974">
        <v>0</v>
      </c>
      <c r="G54" s="2974">
        <v>0</v>
      </c>
      <c r="H54" s="2974">
        <v>0</v>
      </c>
      <c r="I54" s="2974">
        <v>0</v>
      </c>
      <c r="J54" s="2974">
        <v>0</v>
      </c>
      <c r="K54" s="2974">
        <v>0</v>
      </c>
      <c r="L54" s="2974">
        <v>0</v>
      </c>
      <c r="M54" s="2974">
        <v>0</v>
      </c>
      <c r="N54" s="2974">
        <v>0</v>
      </c>
      <c r="O54" s="2974">
        <v>0</v>
      </c>
      <c r="P54" s="2974">
        <v>0</v>
      </c>
      <c r="Q54" s="2974">
        <v>0</v>
      </c>
      <c r="R54" s="2974">
        <v>0</v>
      </c>
    </row>
    <row r="55" spans="1:21" ht="14.25" hidden="1" outlineLevel="1">
      <c r="A55" s="2976" t="s">
        <v>3192</v>
      </c>
      <c r="B55" s="2970"/>
      <c r="C55" s="2974">
        <v>0</v>
      </c>
      <c r="D55" s="2974">
        <v>0</v>
      </c>
      <c r="E55" s="2974">
        <v>0</v>
      </c>
      <c r="F55" s="2974">
        <v>0</v>
      </c>
      <c r="G55" s="2974">
        <v>0</v>
      </c>
      <c r="H55" s="2974">
        <v>0</v>
      </c>
      <c r="I55" s="2974">
        <v>0</v>
      </c>
      <c r="J55" s="2974">
        <v>0</v>
      </c>
      <c r="K55" s="2974">
        <v>0</v>
      </c>
      <c r="L55" s="2974">
        <v>0</v>
      </c>
      <c r="M55" s="2974">
        <v>0</v>
      </c>
      <c r="N55" s="2974">
        <v>0</v>
      </c>
      <c r="O55" s="2974">
        <v>0</v>
      </c>
      <c r="P55" s="2974">
        <v>0</v>
      </c>
      <c r="Q55" s="2974">
        <v>0</v>
      </c>
      <c r="R55" s="2974">
        <v>0</v>
      </c>
    </row>
    <row r="56" spans="1:21" ht="14.25" hidden="1" outlineLevel="1">
      <c r="A56" s="2976" t="s">
        <v>3193</v>
      </c>
      <c r="B56" s="2970"/>
      <c r="C56" s="2974">
        <v>0</v>
      </c>
      <c r="D56" s="2974">
        <v>0</v>
      </c>
      <c r="E56" s="2974">
        <v>0</v>
      </c>
      <c r="F56" s="2974">
        <v>0</v>
      </c>
      <c r="G56" s="2974">
        <v>0</v>
      </c>
      <c r="H56" s="2974">
        <v>0</v>
      </c>
      <c r="I56" s="2974">
        <v>0</v>
      </c>
      <c r="J56" s="2974">
        <v>0</v>
      </c>
      <c r="K56" s="2974">
        <v>0</v>
      </c>
      <c r="L56" s="2974">
        <v>0</v>
      </c>
      <c r="M56" s="2974">
        <v>0</v>
      </c>
      <c r="N56" s="2974">
        <v>0</v>
      </c>
      <c r="O56" s="2974">
        <v>0</v>
      </c>
      <c r="P56" s="2974">
        <v>0</v>
      </c>
      <c r="Q56" s="2974">
        <v>0</v>
      </c>
      <c r="R56" s="2974">
        <v>0</v>
      </c>
    </row>
    <row r="57" spans="1:21" ht="14.25" collapsed="1">
      <c r="A57" s="2973" t="s">
        <v>3194</v>
      </c>
      <c r="B57" s="2970"/>
      <c r="C57" s="2974">
        <v>750000</v>
      </c>
      <c r="D57" s="2974">
        <v>750000</v>
      </c>
      <c r="E57" s="2974">
        <v>750000</v>
      </c>
      <c r="F57" s="2974">
        <v>750000</v>
      </c>
      <c r="G57" s="2974">
        <v>750000</v>
      </c>
      <c r="H57" s="2974">
        <v>750000</v>
      </c>
      <c r="I57" s="2974">
        <v>750000</v>
      </c>
      <c r="J57" s="2974">
        <v>750000</v>
      </c>
      <c r="K57" s="2974">
        <v>750000</v>
      </c>
      <c r="L57" s="2974">
        <v>750000</v>
      </c>
      <c r="M57" s="2974">
        <v>750000</v>
      </c>
      <c r="N57" s="2974">
        <v>750000</v>
      </c>
      <c r="O57" s="2974">
        <v>750000</v>
      </c>
      <c r="P57" s="2974">
        <v>750000</v>
      </c>
      <c r="Q57" s="2974">
        <v>750000</v>
      </c>
      <c r="R57" s="2974">
        <v>750000</v>
      </c>
    </row>
    <row r="58" spans="1:21" ht="14.25">
      <c r="A58" s="2969"/>
      <c r="B58" s="2970"/>
      <c r="C58" s="2979"/>
      <c r="D58" s="2979"/>
      <c r="E58" s="2979"/>
      <c r="F58" s="2979"/>
      <c r="G58" s="2979"/>
      <c r="H58" s="2979"/>
      <c r="I58" s="2979"/>
      <c r="J58" s="2979"/>
      <c r="K58" s="2979"/>
      <c r="L58" s="2979"/>
      <c r="M58" s="2979"/>
      <c r="N58" s="2979"/>
      <c r="O58" s="2979"/>
      <c r="P58" s="2979"/>
      <c r="Q58" s="2979"/>
      <c r="R58" s="2979"/>
    </row>
    <row r="59" spans="1:21" s="2980" customFormat="1" ht="14.25">
      <c r="A59" s="2969" t="s">
        <v>3195</v>
      </c>
      <c r="B59" s="2970"/>
      <c r="C59" s="2971">
        <f>SUM(C60,C64,C70)</f>
        <v>2967213.4252211303</v>
      </c>
      <c r="D59" s="2971">
        <f t="shared" ref="D59:M59" si="3">SUM(D60,D64,D70)</f>
        <v>3333732.5354362498</v>
      </c>
      <c r="E59" s="2971">
        <f t="shared" si="3"/>
        <v>3528100.6122067934</v>
      </c>
      <c r="F59" s="2971">
        <f t="shared" si="3"/>
        <v>3758172.8610518388</v>
      </c>
      <c r="G59" s="2971">
        <f t="shared" si="3"/>
        <v>3994612.5701183197</v>
      </c>
      <c r="H59" s="2971">
        <f t="shared" si="3"/>
        <v>5702985.0521645797</v>
      </c>
      <c r="I59" s="2971">
        <f t="shared" si="3"/>
        <v>8102600.4357313802</v>
      </c>
      <c r="J59" s="2971">
        <f t="shared" si="3"/>
        <v>8468541.3984606192</v>
      </c>
      <c r="K59" s="2971">
        <f t="shared" si="3"/>
        <v>8772595.1263245344</v>
      </c>
      <c r="L59" s="2971">
        <f t="shared" si="3"/>
        <v>9112062.17072789</v>
      </c>
      <c r="M59" s="2971">
        <f t="shared" si="3"/>
        <v>9353846.4653625097</v>
      </c>
      <c r="N59" s="2971">
        <f>SUM(N60,N64,N70)</f>
        <v>9654678.5557680335</v>
      </c>
      <c r="O59" s="2971">
        <f t="shared" ref="O59:R59" si="4">SUM(O60,O64,O70)</f>
        <v>9911656.9368537329</v>
      </c>
      <c r="P59" s="2971">
        <f t="shared" si="4"/>
        <v>10200993.884776939</v>
      </c>
      <c r="Q59" s="2971">
        <f t="shared" si="4"/>
        <v>10499010.941137839</v>
      </c>
      <c r="R59" s="2971">
        <f t="shared" si="4"/>
        <v>10832903.372391351</v>
      </c>
    </row>
    <row r="60" spans="1:21" s="2980" customFormat="1" ht="14.25">
      <c r="A60" s="2973" t="s">
        <v>3196</v>
      </c>
      <c r="B60" s="2970"/>
      <c r="C60" s="2974">
        <f>SUM(C61:C63)</f>
        <v>21486.832386671038</v>
      </c>
      <c r="D60" s="2974">
        <f t="shared" ref="D60:R60" si="5">SUM(D61:D63)</f>
        <v>24168.302640832964</v>
      </c>
      <c r="E60" s="2974">
        <f t="shared" si="5"/>
        <v>25584.636577366236</v>
      </c>
      <c r="F60" s="2974">
        <f t="shared" si="5"/>
        <v>27278.422828189781</v>
      </c>
      <c r="G60" s="2974">
        <f t="shared" si="5"/>
        <v>28519.960026054487</v>
      </c>
      <c r="H60" s="2974">
        <f t="shared" si="5"/>
        <v>1572881.9005307639</v>
      </c>
      <c r="I60" s="2974">
        <f t="shared" si="5"/>
        <v>3778400.1872847266</v>
      </c>
      <c r="J60" s="2974">
        <f t="shared" si="5"/>
        <v>3974076.0667622392</v>
      </c>
      <c r="K60" s="2974">
        <f t="shared" si="5"/>
        <v>4118855.9402823877</v>
      </c>
      <c r="L60" s="2974">
        <f t="shared" si="5"/>
        <v>4280498.4108360596</v>
      </c>
      <c r="M60" s="2974">
        <f t="shared" si="5"/>
        <v>4406579.5378679233</v>
      </c>
      <c r="N60" s="2974">
        <f t="shared" si="5"/>
        <v>4547838.3967058342</v>
      </c>
      <c r="O60" s="2974">
        <f t="shared" si="5"/>
        <v>4670202.5663788486</v>
      </c>
      <c r="P60" s="2974">
        <f t="shared" si="5"/>
        <v>4807974.8180769971</v>
      </c>
      <c r="Q60" s="2974">
        <f t="shared" si="5"/>
        <v>4949880.2373260893</v>
      </c>
      <c r="R60" s="2974">
        <f t="shared" si="5"/>
        <v>5108868.3274387047</v>
      </c>
      <c r="S60" s="2981">
        <v>4547838.3967058351</v>
      </c>
      <c r="T60" s="2981">
        <v>4670202.5663788486</v>
      </c>
      <c r="U60" s="2981">
        <v>4807974.8180769971</v>
      </c>
    </row>
    <row r="61" spans="1:21" s="2980" customFormat="1" ht="14.25" outlineLevel="1">
      <c r="A61" s="2982" t="s">
        <v>3197</v>
      </c>
      <c r="B61" s="2970"/>
      <c r="C61" s="2979"/>
      <c r="D61" s="2979"/>
      <c r="E61" s="2979"/>
      <c r="F61" s="2979"/>
      <c r="G61" s="2979"/>
      <c r="H61" s="2979">
        <v>1377808.7466981709</v>
      </c>
      <c r="I61" s="2979">
        <v>3345733.8723444878</v>
      </c>
      <c r="J61" s="2979">
        <v>3519017.144629084</v>
      </c>
      <c r="K61" s="2979">
        <v>3647228.809303904</v>
      </c>
      <c r="L61" s="2979">
        <v>3790373.3619820257</v>
      </c>
      <c r="M61" s="2979">
        <v>3902026.1130709616</v>
      </c>
      <c r="N61" s="2979">
        <v>4027119.6117176558</v>
      </c>
      <c r="O61" s="2979">
        <v>4135480.850322817</v>
      </c>
      <c r="P61" s="2979">
        <v>4257486.8260619771</v>
      </c>
      <c r="Q61" s="2979">
        <v>4383152.9810733115</v>
      </c>
      <c r="R61" s="2979">
        <v>4523946.8158738883</v>
      </c>
    </row>
    <row r="62" spans="1:21" s="2980" customFormat="1" ht="14.25" outlineLevel="1">
      <c r="A62" s="2982" t="s">
        <v>3198</v>
      </c>
      <c r="B62" s="2970" t="s">
        <v>3199</v>
      </c>
      <c r="C62" s="2979"/>
      <c r="D62" s="2979"/>
      <c r="E62" s="2979"/>
      <c r="F62" s="2979"/>
      <c r="G62" s="2979"/>
      <c r="H62" s="2979">
        <f>H61*12%</f>
        <v>165337.0496037805</v>
      </c>
      <c r="I62" s="2979">
        <f>I61*12%</f>
        <v>401488.0646813385</v>
      </c>
      <c r="J62" s="2979">
        <v>422282.05735549011</v>
      </c>
      <c r="K62" s="2979">
        <v>437667.45711646846</v>
      </c>
      <c r="L62" s="2979">
        <v>454844.80343784305</v>
      </c>
      <c r="M62" s="2979">
        <v>468243.13356851542</v>
      </c>
      <c r="N62" s="2979">
        <v>483254.35340611869</v>
      </c>
      <c r="O62" s="2979">
        <v>496257.70203873806</v>
      </c>
      <c r="P62" s="2979">
        <v>510898.41912743723</v>
      </c>
      <c r="Q62" s="2979">
        <v>525978.35772879748</v>
      </c>
      <c r="R62" s="2979">
        <v>542873.61790486658</v>
      </c>
    </row>
    <row r="63" spans="1:21" s="2980" customFormat="1" ht="14.25" outlineLevel="1">
      <c r="A63" s="2982" t="s">
        <v>3200</v>
      </c>
      <c r="B63" s="2970"/>
      <c r="C63" s="2979">
        <v>21486.832386671038</v>
      </c>
      <c r="D63" s="2979">
        <v>24168.302640832964</v>
      </c>
      <c r="E63" s="2979">
        <v>25584.636577366236</v>
      </c>
      <c r="F63" s="2979">
        <v>27278.422828189781</v>
      </c>
      <c r="G63" s="2979">
        <v>28519.960026054487</v>
      </c>
      <c r="H63" s="2979">
        <v>29736.104228812561</v>
      </c>
      <c r="I63" s="2979">
        <v>31178.250258900458</v>
      </c>
      <c r="J63" s="2979">
        <v>32776.864777665251</v>
      </c>
      <c r="K63" s="2979">
        <v>33959.673862015574</v>
      </c>
      <c r="L63" s="2979">
        <v>35280.245416190228</v>
      </c>
      <c r="M63" s="2979">
        <v>36310.291228446462</v>
      </c>
      <c r="N63" s="2979">
        <v>37464.431582059988</v>
      </c>
      <c r="O63" s="2979">
        <v>38464.014017293019</v>
      </c>
      <c r="P63" s="2979">
        <v>39589.572887582341</v>
      </c>
      <c r="Q63" s="2979">
        <v>40748.898523980337</v>
      </c>
      <c r="R63" s="2979">
        <v>42047.893659948866</v>
      </c>
    </row>
    <row r="64" spans="1:21" s="2980" customFormat="1" ht="14.25">
      <c r="A64" s="2973" t="s">
        <v>3201</v>
      </c>
      <c r="B64" s="2970"/>
      <c r="C64" s="2974">
        <f>SUM(C65:C69)</f>
        <v>340384.03357500001</v>
      </c>
      <c r="D64" s="2974">
        <f t="shared" ref="D64:M64" si="6">SUM(D65:D69)</f>
        <v>384715.51330679609</v>
      </c>
      <c r="E64" s="2974">
        <f t="shared" si="6"/>
        <v>408225.55002971063</v>
      </c>
      <c r="F64" s="2974">
        <f t="shared" si="6"/>
        <v>436052.12450606469</v>
      </c>
      <c r="G64" s="2974">
        <f t="shared" si="6"/>
        <v>456424.23984900268</v>
      </c>
      <c r="H64" s="2974">
        <f t="shared" si="6"/>
        <v>476347.03909281397</v>
      </c>
      <c r="I64" s="2974">
        <f t="shared" si="6"/>
        <v>499996.63047176565</v>
      </c>
      <c r="J64" s="2974">
        <f t="shared" si="6"/>
        <v>526225.41668575222</v>
      </c>
      <c r="K64" s="2974">
        <f t="shared" si="6"/>
        <v>545632.00047516823</v>
      </c>
      <c r="L64" s="2974">
        <f t="shared" si="6"/>
        <v>567298.8804941749</v>
      </c>
      <c r="M64" s="2974">
        <f t="shared" si="6"/>
        <v>584199.04690900014</v>
      </c>
      <c r="N64" s="2974">
        <f>SUM(N65:N69)</f>
        <v>603133.65374961344</v>
      </c>
      <c r="O64" s="2974">
        <f t="shared" ref="O64:R64" si="7">SUM(O65:O69)</f>
        <v>619535.60486575821</v>
      </c>
      <c r="P64" s="2974">
        <f t="shared" si="7"/>
        <v>638002.87301173108</v>
      </c>
      <c r="Q64" s="2974">
        <f t="shared" si="7"/>
        <v>657024.15920208313</v>
      </c>
      <c r="R64" s="2974">
        <f t="shared" si="7"/>
        <v>678335.22601507942</v>
      </c>
      <c r="S64" s="2981">
        <v>603133.65374961332</v>
      </c>
      <c r="T64" s="2981">
        <v>619535.60486575821</v>
      </c>
      <c r="U64" s="2981">
        <v>638002.87301173108</v>
      </c>
    </row>
    <row r="65" spans="1:23" s="2980" customFormat="1" ht="14.25" outlineLevel="1">
      <c r="A65" s="2976" t="s">
        <v>3202</v>
      </c>
      <c r="B65" s="2970"/>
      <c r="C65" s="2979">
        <v>113461.34452500001</v>
      </c>
      <c r="D65" s="2979">
        <v>128238.5044355987</v>
      </c>
      <c r="E65" s="2979">
        <v>136075.18334323689</v>
      </c>
      <c r="F65" s="2979">
        <v>145350.70816868823</v>
      </c>
      <c r="G65" s="2979">
        <v>152141.4132830009</v>
      </c>
      <c r="H65" s="2979">
        <v>158782.34636427133</v>
      </c>
      <c r="I65" s="2979">
        <v>166665.54349058855</v>
      </c>
      <c r="J65" s="2979">
        <v>175408.47222858408</v>
      </c>
      <c r="K65" s="2979">
        <v>181877.33349172273</v>
      </c>
      <c r="L65" s="2979">
        <v>189099.62683139162</v>
      </c>
      <c r="M65" s="2979">
        <v>194733.01563633338</v>
      </c>
      <c r="N65" s="2979">
        <v>201044.55124987115</v>
      </c>
      <c r="O65" s="2979">
        <v>206511.86828858609</v>
      </c>
      <c r="P65" s="2979">
        <v>212667.62433724367</v>
      </c>
      <c r="Q65" s="2979">
        <v>219008.05306736103</v>
      </c>
      <c r="R65" s="2979">
        <v>226111.74200502646</v>
      </c>
    </row>
    <row r="66" spans="1:23" s="2980" customFormat="1" ht="14.25" outlineLevel="1">
      <c r="A66" s="2976" t="s">
        <v>3203</v>
      </c>
      <c r="B66" s="2970"/>
      <c r="C66" s="2979">
        <v>113461.34452500001</v>
      </c>
      <c r="D66" s="2979">
        <v>128238.5044355987</v>
      </c>
      <c r="E66" s="2979">
        <v>136075.18334323689</v>
      </c>
      <c r="F66" s="2979">
        <v>145350.70816868823</v>
      </c>
      <c r="G66" s="2979">
        <v>152141.4132830009</v>
      </c>
      <c r="H66" s="2979">
        <v>158782.34636427133</v>
      </c>
      <c r="I66" s="2979">
        <v>166665.54349058855</v>
      </c>
      <c r="J66" s="2979">
        <v>175408.47222858408</v>
      </c>
      <c r="K66" s="2979">
        <v>181877.33349172273</v>
      </c>
      <c r="L66" s="2979">
        <v>189099.62683139162</v>
      </c>
      <c r="M66" s="2979">
        <v>194733.01563633338</v>
      </c>
      <c r="N66" s="2979">
        <v>201044.55124987115</v>
      </c>
      <c r="O66" s="2979">
        <v>206511.86828858609</v>
      </c>
      <c r="P66" s="2979">
        <v>212667.62433724367</v>
      </c>
      <c r="Q66" s="2979">
        <v>219008.05306736103</v>
      </c>
      <c r="R66" s="2979">
        <v>226111.74200502646</v>
      </c>
    </row>
    <row r="67" spans="1:23" s="2980" customFormat="1" ht="14.25" outlineLevel="1">
      <c r="A67" s="2976" t="s">
        <v>3204</v>
      </c>
      <c r="B67" s="2970"/>
      <c r="C67" s="2979">
        <v>0</v>
      </c>
      <c r="D67" s="2979">
        <v>0</v>
      </c>
      <c r="E67" s="2979">
        <v>0</v>
      </c>
      <c r="F67" s="2979">
        <v>0</v>
      </c>
      <c r="G67" s="2979">
        <v>0</v>
      </c>
      <c r="H67" s="2979">
        <v>0</v>
      </c>
      <c r="I67" s="2979">
        <v>0</v>
      </c>
      <c r="J67" s="2979">
        <v>0</v>
      </c>
      <c r="K67" s="2979">
        <v>0</v>
      </c>
      <c r="L67" s="2979">
        <v>0</v>
      </c>
      <c r="M67" s="2979">
        <v>0</v>
      </c>
      <c r="N67" s="2979">
        <v>0</v>
      </c>
      <c r="O67" s="2979">
        <v>0</v>
      </c>
      <c r="P67" s="2979">
        <v>0</v>
      </c>
      <c r="Q67" s="2979">
        <v>0</v>
      </c>
      <c r="R67" s="2979">
        <v>0</v>
      </c>
    </row>
    <row r="68" spans="1:23" s="2980" customFormat="1" ht="14.25" outlineLevel="1">
      <c r="A68" s="2976" t="s">
        <v>3205</v>
      </c>
      <c r="B68" s="2970"/>
      <c r="C68" s="2979">
        <v>113461.34452500001</v>
      </c>
      <c r="D68" s="2979">
        <v>128238.5044355987</v>
      </c>
      <c r="E68" s="2979">
        <v>136075.18334323689</v>
      </c>
      <c r="F68" s="2979">
        <v>145350.70816868823</v>
      </c>
      <c r="G68" s="2979">
        <v>152141.4132830009</v>
      </c>
      <c r="H68" s="2979">
        <v>158782.34636427133</v>
      </c>
      <c r="I68" s="2979">
        <v>166665.54349058855</v>
      </c>
      <c r="J68" s="2979">
        <v>175408.47222858408</v>
      </c>
      <c r="K68" s="2979">
        <v>181877.33349172273</v>
      </c>
      <c r="L68" s="2979">
        <v>189099.62683139162</v>
      </c>
      <c r="M68" s="2979">
        <v>194733.01563633338</v>
      </c>
      <c r="N68" s="2979">
        <v>201044.55124987115</v>
      </c>
      <c r="O68" s="2979">
        <v>206511.86828858609</v>
      </c>
      <c r="P68" s="2979">
        <v>212667.62433724367</v>
      </c>
      <c r="Q68" s="2979">
        <v>219008.05306736103</v>
      </c>
      <c r="R68" s="2979">
        <v>226111.74200502646</v>
      </c>
    </row>
    <row r="69" spans="1:23" s="2980" customFormat="1" ht="14.25" outlineLevel="1">
      <c r="A69" s="2976" t="s">
        <v>3206</v>
      </c>
      <c r="B69" s="2970"/>
      <c r="C69" s="2979">
        <v>0</v>
      </c>
      <c r="D69" s="2979">
        <v>0</v>
      </c>
      <c r="E69" s="2979">
        <v>0</v>
      </c>
      <c r="F69" s="2979">
        <v>0</v>
      </c>
      <c r="G69" s="2979">
        <v>0</v>
      </c>
      <c r="H69" s="2979">
        <v>0</v>
      </c>
      <c r="I69" s="2979">
        <v>0</v>
      </c>
      <c r="J69" s="2979">
        <v>0</v>
      </c>
      <c r="K69" s="2979">
        <v>0</v>
      </c>
      <c r="L69" s="2979">
        <v>0</v>
      </c>
      <c r="M69" s="2979">
        <v>0</v>
      </c>
      <c r="N69" s="2979">
        <v>0</v>
      </c>
      <c r="O69" s="2979">
        <v>0</v>
      </c>
      <c r="P69" s="2979">
        <v>0</v>
      </c>
      <c r="Q69" s="2979">
        <v>0</v>
      </c>
      <c r="R69" s="2979">
        <v>0</v>
      </c>
    </row>
    <row r="70" spans="1:23" s="2980" customFormat="1" ht="14.25">
      <c r="A70" s="2973" t="s">
        <v>3207</v>
      </c>
      <c r="B70" s="2970"/>
      <c r="C70" s="2974">
        <f>SUM(C71:C74)</f>
        <v>2605342.5592594594</v>
      </c>
      <c r="D70" s="2974">
        <f t="shared" ref="D70:O70" si="8">SUM(D71:D74)</f>
        <v>2924848.7194886208</v>
      </c>
      <c r="E70" s="2974">
        <f t="shared" si="8"/>
        <v>3094290.4255997166</v>
      </c>
      <c r="F70" s="2974">
        <f t="shared" si="8"/>
        <v>3294842.3137175841</v>
      </c>
      <c r="G70" s="2974">
        <f t="shared" si="8"/>
        <v>3509668.3702432625</v>
      </c>
      <c r="H70" s="2974">
        <f t="shared" si="8"/>
        <v>3653756.1125410018</v>
      </c>
      <c r="I70" s="2974">
        <f t="shared" si="8"/>
        <v>3824203.6179748876</v>
      </c>
      <c r="J70" s="2974">
        <f t="shared" si="8"/>
        <v>3968239.9150126288</v>
      </c>
      <c r="K70" s="2974">
        <f t="shared" si="8"/>
        <v>4108107.1855669785</v>
      </c>
      <c r="L70" s="2974">
        <f t="shared" si="8"/>
        <v>4264264.8793976568</v>
      </c>
      <c r="M70" s="2974">
        <f t="shared" si="8"/>
        <v>4363067.8805855867</v>
      </c>
      <c r="N70" s="2974">
        <f t="shared" si="8"/>
        <v>4503706.5053125862</v>
      </c>
      <c r="O70" s="2974">
        <f t="shared" si="8"/>
        <v>4621918.7656091265</v>
      </c>
      <c r="P70" s="2974">
        <f>SUM(P71:P74)</f>
        <v>4755016.1936882101</v>
      </c>
      <c r="Q70" s="2974">
        <f t="shared" ref="Q70:R70" si="9">SUM(Q71:Q74)</f>
        <v>4892106.5446096659</v>
      </c>
      <c r="R70" s="2974">
        <f t="shared" si="9"/>
        <v>5045699.8189375671</v>
      </c>
      <c r="S70" s="2981">
        <v>4503706.5053125871</v>
      </c>
      <c r="T70" s="2981">
        <v>4621918.7656091265</v>
      </c>
      <c r="U70" s="2981">
        <v>4755016.1936882101</v>
      </c>
    </row>
    <row r="71" spans="1:23" s="2980" customFormat="1" ht="14.25" outlineLevel="1">
      <c r="A71" s="2976" t="s">
        <v>3208</v>
      </c>
      <c r="B71" s="2983" t="s">
        <v>3209</v>
      </c>
      <c r="C71" s="2974">
        <v>76318</v>
      </c>
      <c r="D71" s="2974">
        <v>76318</v>
      </c>
      <c r="E71" s="2974">
        <v>76318</v>
      </c>
      <c r="F71" s="2974">
        <v>76318</v>
      </c>
      <c r="G71" s="2974">
        <v>144318.00000000003</v>
      </c>
      <c r="H71" s="2974">
        <v>144818.00000000003</v>
      </c>
      <c r="I71" s="2974">
        <v>144818.00000000003</v>
      </c>
      <c r="J71" s="2974">
        <v>99818</v>
      </c>
      <c r="K71" s="2974">
        <v>99818</v>
      </c>
      <c r="L71" s="2974">
        <v>99818</v>
      </c>
      <c r="M71" s="2974">
        <v>76818</v>
      </c>
      <c r="N71" s="2974">
        <v>80990.989839697606</v>
      </c>
      <c r="O71" s="2974">
        <v>80990.989839697606</v>
      </c>
      <c r="P71" s="2974">
        <v>80990.989839697606</v>
      </c>
      <c r="Q71" s="2974">
        <v>80990.989839697606</v>
      </c>
      <c r="R71" s="2974">
        <v>80990.989839697606</v>
      </c>
    </row>
    <row r="72" spans="1:23" s="2980" customFormat="1" ht="14.25" outlineLevel="1">
      <c r="A72" s="2976" t="s">
        <v>3210</v>
      </c>
      <c r="B72" s="2984" t="s">
        <v>3211</v>
      </c>
      <c r="C72" s="2974">
        <v>86941.379799999995</v>
      </c>
      <c r="D72" s="2974">
        <v>86941.379799999995</v>
      </c>
      <c r="E72" s="2974">
        <v>86941.379799999995</v>
      </c>
      <c r="F72" s="2974">
        <v>86941.379799999995</v>
      </c>
      <c r="G72" s="2974">
        <v>86941.379799999995</v>
      </c>
      <c r="H72" s="2974">
        <v>86941.379799999995</v>
      </c>
      <c r="I72" s="2974">
        <v>86941.379799999995</v>
      </c>
      <c r="J72" s="2974">
        <v>86941.379799999995</v>
      </c>
      <c r="K72" s="2974">
        <v>86941.379799999995</v>
      </c>
      <c r="L72" s="2974">
        <v>86941.379799999995</v>
      </c>
      <c r="M72" s="2974">
        <v>86941.379799999995</v>
      </c>
      <c r="N72" s="2974">
        <v>86941.379799999995</v>
      </c>
      <c r="O72" s="2974">
        <v>86941.379799999995</v>
      </c>
      <c r="P72" s="2974">
        <v>86941.379799999995</v>
      </c>
      <c r="Q72" s="2974">
        <v>86941.379799999995</v>
      </c>
      <c r="R72" s="2974">
        <v>86941.379799999995</v>
      </c>
    </row>
    <row r="73" spans="1:23" s="2980" customFormat="1" ht="14.25" outlineLevel="1">
      <c r="A73" s="2976" t="s">
        <v>3212</v>
      </c>
      <c r="B73" s="2983">
        <v>0.12</v>
      </c>
      <c r="C73" s="2974">
        <v>2424677.7194594597</v>
      </c>
      <c r="D73" s="2974">
        <v>2744183.8796886206</v>
      </c>
      <c r="E73" s="2974">
        <v>2913625.5857997164</v>
      </c>
      <c r="F73" s="2974">
        <v>3114177.4739175839</v>
      </c>
      <c r="G73" s="2974">
        <v>3261003.5304432623</v>
      </c>
      <c r="H73" s="2974">
        <v>3404591.2727410016</v>
      </c>
      <c r="I73" s="2974">
        <v>3575038.7781748874</v>
      </c>
      <c r="J73" s="2974">
        <v>3764075.0752126286</v>
      </c>
      <c r="K73" s="2974">
        <v>3903942.3457669783</v>
      </c>
      <c r="L73" s="2974">
        <v>4060100.0395976566</v>
      </c>
      <c r="M73" s="2974">
        <v>4181903.0407855865</v>
      </c>
      <c r="N73" s="2974">
        <v>4318368.6756728888</v>
      </c>
      <c r="O73" s="2974">
        <v>4436580.9359694291</v>
      </c>
      <c r="P73" s="2974">
        <v>4569678.3640485127</v>
      </c>
      <c r="Q73" s="2974">
        <v>4706768.7149699684</v>
      </c>
      <c r="R73" s="2974">
        <v>4860361.9892978696</v>
      </c>
    </row>
    <row r="74" spans="1:23" s="2980" customFormat="1" ht="14.25" outlineLevel="1">
      <c r="A74" s="2976" t="s">
        <v>3213</v>
      </c>
      <c r="B74" s="2970">
        <v>18</v>
      </c>
      <c r="C74" s="2974">
        <v>17405.46</v>
      </c>
      <c r="D74" s="2974">
        <v>17405.46</v>
      </c>
      <c r="E74" s="2974">
        <v>17405.46</v>
      </c>
      <c r="F74" s="2974">
        <v>17405.46</v>
      </c>
      <c r="G74" s="2974">
        <v>17405.46</v>
      </c>
      <c r="H74" s="2974">
        <v>17405.46</v>
      </c>
      <c r="I74" s="2974">
        <v>17405.46</v>
      </c>
      <c r="J74" s="2974">
        <v>17405.46</v>
      </c>
      <c r="K74" s="2974">
        <v>17405.46</v>
      </c>
      <c r="L74" s="2974">
        <v>17405.46</v>
      </c>
      <c r="M74" s="2974">
        <v>17405.46</v>
      </c>
      <c r="N74" s="2974">
        <v>17405.46</v>
      </c>
      <c r="O74" s="2974">
        <v>17405.46</v>
      </c>
      <c r="P74" s="2974">
        <v>17405.46</v>
      </c>
      <c r="Q74" s="2974">
        <v>17405.46</v>
      </c>
      <c r="R74" s="2974">
        <v>17405.46</v>
      </c>
    </row>
    <row r="75" spans="1:23" ht="14.25">
      <c r="A75" s="2973"/>
      <c r="B75" s="2985"/>
      <c r="C75" s="2979"/>
      <c r="D75" s="2979"/>
      <c r="E75" s="2979"/>
      <c r="F75" s="2979"/>
      <c r="G75" s="2979"/>
      <c r="H75" s="2979"/>
      <c r="I75" s="2979"/>
      <c r="J75" s="2979"/>
      <c r="K75" s="2979"/>
      <c r="L75" s="2979"/>
      <c r="M75" s="2979"/>
      <c r="N75" s="2979"/>
      <c r="O75" s="2979"/>
      <c r="P75" s="2979"/>
      <c r="Q75" s="2979"/>
      <c r="R75" s="2979"/>
    </row>
    <row r="76" spans="1:23" ht="14.25">
      <c r="A76" s="2969" t="s">
        <v>3214</v>
      </c>
      <c r="B76" s="2985"/>
      <c r="C76" s="2986">
        <f>C6-C59</f>
        <v>20475055.479778871</v>
      </c>
      <c r="D76" s="2986">
        <f t="shared" ref="D76:R76" si="10">D6-D59</f>
        <v>23063968.35168349</v>
      </c>
      <c r="E76" s="2986">
        <f t="shared" si="10"/>
        <v>24436936.056440581</v>
      </c>
      <c r="F76" s="2986">
        <f t="shared" si="10"/>
        <v>26061968.772685807</v>
      </c>
      <c r="G76" s="2986">
        <f t="shared" si="10"/>
        <v>27183670.086481862</v>
      </c>
      <c r="H76" s="2986">
        <f t="shared" si="10"/>
        <v>26803484.220689688</v>
      </c>
      <c r="I76" s="2986">
        <f t="shared" si="10"/>
        <v>25980508.262386329</v>
      </c>
      <c r="J76" s="2986">
        <f t="shared" si="10"/>
        <v>27363153.047256194</v>
      </c>
      <c r="K76" s="2986">
        <f t="shared" si="10"/>
        <v>28352871.572020009</v>
      </c>
      <c r="L76" s="2986">
        <f t="shared" si="10"/>
        <v>29457863.195550431</v>
      </c>
      <c r="M76" s="2986">
        <f t="shared" si="10"/>
        <v>30342756.661904164</v>
      </c>
      <c r="N76" s="2986">
        <f>N6-N59</f>
        <v>31304231.694206186</v>
      </c>
      <c r="O76" s="2986">
        <f t="shared" ref="O76" si="11">O6-O59</f>
        <v>32140716.72086348</v>
      </c>
      <c r="P76" s="2986">
        <f t="shared" si="10"/>
        <v>33082530.982671794</v>
      </c>
      <c r="Q76" s="2986">
        <f t="shared" si="10"/>
        <v>34052599.672334373</v>
      </c>
      <c r="R76" s="2986">
        <f t="shared" si="10"/>
        <v>35139445.028613947</v>
      </c>
      <c r="S76" s="2972">
        <v>31304231.694206193</v>
      </c>
      <c r="T76" s="2972">
        <v>32140716.72086348</v>
      </c>
      <c r="U76" s="2972">
        <v>33082530.982671801</v>
      </c>
      <c r="V76" s="2972">
        <v>34052599.672334366</v>
      </c>
      <c r="W76" s="2972">
        <v>35139445.02861394</v>
      </c>
    </row>
    <row r="77" spans="1:23" ht="14.25">
      <c r="A77" s="2987"/>
      <c r="B77" s="2985"/>
      <c r="C77" s="2988"/>
      <c r="D77" s="2988"/>
      <c r="E77" s="2988"/>
      <c r="F77" s="2988"/>
      <c r="G77" s="2988"/>
      <c r="H77" s="2988"/>
      <c r="I77" s="2988"/>
      <c r="J77" s="2988"/>
      <c r="K77" s="2988"/>
      <c r="L77" s="2988"/>
      <c r="M77" s="2988"/>
      <c r="N77" s="2988"/>
      <c r="O77" s="2988"/>
      <c r="P77" s="2988"/>
      <c r="Q77" s="2988"/>
      <c r="R77" s="2988"/>
    </row>
    <row r="79" spans="1:23">
      <c r="A79" s="2989" t="s">
        <v>3215</v>
      </c>
      <c r="B79" s="2990">
        <v>0.06</v>
      </c>
    </row>
    <row r="80" spans="1:23">
      <c r="A80" s="2989" t="s">
        <v>3216</v>
      </c>
      <c r="B80" s="2990"/>
      <c r="D80" s="2959">
        <v>0.5</v>
      </c>
      <c r="E80" s="2959">
        <v>1</v>
      </c>
      <c r="F80" s="2959">
        <v>1</v>
      </c>
      <c r="G80" s="2959">
        <v>1</v>
      </c>
      <c r="H80" s="2959">
        <v>1</v>
      </c>
      <c r="I80" s="2959">
        <v>1</v>
      </c>
      <c r="J80" s="2959">
        <v>1</v>
      </c>
      <c r="K80" s="2959">
        <v>1</v>
      </c>
      <c r="L80" s="2959">
        <v>1</v>
      </c>
      <c r="M80" s="2959">
        <v>1</v>
      </c>
      <c r="N80" s="2959">
        <v>1</v>
      </c>
      <c r="O80" s="2959">
        <v>1</v>
      </c>
      <c r="P80" s="2959">
        <v>1</v>
      </c>
      <c r="Q80" s="2959">
        <v>1</v>
      </c>
      <c r="R80" s="2959">
        <v>1</v>
      </c>
    </row>
    <row r="81" spans="4:18">
      <c r="D81" s="2991">
        <f>D76/10000/(1+$B$79)^SUM($D$80:D80)</f>
        <v>2240.1706389845549</v>
      </c>
      <c r="E81" s="2991">
        <f>E76/10000/(1+$B$79)^SUM($D$80:E80)</f>
        <v>2239.1745765046426</v>
      </c>
      <c r="F81" s="2991">
        <f>F76/10000/(1+$B$79)^SUM($D$80:F80)</f>
        <v>2252.9033298421341</v>
      </c>
      <c r="G81" s="2991">
        <f>G76/10000/(1+$B$79)^SUM($D$80:G80)</f>
        <v>2216.8564017598333</v>
      </c>
      <c r="H81" s="2991">
        <f>H76/10000/(1+$B$79)^SUM($D$80:H80)</f>
        <v>2062.1243880341308</v>
      </c>
      <c r="I81" s="2991">
        <f>I76/10000/(1+$B$79)^SUM($D$80:I80)</f>
        <v>1885.6686641252197</v>
      </c>
      <c r="J81" s="2991">
        <f>J76/10000/(1+$B$79)^SUM($D$80:J80)</f>
        <v>1873.6049077301116</v>
      </c>
      <c r="K81" s="2991">
        <f>K76/10000/(1+$B$79)^SUM($D$80:K80)</f>
        <v>1831.4837141949563</v>
      </c>
      <c r="L81" s="2991">
        <f>L76/10000/(1+$B$79)^SUM($D$80:L80)</f>
        <v>1795.1526569127118</v>
      </c>
      <c r="M81" s="2991">
        <f>M76/10000/(1+$B$79)^SUM($D$80:M80)</f>
        <v>1744.4129986709845</v>
      </c>
      <c r="N81" s="2991">
        <f>N76/10000/(1+$B$79)^SUM($D$80:N80)</f>
        <v>1697.8192916815171</v>
      </c>
      <c r="O81" s="2991">
        <f>O76/10000/(1+$B$79)^SUM($D$80:O80)</f>
        <v>1644.5160125064106</v>
      </c>
      <c r="P81" s="2991">
        <f>P76/10000/(1+$B$79)^SUM($D$80:P80)</f>
        <v>1596.8915105567953</v>
      </c>
      <c r="Q81" s="2991">
        <f>Q76/10000/(1+$B$79)^SUM($D$80:Q80)</f>
        <v>1550.6760942813371</v>
      </c>
      <c r="R81" s="2991">
        <f>R76/10000/(1+$B$79)^SUM($D$80:R80)</f>
        <v>1509.592925453758</v>
      </c>
    </row>
  </sheetData>
  <phoneticPr fontId="146" type="noConversion"/>
  <conditionalFormatting sqref="C3:M3">
    <cfRule type="notContainsBlanks" dxfId="11" priority="12">
      <formula>LEN(TRIM(C3))&gt;0</formula>
    </cfRule>
  </conditionalFormatting>
  <conditionalFormatting sqref="C4:M4">
    <cfRule type="notContainsBlanks" dxfId="10" priority="11">
      <formula>LEN(TRIM(C4))&gt;0</formula>
    </cfRule>
  </conditionalFormatting>
  <conditionalFormatting sqref="R4">
    <cfRule type="notContainsBlanks" dxfId="9" priority="10">
      <formula>LEN(TRIM(R4))&gt;0</formula>
    </cfRule>
  </conditionalFormatting>
  <conditionalFormatting sqref="Q3">
    <cfRule type="notContainsBlanks" dxfId="8" priority="9">
      <formula>LEN(TRIM(Q3))&gt;0</formula>
    </cfRule>
  </conditionalFormatting>
  <conditionalFormatting sqref="Q4">
    <cfRule type="notContainsBlanks" dxfId="7" priority="8">
      <formula>LEN(TRIM(Q4))&gt;0</formula>
    </cfRule>
  </conditionalFormatting>
  <conditionalFormatting sqref="P3">
    <cfRule type="notContainsBlanks" dxfId="6" priority="7">
      <formula>LEN(TRIM(P3))&gt;0</formula>
    </cfRule>
  </conditionalFormatting>
  <conditionalFormatting sqref="P4">
    <cfRule type="notContainsBlanks" dxfId="5" priority="6">
      <formula>LEN(TRIM(P4))&gt;0</formula>
    </cfRule>
  </conditionalFormatting>
  <conditionalFormatting sqref="O3">
    <cfRule type="notContainsBlanks" dxfId="4" priority="5">
      <formula>LEN(TRIM(O3))&gt;0</formula>
    </cfRule>
  </conditionalFormatting>
  <conditionalFormatting sqref="O4">
    <cfRule type="notContainsBlanks" dxfId="3" priority="4">
      <formula>LEN(TRIM(O4))&gt;0</formula>
    </cfRule>
  </conditionalFormatting>
  <conditionalFormatting sqref="N3">
    <cfRule type="notContainsBlanks" dxfId="2" priority="3">
      <formula>LEN(TRIM(N3))&gt;0</formula>
    </cfRule>
  </conditionalFormatting>
  <conditionalFormatting sqref="N4">
    <cfRule type="notContainsBlanks" dxfId="1" priority="2">
      <formula>LEN(TRIM(N4))&gt;0</formula>
    </cfRule>
  </conditionalFormatting>
  <conditionalFormatting sqref="R3">
    <cfRule type="notContainsBlanks" dxfId="0" priority="1">
      <formula>LEN(TRIM(R3))&gt;0</formula>
    </cfRule>
  </conditionalFormatting>
  <pageMargins left="0.7" right="0.7" top="0.75" bottom="0.75" header="0.3" footer="0.3"/>
  <pageSetup paperSize="9" scale="67"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8.875" defaultRowHeight="14.25"/>
  <cols>
    <col min="1" max="1" width="16.625" style="1941" customWidth="1"/>
    <col min="2" max="3" width="22.375" style="1941" customWidth="1"/>
    <col min="4" max="4" width="23" style="1941" customWidth="1"/>
    <col min="5" max="16384" width="8.875" style="1941"/>
  </cols>
  <sheetData>
    <row r="1" spans="1:4" ht="18.75">
      <c r="A1" s="3090" t="s">
        <v>1663</v>
      </c>
      <c r="B1" s="3090"/>
      <c r="C1" s="3090"/>
      <c r="D1" s="3090"/>
    </row>
    <row r="2" spans="1:4" ht="18">
      <c r="A2" s="3091" t="s">
        <v>1647</v>
      </c>
      <c r="B2" s="3091"/>
      <c r="C2" s="3091"/>
      <c r="D2" s="3091"/>
    </row>
    <row r="3" spans="1:4" ht="18.75">
      <c r="A3" s="1973" t="s">
        <v>1648</v>
      </c>
      <c r="B3" s="1973" t="s">
        <v>1649</v>
      </c>
      <c r="C3" s="1973" t="s">
        <v>1650</v>
      </c>
      <c r="D3" s="1973" t="s">
        <v>1651</v>
      </c>
    </row>
    <row r="4" spans="1:4" ht="56.25" customHeight="1">
      <c r="A4" s="1974">
        <f>项目基本情况!B4</f>
        <v>0</v>
      </c>
      <c r="B4" s="1975">
        <f>项目基本情况!C4</f>
        <v>0</v>
      </c>
      <c r="C4" s="1976"/>
      <c r="D4" s="1977" t="s">
        <v>1652</v>
      </c>
    </row>
    <row r="5" spans="1:4" ht="56.25" customHeight="1">
      <c r="A5" s="1974">
        <f>项目基本情况!D4</f>
        <v>0</v>
      </c>
      <c r="B5" s="1975">
        <f>项目基本情况!E4</f>
        <v>0</v>
      </c>
      <c r="C5" s="1978"/>
      <c r="D5" s="1977" t="s">
        <v>1652</v>
      </c>
    </row>
    <row r="6" spans="1:4" ht="18">
      <c r="A6" s="3091" t="s">
        <v>1653</v>
      </c>
      <c r="B6" s="3091"/>
      <c r="C6" s="3091"/>
      <c r="D6" s="3091"/>
    </row>
    <row r="7" spans="1:4" ht="18.75">
      <c r="A7" s="1973" t="s">
        <v>1648</v>
      </c>
      <c r="B7" s="1975" t="s">
        <v>1654</v>
      </c>
      <c r="C7" s="1973" t="s">
        <v>1650</v>
      </c>
      <c r="D7" s="1973" t="s">
        <v>1651</v>
      </c>
    </row>
    <row r="8" spans="1:4" ht="56.25" customHeight="1">
      <c r="A8" s="1979" t="s">
        <v>869</v>
      </c>
      <c r="B8" s="1979" t="s">
        <v>1</v>
      </c>
      <c r="C8" s="1976"/>
      <c r="D8" s="1977" t="s">
        <v>1652</v>
      </c>
    </row>
    <row r="9" spans="1:4">
      <c r="A9" s="726"/>
      <c r="B9" s="726"/>
      <c r="C9" s="726"/>
      <c r="D9" s="726"/>
    </row>
    <row r="10" spans="1:4" ht="18.75">
      <c r="A10" s="1980" t="s">
        <v>1655</v>
      </c>
      <c r="B10" s="726"/>
      <c r="C10" s="726"/>
      <c r="D10" s="726"/>
    </row>
    <row r="11" spans="1:4" ht="30" customHeight="1">
      <c r="A11" s="3092" t="s">
        <v>1656</v>
      </c>
      <c r="B11" s="3084"/>
      <c r="C11" s="3084"/>
      <c r="D11" s="3084"/>
    </row>
    <row r="12" spans="1:4" ht="15.75">
      <c r="A12" s="30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9"/>
      <c r="C12" s="3089"/>
      <c r="D12" s="3089"/>
    </row>
    <row r="13" spans="1:4" ht="30" customHeight="1">
      <c r="A13" s="30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9"/>
      <c r="C13" s="3089"/>
      <c r="D13" s="3089"/>
    </row>
    <row r="14" spans="1:4" ht="15.75" customHeight="1">
      <c r="A14" s="3084" t="str">
        <f>IF(项目基本情况!B8="抵押","4.本次评估估价师所知悉的法定优先受偿款情况说明如下：","——")</f>
        <v>4.本次评估估价师所知悉的法定优先受偿款情况说明如下：</v>
      </c>
      <c r="B14" s="3089"/>
      <c r="C14" s="3089"/>
      <c r="D14" s="3089"/>
    </row>
    <row r="15" spans="1:4" ht="42" customHeight="1">
      <c r="A15" s="3084" t="str">
        <f>IF(项目基本情况!B8="抵押","（1）"&amp;CONCATENATE(项目基本情况!L20,项目基本情况!L21,项目基本情况!L22),"——")</f>
        <v>（1）根据估价对象《不动产权证书》复印件、，截至价值时点，估价对象抵押权未见登记。</v>
      </c>
      <c r="B15" s="3084"/>
      <c r="C15" s="3084"/>
      <c r="D15" s="3084"/>
    </row>
    <row r="16" spans="1:4" ht="30" customHeight="1">
      <c r="A16" s="3086" t="s">
        <v>1657</v>
      </c>
      <c r="B16" s="3086"/>
      <c r="C16" s="3086"/>
      <c r="D16" s="3086"/>
    </row>
    <row r="17" spans="1:4" ht="144" customHeight="1">
      <c r="A17" s="3086" t="s">
        <v>1658</v>
      </c>
      <c r="B17" s="3086"/>
      <c r="C17" s="3086"/>
      <c r="D17" s="3086"/>
    </row>
    <row r="18" spans="1:4" ht="15.75" customHeight="1">
      <c r="A18" s="3084" t="str">
        <f>IF(项目基本情况!B8="抵押",结果表!K120,"——")</f>
        <v>故，本次评估不存在估价师知悉的法定优先受偿款</v>
      </c>
      <c r="B18" s="3084"/>
      <c r="C18" s="3084"/>
      <c r="D18" s="3084"/>
    </row>
    <row r="19" spans="1:4" ht="46.5" customHeight="1">
      <c r="A19" s="30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4"/>
      <c r="C19" s="3084"/>
      <c r="D19" s="3084"/>
    </row>
    <row r="20" spans="1:4" ht="57.75" customHeight="1">
      <c r="A20" s="30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4"/>
      <c r="C20" s="3084"/>
      <c r="D20" s="3084"/>
    </row>
    <row r="21" spans="1:4" ht="57.75" customHeight="1">
      <c r="A21" s="30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7"/>
      <c r="C21" s="3087"/>
      <c r="D21" s="3087"/>
    </row>
    <row r="22" spans="1:4" ht="18.75" customHeight="1">
      <c r="A22" s="3088" t="s">
        <v>1659</v>
      </c>
      <c r="B22" s="3088"/>
      <c r="C22" s="3088"/>
      <c r="D22" s="3088"/>
    </row>
    <row r="23" spans="1:4">
      <c r="A23" s="1981"/>
      <c r="B23" s="1953"/>
      <c r="C23" s="1953"/>
      <c r="D23" s="1953"/>
    </row>
    <row r="24" spans="1:4">
      <c r="A24" s="1981"/>
      <c r="B24" s="1953"/>
      <c r="C24" s="1953"/>
      <c r="D24" s="1953"/>
    </row>
    <row r="25" spans="1:4" ht="18.75">
      <c r="A25" s="1982" t="s">
        <v>1660</v>
      </c>
    </row>
    <row r="26" spans="1:4" ht="18">
      <c r="A26" s="1951"/>
    </row>
    <row r="27" spans="1:4" ht="18.75">
      <c r="A27" s="1951" t="s">
        <v>1661</v>
      </c>
    </row>
    <row r="30" spans="1:4" ht="18.75">
      <c r="D30" s="1982" t="s">
        <v>1662</v>
      </c>
    </row>
    <row r="31" spans="1:4" ht="13.5" customHeight="1">
      <c r="C31" s="3085">
        <v>42551</v>
      </c>
      <c r="D31" s="30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7"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8.875" defaultRowHeight="13.5"/>
  <cols>
    <col min="1" max="2" width="13.125" style="1939" customWidth="1"/>
    <col min="3" max="10" width="12.5" style="1939" customWidth="1"/>
    <col min="11" max="16384" width="8.875"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9" customWidth="1"/>
    <col min="2" max="16384" width="14.5" style="1971"/>
  </cols>
  <sheetData>
    <row r="1" spans="1:7" s="1986" customFormat="1" ht="18.75">
      <c r="A1" s="1985" t="s">
        <v>1664</v>
      </c>
    </row>
    <row r="3" spans="1:7">
      <c r="A3" s="1987" t="s">
        <v>82</v>
      </c>
      <c r="B3" s="1971" t="s">
        <v>1665</v>
      </c>
      <c r="G3" s="1988"/>
    </row>
    <row r="4" spans="1:7">
      <c r="G4" s="1988"/>
    </row>
    <row r="5" spans="1:7">
      <c r="A5" s="1990" t="s">
        <v>73</v>
      </c>
      <c r="B5" s="1971" t="s">
        <v>1666</v>
      </c>
      <c r="G5" s="1988"/>
    </row>
    <row r="6" spans="1:7">
      <c r="G6" s="1988"/>
    </row>
    <row r="7" spans="1:7">
      <c r="A7" s="1991" t="s">
        <v>135</v>
      </c>
      <c r="B7" s="1971" t="s">
        <v>1667</v>
      </c>
      <c r="G7" s="1988"/>
    </row>
    <row r="8" spans="1:7">
      <c r="G8" s="1988"/>
    </row>
    <row r="9" spans="1:7">
      <c r="A9" s="1992" t="s">
        <v>74</v>
      </c>
      <c r="B9" s="1971" t="s">
        <v>1668</v>
      </c>
    </row>
    <row r="11" spans="1:7">
      <c r="A11" s="1993" t="s">
        <v>75</v>
      </c>
      <c r="B11" s="1994" t="s">
        <v>72</v>
      </c>
    </row>
    <row r="13" spans="1:7">
      <c r="A13" s="1995" t="s">
        <v>1669</v>
      </c>
    </row>
    <row r="15" spans="1:7" ht="13.5">
      <c r="A15" s="3098" t="s">
        <v>1670</v>
      </c>
      <c r="B15" s="3093" t="s">
        <v>136</v>
      </c>
      <c r="C15" s="3094"/>
    </row>
    <row r="16" spans="1:7" ht="13.5">
      <c r="A16" s="3099"/>
      <c r="B16" s="3093" t="s">
        <v>69</v>
      </c>
      <c r="C16" s="3094"/>
    </row>
    <row r="17" spans="1:3" ht="13.5">
      <c r="A17" s="3099"/>
      <c r="B17" s="3096" t="s">
        <v>1671</v>
      </c>
      <c r="C17" s="1996" t="s">
        <v>1670</v>
      </c>
    </row>
    <row r="18" spans="1:3" ht="13.5">
      <c r="A18" s="3099"/>
      <c r="B18" s="3096"/>
      <c r="C18" s="1996" t="s">
        <v>1672</v>
      </c>
    </row>
    <row r="19" spans="1:3" ht="13.5">
      <c r="A19" s="3099"/>
      <c r="B19" s="3096"/>
      <c r="C19" s="1996" t="s">
        <v>1673</v>
      </c>
    </row>
    <row r="20" spans="1:3" ht="13.5">
      <c r="A20" s="3100"/>
      <c r="B20" s="3095" t="s">
        <v>1674</v>
      </c>
      <c r="C20" s="3094"/>
    </row>
    <row r="21" spans="1:3" ht="13.5">
      <c r="A21" s="1997" t="s">
        <v>1675</v>
      </c>
      <c r="B21" s="1998"/>
      <c r="C21" s="1999"/>
    </row>
    <row r="22" spans="1:3" ht="13.5">
      <c r="A22" s="3097" t="s">
        <v>1676</v>
      </c>
      <c r="B22" s="3095" t="s">
        <v>1677</v>
      </c>
      <c r="C22" s="3094"/>
    </row>
    <row r="23" spans="1:3" ht="13.5">
      <c r="A23" s="3097"/>
      <c r="B23" s="3095" t="s">
        <v>1678</v>
      </c>
      <c r="C23" s="3094"/>
    </row>
    <row r="24" spans="1:3" ht="13.5">
      <c r="A24" s="3097"/>
      <c r="B24" s="3095" t="s">
        <v>1679</v>
      </c>
      <c r="C24" s="3094"/>
    </row>
    <row r="25" spans="1:3" ht="13.5">
      <c r="A25" s="3097"/>
      <c r="B25" s="3096" t="s">
        <v>1680</v>
      </c>
      <c r="C25" s="1996" t="s">
        <v>1681</v>
      </c>
    </row>
    <row r="26" spans="1:3" ht="13.5">
      <c r="A26" s="3097"/>
      <c r="B26" s="3096"/>
      <c r="C26" s="1996" t="s">
        <v>1682</v>
      </c>
    </row>
    <row r="27" spans="1:3" ht="13.5">
      <c r="A27" s="3097"/>
      <c r="B27" s="3096"/>
      <c r="C27" s="1996" t="s">
        <v>1683</v>
      </c>
    </row>
    <row r="28" spans="1:3" ht="13.5">
      <c r="A28" s="3097"/>
      <c r="B28" s="3096"/>
      <c r="C28" s="1996" t="s">
        <v>1684</v>
      </c>
    </row>
    <row r="29" spans="1:3" ht="13.5">
      <c r="A29" s="3097"/>
      <c r="B29" s="3096"/>
      <c r="C29" s="1996" t="s">
        <v>1685</v>
      </c>
    </row>
    <row r="30" spans="1:3" ht="13.5">
      <c r="A30" s="3097"/>
      <c r="B30" s="3096"/>
      <c r="C30" s="1996" t="s">
        <v>1686</v>
      </c>
    </row>
    <row r="31" spans="1:3" ht="13.5">
      <c r="A31" s="3097"/>
      <c r="B31" s="3096"/>
      <c r="C31" s="1996" t="s">
        <v>1687</v>
      </c>
    </row>
    <row r="32" spans="1:3" ht="13.5">
      <c r="A32" s="3097"/>
      <c r="B32" s="3096"/>
      <c r="C32" s="1996" t="s">
        <v>1688</v>
      </c>
    </row>
    <row r="33" spans="1:3" ht="13.5">
      <c r="A33" s="3097"/>
      <c r="B33" s="3096"/>
      <c r="C33" s="1996" t="s">
        <v>1689</v>
      </c>
    </row>
    <row r="34" spans="1:3">
      <c r="A34" s="2000" t="s">
        <v>76</v>
      </c>
    </row>
    <row r="37" spans="1:3">
      <c r="A37" s="2000" t="s">
        <v>1690</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80" zoomScaleSheetLayoutView="80" workbookViewId="0">
      <selection activeCell="B49" sqref="B4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43242</v>
      </c>
      <c r="C2" s="1015" t="s">
        <v>826</v>
      </c>
      <c r="D2" s="1015"/>
    </row>
    <row r="3" spans="1:6" ht="24" customHeight="1">
      <c r="A3" s="1016" t="s">
        <v>827</v>
      </c>
      <c r="B3" s="1017" t="s">
        <v>828</v>
      </c>
      <c r="C3" s="2340" t="s">
        <v>829</v>
      </c>
      <c r="D3" s="2343" t="s">
        <v>830</v>
      </c>
      <c r="E3" s="1018" t="s">
        <v>831</v>
      </c>
      <c r="F3" s="1017" t="s">
        <v>829</v>
      </c>
    </row>
    <row r="4" spans="1:6" ht="24" customHeight="1">
      <c r="A4" s="1698" t="s">
        <v>832</v>
      </c>
      <c r="B4" s="1018">
        <f ca="1">IF(C4&lt;B2,"已过期",1119970066)</f>
        <v>1119970066</v>
      </c>
      <c r="C4" s="2341">
        <v>43849</v>
      </c>
      <c r="D4" s="2344" t="s">
        <v>832</v>
      </c>
      <c r="E4" s="1018">
        <f ca="1">IF(F4&lt;B2,"已过期",96010014)</f>
        <v>96010014</v>
      </c>
      <c r="F4" s="1026">
        <v>47118</v>
      </c>
    </row>
    <row r="5" spans="1:6" ht="24" customHeight="1">
      <c r="A5" s="1698" t="s">
        <v>833</v>
      </c>
      <c r="B5" s="1018">
        <f ca="1">IF(C5&lt;B2,"已过期",1119970074)</f>
        <v>1119970074</v>
      </c>
      <c r="C5" s="2341">
        <v>43849</v>
      </c>
      <c r="D5" s="2344" t="s">
        <v>833</v>
      </c>
      <c r="E5" s="1018">
        <f ca="1">IF(F5&lt;B2,"已过期",2002110027)</f>
        <v>2002110027</v>
      </c>
      <c r="F5" s="1026">
        <v>46752</v>
      </c>
    </row>
    <row r="6" spans="1:6" ht="24" customHeight="1">
      <c r="A6" s="1698" t="s">
        <v>834</v>
      </c>
      <c r="B6" s="1018">
        <f ca="1">IF(C6&lt;B2,"已过期",1119970111)</f>
        <v>1119970111</v>
      </c>
      <c r="C6" s="2341">
        <v>43849</v>
      </c>
      <c r="D6" s="2344" t="s">
        <v>834</v>
      </c>
      <c r="E6" s="1018">
        <f ca="1">IF(F6&lt;B2,"已过期",94010078)</f>
        <v>94010078</v>
      </c>
      <c r="F6" s="1026">
        <v>46387</v>
      </c>
    </row>
    <row r="7" spans="1:6" ht="24" customHeight="1">
      <c r="A7" s="1698" t="s">
        <v>835</v>
      </c>
      <c r="B7" s="1018">
        <f ca="1">IF(C7&lt;B2,"已过期",1120050019)</f>
        <v>1120050019</v>
      </c>
      <c r="C7" s="2341">
        <v>43359</v>
      </c>
      <c r="D7" s="2344" t="s">
        <v>835</v>
      </c>
      <c r="E7" s="1018">
        <f ca="1">IF(F7&lt;B2,"已过期",2002110030)</f>
        <v>2002110030</v>
      </c>
      <c r="F7" s="1026">
        <v>46387</v>
      </c>
    </row>
    <row r="8" spans="1:6" ht="24" customHeight="1">
      <c r="A8" s="1698" t="s">
        <v>836</v>
      </c>
      <c r="B8" s="1018">
        <f ca="1">IF(C8&lt;B2,"已过期",1120000080)</f>
        <v>1120000080</v>
      </c>
      <c r="C8" s="2341">
        <v>43849</v>
      </c>
      <c r="D8" s="2344" t="s">
        <v>836</v>
      </c>
      <c r="E8" s="1018">
        <f ca="1">IF(F8&lt;B2,"已过期",2000110082)</f>
        <v>2000110082</v>
      </c>
      <c r="F8" s="1026">
        <v>46387</v>
      </c>
    </row>
    <row r="9" spans="1:6" ht="24" customHeight="1">
      <c r="A9" s="1698" t="s">
        <v>837</v>
      </c>
      <c r="B9" s="1018">
        <f ca="1">IF(C9&lt;B2,"已过期",1419970001)</f>
        <v>1419970001</v>
      </c>
      <c r="C9" s="2341">
        <v>43867</v>
      </c>
      <c r="D9" s="2344" t="s">
        <v>837</v>
      </c>
      <c r="E9" s="1018">
        <f ca="1">IF(F9&lt;B2,"已过期",2002110125)</f>
        <v>2002110125</v>
      </c>
      <c r="F9" s="1026">
        <v>47118</v>
      </c>
    </row>
    <row r="10" spans="1:6" ht="24" customHeight="1">
      <c r="A10" s="1698" t="s">
        <v>838</v>
      </c>
      <c r="B10" s="1018">
        <f ca="1">IF(C10&lt;B2,"已过期",1120060040)</f>
        <v>1120060040</v>
      </c>
      <c r="C10" s="2341">
        <v>43483</v>
      </c>
      <c r="D10" s="2344" t="s">
        <v>838</v>
      </c>
      <c r="E10" s="1018">
        <f ca="1">IF(F10&lt;B2,"已过期",2004110096)</f>
        <v>2004110096</v>
      </c>
      <c r="F10" s="1026">
        <v>47118</v>
      </c>
    </row>
    <row r="11" spans="1:6" ht="24" customHeight="1">
      <c r="A11" s="1698" t="s">
        <v>839</v>
      </c>
      <c r="B11" s="1018">
        <f ca="1">IF(C11&lt;B2,"已过期",1120100036)</f>
        <v>1120100036</v>
      </c>
      <c r="C11" s="2341">
        <v>43622</v>
      </c>
      <c r="D11" s="2344" t="s">
        <v>839</v>
      </c>
      <c r="E11" s="1018">
        <f ca="1">IF(F11&lt;B2,"已过期",2010110070)</f>
        <v>2010110070</v>
      </c>
      <c r="F11" s="1026">
        <v>47907</v>
      </c>
    </row>
    <row r="12" spans="1:6" ht="24" customHeight="1">
      <c r="A12" s="1698"/>
      <c r="B12" s="1018"/>
      <c r="C12" s="2341"/>
      <c r="D12" s="2344"/>
      <c r="E12" s="1018"/>
      <c r="F12" s="1018"/>
    </row>
    <row r="13" spans="1:6" ht="24" customHeight="1">
      <c r="A13" s="1698" t="s">
        <v>840</v>
      </c>
      <c r="B13" s="1018">
        <f ca="1">IF(C13&lt;B2,"已过期",1120070131)</f>
        <v>1120070131</v>
      </c>
      <c r="C13" s="2341">
        <v>43814</v>
      </c>
      <c r="D13" s="2344" t="s">
        <v>840</v>
      </c>
      <c r="E13" s="1018">
        <v>2014110011</v>
      </c>
      <c r="F13" s="1026">
        <v>49302</v>
      </c>
    </row>
    <row r="14" spans="1:6" ht="24" customHeight="1">
      <c r="A14" s="1698" t="s">
        <v>841</v>
      </c>
      <c r="B14" s="1018">
        <f ca="1">IF(C14&lt;B2,"已过期",1120130020)</f>
        <v>1120130020</v>
      </c>
      <c r="C14" s="2341">
        <v>43622</v>
      </c>
      <c r="D14" s="2344"/>
      <c r="E14" s="1018"/>
      <c r="F14" s="1018"/>
    </row>
    <row r="15" spans="1:6" ht="24" customHeight="1">
      <c r="A15" s="1699" t="s">
        <v>1149</v>
      </c>
      <c r="B15" s="1018">
        <v>1120070085</v>
      </c>
      <c r="C15" s="2341">
        <v>43814</v>
      </c>
      <c r="D15" s="2345" t="s">
        <v>1149</v>
      </c>
      <c r="E15" s="1018">
        <v>2004110128</v>
      </c>
      <c r="F15" s="1019">
        <v>47118</v>
      </c>
    </row>
    <row r="16" spans="1:6" ht="24" customHeight="1">
      <c r="A16" s="1698" t="s">
        <v>842</v>
      </c>
      <c r="B16" s="1018">
        <f ca="1">IF(C16&lt;B2,"已过期",1120140022)</f>
        <v>1120140022</v>
      </c>
      <c r="C16" s="2341">
        <v>44029</v>
      </c>
      <c r="D16" s="2344" t="s">
        <v>842</v>
      </c>
      <c r="E16" s="1018">
        <f ca="1">IF(F16&lt;B2,"已过期",2008110059)</f>
        <v>2008110059</v>
      </c>
      <c r="F16" s="1026">
        <v>47177</v>
      </c>
    </row>
    <row r="17" spans="1:7" ht="24" customHeight="1">
      <c r="A17" s="1698"/>
      <c r="B17" s="1018"/>
      <c r="C17" s="2341"/>
      <c r="D17" s="2344"/>
      <c r="E17" s="1018"/>
      <c r="F17" s="1026"/>
    </row>
    <row r="18" spans="1:7" ht="24" customHeight="1">
      <c r="A18" s="1698"/>
      <c r="B18" s="1018"/>
      <c r="C18" s="2341"/>
      <c r="D18" s="2344"/>
      <c r="E18" s="1018"/>
      <c r="F18" s="1026"/>
    </row>
    <row r="19" spans="1:7" ht="24" customHeight="1">
      <c r="A19" s="1698"/>
      <c r="B19" s="1018"/>
      <c r="C19" s="2341"/>
      <c r="D19" s="2344"/>
      <c r="E19" s="1018"/>
      <c r="F19" s="1018"/>
    </row>
    <row r="20" spans="1:7" ht="24" customHeight="1">
      <c r="A20" s="1698"/>
      <c r="B20" s="1018"/>
      <c r="C20" s="2341"/>
      <c r="D20" s="2344"/>
      <c r="E20" s="1018"/>
      <c r="F20" s="1018"/>
    </row>
    <row r="21" spans="1:7" ht="24" customHeight="1">
      <c r="A21" s="1698"/>
      <c r="B21" s="1018"/>
      <c r="C21" s="2341"/>
      <c r="D21" s="2344" t="s">
        <v>843</v>
      </c>
      <c r="E21" s="1018">
        <f ca="1">IF(F21&lt;B2,"已过期",2011110090)</f>
        <v>2011110090</v>
      </c>
      <c r="F21" s="1026">
        <v>48302</v>
      </c>
    </row>
    <row r="22" spans="1:7" ht="24" customHeight="1">
      <c r="A22" s="1698" t="s">
        <v>844</v>
      </c>
      <c r="B22" s="1018">
        <f ca="1">IF(C22&lt;B2,"已过期",1120020033)</f>
        <v>1120020033</v>
      </c>
      <c r="C22" s="2341">
        <v>43304</v>
      </c>
      <c r="D22" s="2344" t="s">
        <v>844</v>
      </c>
      <c r="E22" s="1018">
        <f ca="1">IF(F22&lt;B2,"已过期",2000110137)</f>
        <v>2000110137</v>
      </c>
      <c r="F22" s="1026">
        <v>46387</v>
      </c>
    </row>
    <row r="23" spans="1:7" ht="24" customHeight="1">
      <c r="A23" s="1698" t="s">
        <v>845</v>
      </c>
      <c r="B23" s="1018">
        <f ca="1">IF(C23&lt;B2,"已过期",1120130048)</f>
        <v>1120130048</v>
      </c>
      <c r="C23" s="2341">
        <v>43686</v>
      </c>
      <c r="D23" s="2344"/>
      <c r="E23" s="1018"/>
      <c r="F23" s="1018"/>
    </row>
    <row r="24" spans="1:7" s="1020" customFormat="1" ht="24" customHeight="1">
      <c r="A24" s="1699" t="s">
        <v>1333</v>
      </c>
      <c r="B24" s="1699" t="s">
        <v>1333</v>
      </c>
      <c r="C24" s="2342" t="s">
        <v>1333</v>
      </c>
      <c r="D24" s="2345" t="s">
        <v>1333</v>
      </c>
      <c r="E24" s="1699" t="s">
        <v>1333</v>
      </c>
      <c r="F24" s="1699" t="s">
        <v>1333</v>
      </c>
    </row>
    <row r="25" spans="1:7" ht="24" customHeight="1">
      <c r="A25" s="3101" t="s">
        <v>846</v>
      </c>
      <c r="B25" s="3101"/>
      <c r="C25" s="3101"/>
      <c r="D25" s="3101"/>
      <c r="E25" s="3101"/>
      <c r="F25" s="3101"/>
      <c r="G25" s="3101"/>
    </row>
    <row r="26" spans="1:7" s="1021" customFormat="1" ht="24" customHeight="1">
      <c r="A26" s="3102" t="s">
        <v>847</v>
      </c>
      <c r="B26" s="3102"/>
      <c r="C26" s="3103"/>
      <c r="D26" s="3104" t="s">
        <v>848</v>
      </c>
      <c r="E26" s="3102"/>
      <c r="F26" s="3102"/>
    </row>
    <row r="27" spans="1:7" s="1023" customFormat="1" ht="24" customHeight="1">
      <c r="A27" s="1022" t="s">
        <v>849</v>
      </c>
      <c r="B27" s="1017" t="s">
        <v>850</v>
      </c>
      <c r="C27" s="2340" t="s">
        <v>851</v>
      </c>
      <c r="D27" s="2348" t="s">
        <v>849</v>
      </c>
      <c r="E27" s="1017" t="s">
        <v>850</v>
      </c>
      <c r="F27" s="1017" t="s">
        <v>851</v>
      </c>
    </row>
    <row r="28" spans="1:7" s="1023" customFormat="1" ht="24" customHeight="1">
      <c r="A28" s="1024" t="s">
        <v>852</v>
      </c>
      <c r="B28" s="1025" t="s">
        <v>853</v>
      </c>
      <c r="C28" s="2346">
        <v>43725</v>
      </c>
      <c r="D28" s="2349" t="s">
        <v>854</v>
      </c>
      <c r="E28" s="1024" t="s">
        <v>855</v>
      </c>
      <c r="F28" s="1054">
        <v>44377</v>
      </c>
    </row>
    <row r="29" spans="1:7" s="1023" customFormat="1" ht="24" customHeight="1">
      <c r="A29" s="1024"/>
      <c r="B29" s="1024"/>
      <c r="C29" s="2347"/>
      <c r="D29" s="2349"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9" type="noConversion"/>
  <conditionalFormatting sqref="C28">
    <cfRule type="expression" dxfId="233" priority="55">
      <formula>AND($C28-TODAY()&lt;30,TODAY()&lt;$C28)</formula>
    </cfRule>
  </conditionalFormatting>
  <conditionalFormatting sqref="C28 F4">
    <cfRule type="cellIs" dxfId="232" priority="57" stopIfTrue="1" operator="lessThan">
      <formula>$B$2</formula>
    </cfRule>
  </conditionalFormatting>
  <conditionalFormatting sqref="C5">
    <cfRule type="expression" dxfId="231" priority="52">
      <formula>AND($C5-TODAY()&lt;30,TODAY()&lt;$C5)</formula>
    </cfRule>
  </conditionalFormatting>
  <conditionalFormatting sqref="C5 F5">
    <cfRule type="cellIs" dxfId="230" priority="53" stopIfTrue="1" operator="lessThan">
      <formula>$B$2</formula>
    </cfRule>
  </conditionalFormatting>
  <conditionalFormatting sqref="F6 F8 F10">
    <cfRule type="cellIs" dxfId="229" priority="51" stopIfTrue="1" operator="lessThan">
      <formula>$B$2</formula>
    </cfRule>
  </conditionalFormatting>
  <conditionalFormatting sqref="C4:C23">
    <cfRule type="expression" dxfId="228" priority="49">
      <formula>AND($C4-TODAY()&lt;30,TODAY()&lt;$C4)</formula>
    </cfRule>
  </conditionalFormatting>
  <conditionalFormatting sqref="F7 F9 F11 C4:C23">
    <cfRule type="cellIs" dxfId="227" priority="50" stopIfTrue="1" operator="lessThan">
      <formula>$B$2</formula>
    </cfRule>
  </conditionalFormatting>
  <conditionalFormatting sqref="C12">
    <cfRule type="expression" dxfId="226" priority="47">
      <formula>AND($C12-TODAY()&lt;30,TODAY()&lt;$C12)</formula>
    </cfRule>
  </conditionalFormatting>
  <conditionalFormatting sqref="C12">
    <cfRule type="cellIs" dxfId="225" priority="48" stopIfTrue="1" operator="lessThan">
      <formula>$B$2</formula>
    </cfRule>
  </conditionalFormatting>
  <conditionalFormatting sqref="C14">
    <cfRule type="expression" dxfId="224" priority="43">
      <formula>AND($C14-TODAY()&lt;30,TODAY()&lt;$C14)</formula>
    </cfRule>
  </conditionalFormatting>
  <conditionalFormatting sqref="C14">
    <cfRule type="cellIs" dxfId="223" priority="44" stopIfTrue="1" operator="lessThan">
      <formula>$B$2</formula>
    </cfRule>
  </conditionalFormatting>
  <conditionalFormatting sqref="C16">
    <cfRule type="expression" dxfId="222" priority="41">
      <formula>AND($C16-TODAY()&lt;30,TODAY()&lt;$C16)</formula>
    </cfRule>
  </conditionalFormatting>
  <conditionalFormatting sqref="C16">
    <cfRule type="cellIs" dxfId="221" priority="42" stopIfTrue="1" operator="lessThan">
      <formula>$B$2</formula>
    </cfRule>
  </conditionalFormatting>
  <conditionalFormatting sqref="C18">
    <cfRule type="expression" dxfId="220" priority="39">
      <formula>AND($C18-TODAY()&lt;30,TODAY()&lt;$C18)</formula>
    </cfRule>
  </conditionalFormatting>
  <conditionalFormatting sqref="C18">
    <cfRule type="cellIs" dxfId="219" priority="40" stopIfTrue="1" operator="lessThan">
      <formula>$B$2</formula>
    </cfRule>
  </conditionalFormatting>
  <conditionalFormatting sqref="C20">
    <cfRule type="expression" dxfId="218" priority="37">
      <formula>AND($C20-TODAY()&lt;30,TODAY()&lt;$C20)</formula>
    </cfRule>
  </conditionalFormatting>
  <conditionalFormatting sqref="C20">
    <cfRule type="cellIs" dxfId="217" priority="38" stopIfTrue="1" operator="lessThan">
      <formula>$B$2</formula>
    </cfRule>
  </conditionalFormatting>
  <conditionalFormatting sqref="C22">
    <cfRule type="expression" dxfId="216" priority="35">
      <formula>AND($C22-TODAY()&lt;30,TODAY()&lt;$C22)</formula>
    </cfRule>
  </conditionalFormatting>
  <conditionalFormatting sqref="C22">
    <cfRule type="cellIs" dxfId="215" priority="36" stopIfTrue="1" operator="lessThan">
      <formula>$B$2</formula>
    </cfRule>
  </conditionalFormatting>
  <conditionalFormatting sqref="C15">
    <cfRule type="expression" dxfId="214" priority="33">
      <formula>AND($C15-TODAY()&lt;30,TODAY()&lt;$C15)</formula>
    </cfRule>
  </conditionalFormatting>
  <conditionalFormatting sqref="C15">
    <cfRule type="cellIs" dxfId="213" priority="34" stopIfTrue="1" operator="lessThan">
      <formula>$B$2</formula>
    </cfRule>
  </conditionalFormatting>
  <conditionalFormatting sqref="C17">
    <cfRule type="expression" dxfId="212" priority="31">
      <formula>AND($C17-TODAY()&lt;30,TODAY()&lt;$C17)</formula>
    </cfRule>
  </conditionalFormatting>
  <conditionalFormatting sqref="C17">
    <cfRule type="cellIs" dxfId="211" priority="32" stopIfTrue="1" operator="lessThan">
      <formula>$B$2</formula>
    </cfRule>
  </conditionalFormatting>
  <conditionalFormatting sqref="C19">
    <cfRule type="expression" dxfId="210" priority="29">
      <formula>AND($C19-TODAY()&lt;30,TODAY()&lt;$C19)</formula>
    </cfRule>
  </conditionalFormatting>
  <conditionalFormatting sqref="C19">
    <cfRule type="cellIs" dxfId="209" priority="30" stopIfTrue="1" operator="lessThan">
      <formula>$B$2</formula>
    </cfRule>
  </conditionalFormatting>
  <conditionalFormatting sqref="C21">
    <cfRule type="expression" dxfId="208" priority="27">
      <formula>AND($C21-TODAY()&lt;30,TODAY()&lt;$C21)</formula>
    </cfRule>
  </conditionalFormatting>
  <conditionalFormatting sqref="C21">
    <cfRule type="cellIs" dxfId="207" priority="28" stopIfTrue="1" operator="lessThan">
      <formula>$B$2</formula>
    </cfRule>
  </conditionalFormatting>
  <conditionalFormatting sqref="C23">
    <cfRule type="expression" dxfId="206" priority="25">
      <formula>AND($C23-TODAY()&lt;30,TODAY()&lt;$C23)</formula>
    </cfRule>
  </conditionalFormatting>
  <conditionalFormatting sqref="C23">
    <cfRule type="cellIs" dxfId="205" priority="26" stopIfTrue="1" operator="lessThan">
      <formula>$B$2</formula>
    </cfRule>
  </conditionalFormatting>
  <conditionalFormatting sqref="F16">
    <cfRule type="cellIs" dxfId="204" priority="23" stopIfTrue="1" operator="lessThan">
      <formula>$B$2</formula>
    </cfRule>
  </conditionalFormatting>
  <conditionalFormatting sqref="F18">
    <cfRule type="cellIs" dxfId="203" priority="22" stopIfTrue="1" operator="lessThan">
      <formula>$B$2</formula>
    </cfRule>
  </conditionalFormatting>
  <conditionalFormatting sqref="F22">
    <cfRule type="cellIs" dxfId="202" priority="21" stopIfTrue="1" operator="lessThan">
      <formula>$B$2</formula>
    </cfRule>
  </conditionalFormatting>
  <conditionalFormatting sqref="F21">
    <cfRule type="cellIs" dxfId="201" priority="20" stopIfTrue="1" operator="lessThan">
      <formula>$B$2</formula>
    </cfRule>
  </conditionalFormatting>
  <conditionalFormatting sqref="F17">
    <cfRule type="cellIs" dxfId="200" priority="19" stopIfTrue="1" operator="lessThan">
      <formula>$B$2</formula>
    </cfRule>
  </conditionalFormatting>
  <conditionalFormatting sqref="B4:B14 E4:E14 B16:B23 E16:E23">
    <cfRule type="cellIs" dxfId="199" priority="18" stopIfTrue="1" operator="equal">
      <formula>"已过期"</formula>
    </cfRule>
  </conditionalFormatting>
  <conditionalFormatting sqref="A24:F24">
    <cfRule type="cellIs" dxfId="198" priority="14" stopIfTrue="1" operator="equal">
      <formula>"已过期"</formula>
    </cfRule>
  </conditionalFormatting>
  <conditionalFormatting sqref="F28">
    <cfRule type="expression" dxfId="197" priority="12">
      <formula>AND($E28-TODAY()&lt;30,TODAY()&lt;$E28)</formula>
    </cfRule>
  </conditionalFormatting>
  <conditionalFormatting sqref="F28">
    <cfRule type="cellIs" dxfId="196" priority="13" stopIfTrue="1" operator="lessThan">
      <formula>$B$2</formula>
    </cfRule>
  </conditionalFormatting>
  <conditionalFormatting sqref="F29">
    <cfRule type="expression" dxfId="195" priority="8" stopIfTrue="1">
      <formula>AND($E29-TODAY()&lt;30,TODAY()&lt;$E29)</formula>
    </cfRule>
  </conditionalFormatting>
  <conditionalFormatting sqref="F29">
    <cfRule type="cellIs" dxfId="194" priority="9" stopIfTrue="1" operator="lessThan">
      <formula>$B$2</formula>
    </cfRule>
  </conditionalFormatting>
  <conditionalFormatting sqref="B15">
    <cfRule type="cellIs" dxfId="193" priority="6" stopIfTrue="1" operator="equal">
      <formula>"已过期"</formula>
    </cfRule>
  </conditionalFormatting>
  <conditionalFormatting sqref="A15">
    <cfRule type="cellIs" dxfId="192" priority="5" stopIfTrue="1" operator="equal">
      <formula>"已过期"</formula>
    </cfRule>
  </conditionalFormatting>
  <conditionalFormatting sqref="C15">
    <cfRule type="expression" dxfId="191" priority="4">
      <formula>AND($C15-TODAY()&lt;30,TODAY()&lt;$C15)</formula>
    </cfRule>
  </conditionalFormatting>
  <conditionalFormatting sqref="E15">
    <cfRule type="cellIs" dxfId="190" priority="3" stopIfTrue="1" operator="equal">
      <formula>"已过期"</formula>
    </cfRule>
  </conditionalFormatting>
  <conditionalFormatting sqref="D15">
    <cfRule type="cellIs" dxfId="189" priority="2" stopIfTrue="1" operator="equal">
      <formula>"已过期"</formula>
    </cfRule>
  </conditionalFormatting>
  <conditionalFormatting sqref="F13">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137</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租赁明细</vt:lpstr>
      <vt:lpstr>系统读取表</vt:lpstr>
      <vt:lpstr>结果表</vt:lpstr>
      <vt:lpstr>成本法 (元)</vt:lpstr>
      <vt:lpstr>假设开发法</vt:lpstr>
      <vt:lpstr>结果表 (1)</vt:lpstr>
      <vt:lpstr>结果表 (2) </vt:lpstr>
      <vt:lpstr>比较法-办公</vt:lpstr>
      <vt:lpstr>比较法-商业</vt:lpstr>
      <vt:lpstr>商业案例</vt:lpstr>
      <vt:lpstr>比较法-车位</vt:lpstr>
      <vt:lpstr>收益法（汇总）</vt:lpstr>
      <vt:lpstr>收益法（办公）</vt:lpstr>
      <vt:lpstr>收益法 (元)</vt:lpstr>
      <vt:lpstr>酒店收入计算</vt:lpstr>
      <vt:lpstr>比较法-住宅</vt:lpstr>
      <vt:lpstr>收益法（商业）</vt:lpstr>
      <vt:lpstr>收益法（车位）</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vt:lpstr>
      <vt:lpstr>成本法（废）</vt:lpstr>
      <vt:lpstr>区片价</vt:lpstr>
      <vt:lpstr>因素修正幅度</vt:lpstr>
      <vt:lpstr>存贷款利率</vt:lpstr>
      <vt:lpstr>区片价（范围）</vt:lpstr>
      <vt:lpstr>现金流预测审核报告</vt:lpstr>
      <vt:lpstr>估价师及机构信息!Print_Area</vt:lpstr>
      <vt:lpstr>'收益法 (元)'!Print_Area</vt:lpstr>
      <vt:lpstr>'收益法（办公）'!Print_Area</vt:lpstr>
      <vt:lpstr>'收益法（车位）'!Print_Area</vt:lpstr>
      <vt:lpstr>'收益法（商业）'!Print_Area</vt:lpstr>
      <vt:lpstr>'数据-汇总表'!Print_Area</vt:lpstr>
      <vt:lpstr>现金流预测审核报告!Print_Area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2018-05-22T07:07:03Z</dcterms:modified>
</cp:coreProperties>
</file>